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rinterSettings/printerSettings1.bin" ContentType="application/vnd.openxmlformats-officedocument.spreadsheetml.printerSettings"/>
  <Override PartName="/xl/drawings/drawing2.xml" ContentType="application/vnd.openxmlformats-officedocument.drawing+xml"/>
  <Override PartName="/xl/printerSettings/printerSettings2.bin" ContentType="application/vnd.openxmlformats-officedocument.spreadsheetml.printerSettings"/>
  <Override PartName="/xl/drawings/drawing3.xml" ContentType="application/vnd.openxmlformats-officedocument.drawing+xml"/>
  <Override PartName="/xl/printerSettings/printerSettings3.bin" ContentType="application/vnd.openxmlformats-officedocument.spreadsheetml.printerSettings"/>
  <Override PartName="/xl/drawings/drawing4.xml" ContentType="application/vnd.openxmlformats-officedocument.drawing+xml"/>
  <Override PartName="/xl/printerSettings/printerSettings4.bin" ContentType="application/vnd.openxmlformats-officedocument.spreadsheetml.printerSettings"/>
  <Override PartName="/xl/printerSettings/printerSettings5.bin" ContentType="application/vnd.openxmlformats-officedocument.spreadsheetml.printerSettings"/>
  <Override PartName="/xl/drawings/drawing5.xml" ContentType="application/vnd.openxmlformats-officedocument.drawing+xml"/>
  <Override PartName="/xl/printerSettings/printerSettings6.bin" ContentType="application/vnd.openxmlformats-officedocument.spreadsheetml.printerSettings"/>
  <Override PartName="/xl/drawings/drawing6.xml" ContentType="application/vnd.openxmlformats-officedocument.drawing+xml"/>
  <Override PartName="/xl/printerSettings/printerSettings7.bin" ContentType="application/vnd.openxmlformats-officedocument.spreadsheetml.printerSettings"/>
  <Override PartName="/xl/printerSettings/printerSettings8.bin" ContentType="application/vnd.openxmlformats-officedocument.spreadsheetml.printerSettings"/>
  <Override PartName="/xl/printerSettings/printerSettings9.bin" ContentType="application/vnd.openxmlformats-officedocument.spreadsheetml.printerSettings"/>
  <Override PartName="/xl/drawings/drawing7.xml" ContentType="application/vnd.openxmlformats-officedocument.drawing+xml"/>
  <Override PartName="/xl/printerSettings/printerSettings10.bin" ContentType="application/vnd.openxmlformats-officedocument.spreadsheetml.printerSettings"/>
  <Override PartName="/xl/drawings/drawing8.xml" ContentType="application/vnd.openxmlformats-officedocument.drawing+xml"/>
  <Override PartName="/xl/printerSettings/printerSettings11.bin" ContentType="application/vnd.openxmlformats-officedocument.spreadsheetml.printerSettings"/>
  <Override PartName="/xl/printerSettings/printerSettings12.bin" ContentType="application/vnd.openxmlformats-officedocument.spreadsheetml.printerSettings"/>
  <Override PartName="/xl/printerSettings/printerSettings13.bin" ContentType="application/vnd.openxmlformats-officedocument.spreadsheetml.printerSettings"/>
  <Override PartName="/xl/printerSettings/printerSettings14.bin" ContentType="application/vnd.openxmlformats-officedocument.spreadsheetml.printerSettings"/>
  <Override PartName="/xl/printerSettings/printerSettings15.bin" ContentType="application/vnd.openxmlformats-officedocument.spreadsheetml.printerSettings"/>
  <Override PartName="/xl/printerSettings/printerSettings16.bin" ContentType="application/vnd.openxmlformats-officedocument.spreadsheetml.printerSettings"/>
  <Override PartName="/xl/printerSettings/printerSettings17.bin" ContentType="application/vnd.openxmlformats-officedocument.spreadsheetml.printerSettings"/>
  <Override PartName="/xl/printerSettings/printerSettings18.bin" ContentType="application/vnd.openxmlformats-officedocument.spreadsheetml.printerSettings"/>
  <Override PartName="/xl/printerSettings/printerSettings19.bin" ContentType="application/vnd.openxmlformats-officedocument.spreadsheetml.printerSettings"/>
  <Override PartName="/xl/printerSettings/printerSettings20.bin" ContentType="application/vnd.openxmlformats-officedocument.spreadsheetml.printerSettings"/>
  <Override PartName="/xl/printerSettings/printerSettings21.bin" ContentType="application/vnd.openxmlformats-officedocument.spreadsheetml.printerSettings"/>
  <Override PartName="/xl/printerSettings/printerSettings22.bin" ContentType="application/vnd.openxmlformats-officedocument.spreadsheetml.printerSettings"/>
  <Override PartName="/xl/printerSettings/printerSettings23.bin" ContentType="application/vnd.openxmlformats-officedocument.spreadsheetml.printerSettings"/>
  <Override PartName="/xl/printerSettings/printerSettings24.bin" ContentType="application/vnd.openxmlformats-officedocument.spreadsheetml.printerSettings"/>
  <Override PartName="/xl/printerSettings/printerSettings25.bin" ContentType="application/vnd.openxmlformats-officedocument.spreadsheetml.printerSettings"/>
  <Override PartName="/xl/printerSettings/printerSettings26.bin" ContentType="application/vnd.openxmlformats-officedocument.spreadsheetml.printerSettings"/>
  <Override PartName="/xl/printerSettings/printerSettings27.bin" ContentType="application/vnd.openxmlformats-officedocument.spreadsheetml.printerSettings"/>
  <Override PartName="/xl/printerSettings/printerSettings28.bin" ContentType="application/vnd.openxmlformats-officedocument.spreadsheetml.printerSettings"/>
  <Override PartName="/xl/printerSettings/printerSettings29.bin" ContentType="application/vnd.openxmlformats-officedocument.spreadsheetml.printerSettings"/>
  <Override PartName="/xl/printerSettings/printerSettings30.bin" ContentType="application/vnd.openxmlformats-officedocument.spreadsheetml.printerSettings"/>
  <Override PartName="/xl/printerSettings/printerSettings31.bin" ContentType="application/vnd.openxmlformats-officedocument.spreadsheetml.printerSettings"/>
  <Override PartName="/xl/printerSettings/printerSettings32.bin" ContentType="application/vnd.openxmlformats-officedocument.spreadsheetml.printerSettings"/>
  <Override PartName="/xl/printerSettings/printerSettings33.bin" ContentType="application/vnd.openxmlformats-officedocument.spreadsheetml.printerSettings"/>
  <Override PartName="/xl/printerSettings/printerSettings34.bin" ContentType="application/vnd.openxmlformats-officedocument.spreadsheetml.printerSettings"/>
  <Override PartName="/xl/printerSettings/printerSettings35.bin" ContentType="application/vnd.openxmlformats-officedocument.spreadsheetml.printerSettings"/>
  <Override PartName="/xl/printerSettings/printerSettings36.bin" ContentType="application/vnd.openxmlformats-officedocument.spreadsheetml.printerSettings"/>
  <Override PartName="/xl/printerSettings/printerSettings37.bin" ContentType="application/vnd.openxmlformats-officedocument.spreadsheetml.printerSettings"/>
  <Override PartName="/xl/printerSettings/printerSettings38.bin" ContentType="application/vnd.openxmlformats-officedocument.spreadsheetml.printerSettings"/>
  <Override PartName="/xl/printerSettings/printerSettings39.bin" ContentType="application/vnd.openxmlformats-officedocument.spreadsheetml.printerSettings"/>
  <Override PartName="/xl/printerSettings/printerSettings40.bin" ContentType="application/vnd.openxmlformats-officedocument.spreadsheetml.printerSettings"/>
  <Override PartName="/xl/printerSettings/printerSettings41.bin" ContentType="application/vnd.openxmlformats-officedocument.spreadsheetml.printerSettings"/>
  <Override PartName="/xl/printerSettings/printerSettings42.bin" ContentType="application/vnd.openxmlformats-officedocument.spreadsheetml.printerSettings"/>
  <Override PartName="/xl/printerSettings/printerSettings43.bin" ContentType="application/vnd.openxmlformats-officedocument.spreadsheetml.printerSettings"/>
  <Override PartName="/xl/printerSettings/printerSettings44.bin" ContentType="application/vnd.openxmlformats-officedocument.spreadsheetml.printerSettings"/>
  <Override PartName="/xl/printerSettings/printerSettings45.bin" ContentType="application/vnd.openxmlformats-officedocument.spreadsheetml.printerSettings"/>
  <Override PartName="/xl/printerSettings/printerSettings46.bin" ContentType="application/vnd.openxmlformats-officedocument.spreadsheetml.printerSettings"/>
  <Override PartName="/xl/printerSettings/printerSettings47.bin" ContentType="application/vnd.openxmlformats-officedocument.spreadsheetml.printerSettings"/>
  <Override PartName="/xl/printerSettings/printerSettings48.bin" ContentType="application/vnd.openxmlformats-officedocument.spreadsheetml.printerSettings"/>
  <Override PartName="/xl/printerSettings/printerSettings49.bin" ContentType="application/vnd.openxmlformats-officedocument.spreadsheetml.printerSettings"/>
  <Override PartName="/xl/printerSettings/printerSettings50.bin" ContentType="application/vnd.openxmlformats-officedocument.spreadsheetml.printerSettings"/>
  <Override PartName="/xl/printerSettings/printerSettings51.bin" ContentType="application/vnd.openxmlformats-officedocument.spreadsheetml.printerSettings"/>
  <Override PartName="/xl/printerSettings/printerSettings52.bin" ContentType="application/vnd.openxmlformats-officedocument.spreadsheetml.printerSettings"/>
  <Override PartName="/xl/printerSettings/printerSettings53.bin" ContentType="application/vnd.openxmlformats-officedocument.spreadsheetml.printerSettings"/>
  <Override PartName="/xl/printerSettings/printerSettings54.bin" ContentType="application/vnd.openxmlformats-officedocument.spreadsheetml.printerSettings"/>
  <Override PartName="/xl/printerSettings/printerSettings55.bin" ContentType="application/vnd.openxmlformats-officedocument.spreadsheetml.printerSettings"/>
  <Override PartName="/xl/printerSettings/printerSettings56.bin" ContentType="application/vnd.openxmlformats-officedocument.spreadsheetml.printerSettings"/>
  <Override PartName="/xl/printerSettings/printerSettings57.bin" ContentType="application/vnd.openxmlformats-officedocument.spreadsheetml.printerSettings"/>
  <Override PartName="/xl/printerSettings/printerSettings58.bin" ContentType="application/vnd.openxmlformats-officedocument.spreadsheetml.printerSettings"/>
  <Override PartName="/xl/printerSettings/printerSettings59.bin" ContentType="application/vnd.openxmlformats-officedocument.spreadsheetml.printerSettings"/>
  <Override PartName="/xl/printerSettings/printerSettings60.bin" ContentType="application/vnd.openxmlformats-officedocument.spreadsheetml.printerSettings"/>
  <Override PartName="/xl/printerSettings/printerSettings61.bin" ContentType="application/vnd.openxmlformats-officedocument.spreadsheetml.printerSettings"/>
  <Override PartName="/xl/printerSettings/printerSettings62.bin" ContentType="application/vnd.openxmlformats-officedocument.spreadsheetml.printerSettings"/>
  <Override PartName="/xl/printerSettings/printerSettings63.bin" ContentType="application/vnd.openxmlformats-officedocument.spreadsheetml.printerSettings"/>
  <Override PartName="/xl/printerSettings/printerSettings64.bin" ContentType="application/vnd.openxmlformats-officedocument.spreadsheetml.printerSettings"/>
  <Override PartName="/xl/printerSettings/printerSettings65.bin" ContentType="application/vnd.openxmlformats-officedocument.spreadsheetml.printerSettings"/>
  <Override PartName="/xl/printerSettings/printerSettings66.bin" ContentType="application/vnd.openxmlformats-officedocument.spreadsheetml.printerSettings"/>
  <Override PartName="/xl/printerSettings/printerSettings67.bin" ContentType="application/vnd.openxmlformats-officedocument.spreadsheetml.printerSettings"/>
  <Override PartName="/xl/printerSettings/printerSettings68.bin" ContentType="application/vnd.openxmlformats-officedocument.spreadsheetml.printerSettings"/>
  <Override PartName="/xl/printerSettings/printerSettings69.bin" ContentType="application/vnd.openxmlformats-officedocument.spreadsheetml.printerSettings"/>
  <Override PartName="/xl/printerSettings/printerSettings70.bin" ContentType="application/vnd.openxmlformats-officedocument.spreadsheetml.printerSettings"/>
  <Override PartName="/xl/printerSettings/printerSettings71.bin" ContentType="application/vnd.openxmlformats-officedocument.spreadsheetml.printerSettings"/>
  <Override PartName="/xl/printerSettings/printerSettings72.bin" ContentType="application/vnd.openxmlformats-officedocument.spreadsheetml.printerSettings"/>
  <Override PartName="/xl/printerSettings/printerSettings73.bin" ContentType="application/vnd.openxmlformats-officedocument.spreadsheetml.printerSettings"/>
  <Override PartName="/xl/printerSettings/printerSettings74.bin" ContentType="application/vnd.openxmlformats-officedocument.spreadsheetml.printerSettings"/>
  <Override PartName="/xl/printerSettings/printerSettings75.bin" ContentType="application/vnd.openxmlformats-officedocument.spreadsheetml.printerSettings"/>
  <Override PartName="/xl/printerSettings/printerSettings76.bin" ContentType="application/vnd.openxmlformats-officedocument.spreadsheetml.printerSettings"/>
  <Override PartName="/xl/printerSettings/printerSettings77.bin" ContentType="application/vnd.openxmlformats-officedocument.spreadsheetml.printerSettings"/>
  <Override PartName="/xl/printerSettings/printerSettings78.bin" ContentType="application/vnd.openxmlformats-officedocument.spreadsheetml.printerSettings"/>
  <Override PartName="/xl/printerSettings/printerSettings79.bin" ContentType="application/vnd.openxmlformats-officedocument.spreadsheetml.printerSettings"/>
  <Override PartName="/xl/printerSettings/printerSettings80.bin" ContentType="application/vnd.openxmlformats-officedocument.spreadsheetml.printerSettings"/>
  <Override PartName="/xl/printerSettings/printerSettings81.bin" ContentType="application/vnd.openxmlformats-officedocument.spreadsheetml.printerSettings"/>
  <Override PartName="/xl/printerSettings/printerSettings82.bin" ContentType="application/vnd.openxmlformats-officedocument.spreadsheetml.printerSettings"/>
  <Override PartName="/xl/printerSettings/printerSettings83.bin" ContentType="application/vnd.openxmlformats-officedocument.spreadsheetml.printerSettings"/>
  <Override PartName="/xl/printerSettings/printerSettings84.bin" ContentType="application/vnd.openxmlformats-officedocument.spreadsheetml.printerSettings"/>
  <Override PartName="/xl/printerSettings/printerSettings85.bin" ContentType="application/vnd.openxmlformats-officedocument.spreadsheetml.printerSettings"/>
  <Override PartName="/xl/printerSettings/printerSettings86.bin" ContentType="application/vnd.openxmlformats-officedocument.spreadsheetml.printerSettings"/>
  <Override PartName="/xl/printerSettings/printerSettings87.bin" ContentType="application/vnd.openxmlformats-officedocument.spreadsheetml.printerSettings"/>
  <Override PartName="/xl/printerSettings/printerSettings88.bin" ContentType="application/vnd.openxmlformats-officedocument.spreadsheetml.printerSettings"/>
  <Override PartName="/xl/printerSettings/printerSettings89.bin" ContentType="application/vnd.openxmlformats-officedocument.spreadsheetml.printerSettings"/>
  <Override PartName="/xl/printerSettings/printerSettings90.bin" ContentType="application/vnd.openxmlformats-officedocument.spreadsheetml.printerSettings"/>
  <Override PartName="/xl/printerSettings/printerSettings91.bin" ContentType="application/vnd.openxmlformats-officedocument.spreadsheetml.printerSettings"/>
  <Override PartName="/xl/printerSettings/printerSettings92.bin" ContentType="application/vnd.openxmlformats-officedocument.spreadsheetml.printerSettings"/>
  <Override PartName="/xl/printerSettings/printerSettings93.bin" ContentType="application/vnd.openxmlformats-officedocument.spreadsheetml.printerSettings"/>
  <Override PartName="/xl/printerSettings/printerSettings94.bin" ContentType="application/vnd.openxmlformats-officedocument.spreadsheetml.printerSettings"/>
  <Override PartName="/xl/printerSettings/printerSettings95.bin" ContentType="application/vnd.openxmlformats-officedocument.spreadsheetml.printerSettings"/>
  <Override PartName="/xl/printerSettings/printerSettings96.bin" ContentType="application/vnd.openxmlformats-officedocument.spreadsheetml.printerSettings"/>
  <Override PartName="/xl/printerSettings/printerSettings97.bin" ContentType="application/vnd.openxmlformats-officedocument.spreadsheetml.printerSettings"/>
  <Override PartName="/xl/printerSettings/printerSettings98.bin" ContentType="application/vnd.openxmlformats-officedocument.spreadsheetml.printerSettings"/>
  <Override PartName="/xl/printerSettings/printerSettings99.bin" ContentType="application/vnd.openxmlformats-officedocument.spreadsheetml.printerSettings"/>
  <Override PartName="/xl/printerSettings/printerSettings100.bin" ContentType="application/vnd.openxmlformats-officedocument.spreadsheetml.printerSettings"/>
  <Override PartName="/xl/printerSettings/printerSettings101.bin" ContentType="application/vnd.openxmlformats-officedocument.spreadsheetml.printerSettings"/>
  <Override PartName="/xl/printerSettings/printerSettings102.bin" ContentType="application/vnd.openxmlformats-officedocument.spreadsheetml.printerSettings"/>
  <Override PartName="/xl/printerSettings/printerSettings103.bin" ContentType="application/vnd.openxmlformats-officedocument.spreadsheetml.printerSettings"/>
  <Override PartName="/xl/printerSettings/printerSettings104.bin" ContentType="application/vnd.openxmlformats-officedocument.spreadsheetml.printerSettings"/>
  <Override PartName="/xl/printerSettings/printerSettings105.bin" ContentType="application/vnd.openxmlformats-officedocument.spreadsheetml.printerSettings"/>
  <Override PartName="/xl/printerSettings/printerSettings106.bin" ContentType="application/vnd.openxmlformats-officedocument.spreadsheetml.printerSettings"/>
  <Override PartName="/xl/printerSettings/printerSettings107.bin" ContentType="application/vnd.openxmlformats-officedocument.spreadsheetml.printerSettings"/>
  <Override PartName="/xl/printerSettings/printerSettings108.bin" ContentType="application/vnd.openxmlformats-officedocument.spreadsheetml.printerSettings"/>
  <Override PartName="/xl/printerSettings/printerSettings109.bin" ContentType="application/vnd.openxmlformats-officedocument.spreadsheetml.printerSettings"/>
  <Override PartName="/xl/printerSettings/printerSettings110.bin" ContentType="application/vnd.openxmlformats-officedocument.spreadsheetml.printerSettings"/>
  <Override PartName="/xl/printerSettings/printerSettings111.bin" ContentType="application/vnd.openxmlformats-officedocument.spreadsheetml.printerSettings"/>
  <Override PartName="/xl/printerSettings/printerSettings112.bin" ContentType="application/vnd.openxmlformats-officedocument.spreadsheetml.printerSettings"/>
  <Override PartName="/xl/printerSettings/printerSettings113.bin" ContentType="application/vnd.openxmlformats-officedocument.spreadsheetml.printerSettings"/>
  <Override PartName="/xl/printerSettings/printerSettings114.bin" ContentType="application/vnd.openxmlformats-officedocument.spreadsheetml.printerSettings"/>
  <Override PartName="/xl/printerSettings/printerSettings115.bin" ContentType="application/vnd.openxmlformats-officedocument.spreadsheetml.printerSettings"/>
  <Override PartName="/xl/printerSettings/printerSettings116.bin" ContentType="application/vnd.openxmlformats-officedocument.spreadsheetml.printerSettings"/>
  <Override PartName="/xl/printerSettings/printerSettings117.bin" ContentType="application/vnd.openxmlformats-officedocument.spreadsheetml.printerSettings"/>
  <Override PartName="/xl/printerSettings/printerSettings118.bin" ContentType="application/vnd.openxmlformats-officedocument.spreadsheetml.printerSettings"/>
  <Override PartName="/xl/printerSettings/printerSettings119.bin" ContentType="application/vnd.openxmlformats-officedocument.spreadsheetml.printerSettings"/>
  <Override PartName="/xl/printerSettings/printerSettings120.bin" ContentType="application/vnd.openxmlformats-officedocument.spreadsheetml.printerSettings"/>
  <Override PartName="/xl/printerSettings/printerSettings121.bin" ContentType="application/vnd.openxmlformats-officedocument.spreadsheetml.printerSettings"/>
  <Override PartName="/xl/printerSettings/printerSettings122.bin" ContentType="application/vnd.openxmlformats-officedocument.spreadsheetml.printerSettings"/>
  <Override PartName="/xl/printerSettings/printerSettings123.bin" ContentType="application/vnd.openxmlformats-officedocument.spreadsheetml.printerSettings"/>
  <Override PartName="/xl/printerSettings/printerSettings124.bin" ContentType="application/vnd.openxmlformats-officedocument.spreadsheetml.printerSettings"/>
  <Override PartName="/xl/printerSettings/printerSettings125.bin" ContentType="application/vnd.openxmlformats-officedocument.spreadsheetml.printerSettings"/>
  <Override PartName="/xl/printerSettings/printerSettings126.bin" ContentType="application/vnd.openxmlformats-officedocument.spreadsheetml.printerSettings"/>
  <Override PartName="/xl/printerSettings/printerSettings127.bin" ContentType="application/vnd.openxmlformats-officedocument.spreadsheetml.printerSettings"/>
  <Override PartName="/xl/printerSettings/printerSettings128.bin" ContentType="application/vnd.openxmlformats-officedocument.spreadsheetml.printerSettings"/>
  <Override PartName="/xl/printerSettings/printerSettings129.bin" ContentType="application/vnd.openxmlformats-officedocument.spreadsheetml.printerSettings"/>
  <Override PartName="/xl/printerSettings/printerSettings130.bin" ContentType="application/vnd.openxmlformats-officedocument.spreadsheetml.printerSettings"/>
  <Override PartName="/xl/printerSettings/printerSettings131.bin" ContentType="application/vnd.openxmlformats-officedocument.spreadsheetml.printerSettings"/>
  <Override PartName="/xl/printerSettings/printerSettings132.bin" ContentType="application/vnd.openxmlformats-officedocument.spreadsheetml.printerSettings"/>
  <Override PartName="/xl/printerSettings/printerSettings133.bin" ContentType="application/vnd.openxmlformats-officedocument.spreadsheetml.printerSettings"/>
  <Override PartName="/xl/printerSettings/printerSettings134.bin" ContentType="application/vnd.openxmlformats-officedocument.spreadsheetml.printerSettings"/>
  <Override PartName="/xl/printerSettings/printerSettings135.bin" ContentType="application/vnd.openxmlformats-officedocument.spreadsheetml.printerSettings"/>
  <Override PartName="/xl/printerSettings/printerSettings136.bin" ContentType="application/vnd.openxmlformats-officedocument.spreadsheetml.printerSettings"/>
  <Override PartName="/xl/printerSettings/printerSettings137.bin" ContentType="application/vnd.openxmlformats-officedocument.spreadsheetml.printerSettings"/>
  <Override PartName="/xl/printerSettings/printerSettings138.bin" ContentType="application/vnd.openxmlformats-officedocument.spreadsheetml.printerSettings"/>
  <Override PartName="/xl/printerSettings/printerSettings139.bin" ContentType="application/vnd.openxmlformats-officedocument.spreadsheetml.printerSettings"/>
  <Override PartName="/xl/printerSettings/printerSettings140.bin" ContentType="application/vnd.openxmlformats-officedocument.spreadsheetml.printerSettings"/>
  <Override PartName="/xl/printerSettings/printerSettings141.bin" ContentType="application/vnd.openxmlformats-officedocument.spreadsheetml.printerSettings"/>
  <Override PartName="/xl/printerSettings/printerSettings142.bin" ContentType="application/vnd.openxmlformats-officedocument.spreadsheetml.printerSettings"/>
  <Override PartName="/xl/printerSettings/printerSettings143.bin" ContentType="application/vnd.openxmlformats-officedocument.spreadsheetml.printerSettings"/>
  <Override PartName="/xl/printerSettings/printerSettings144.bin" ContentType="application/vnd.openxmlformats-officedocument.spreadsheetml.printerSettings"/>
  <Override PartName="/xl/printerSettings/printerSettings145.bin" ContentType="application/vnd.openxmlformats-officedocument.spreadsheetml.printerSettings"/>
  <Override PartName="/xl/printerSettings/printerSettings146.bin" ContentType="application/vnd.openxmlformats-officedocument.spreadsheetml.printerSettings"/>
  <Override PartName="/xl/printerSettings/printerSettings147.bin" ContentType="application/vnd.openxmlformats-officedocument.spreadsheetml.printerSettings"/>
  <Override PartName="/xl/printerSettings/printerSettings148.bin" ContentType="application/vnd.openxmlformats-officedocument.spreadsheetml.printerSettings"/>
  <Override PartName="/xl/printerSettings/printerSettings149.bin" ContentType="application/vnd.openxmlformats-officedocument.spreadsheetml.printerSettings"/>
  <Override PartName="/xl/printerSettings/printerSettings150.bin" ContentType="application/vnd.openxmlformats-officedocument.spreadsheetml.printerSettings"/>
  <Override PartName="/xl/printerSettings/printerSettings151.bin" ContentType="application/vnd.openxmlformats-officedocument.spreadsheetml.printerSettings"/>
  <Override PartName="/xl/printerSettings/printerSettings152.bin" ContentType="application/vnd.openxmlformats-officedocument.spreadsheetml.printerSettings"/>
  <Override PartName="/xl/printerSettings/printerSettings153.bin" ContentType="application/vnd.openxmlformats-officedocument.spreadsheetml.printerSettings"/>
  <Override PartName="/xl/printerSettings/printerSettings154.bin" ContentType="application/vnd.openxmlformats-officedocument.spreadsheetml.printerSettings"/>
  <Override PartName="/xl/printerSettings/printerSettings155.bin" ContentType="application/vnd.openxmlformats-officedocument.spreadsheetml.printerSettings"/>
  <Override PartName="/xl/printerSettings/printerSettings156.bin" ContentType="application/vnd.openxmlformats-officedocument.spreadsheetml.printerSettings"/>
  <Override PartName="/xl/printerSettings/printerSettings157.bin" ContentType="application/vnd.openxmlformats-officedocument.spreadsheetml.printerSettings"/>
  <Override PartName="/xl/printerSettings/printerSettings158.bin" ContentType="application/vnd.openxmlformats-officedocument.spreadsheetml.printerSettings"/>
  <Override PartName="/xl/printerSettings/printerSettings159.bin" ContentType="application/vnd.openxmlformats-officedocument.spreadsheetml.printerSettings"/>
  <Override PartName="/xl/printerSettings/printerSettings160.bin" ContentType="application/vnd.openxmlformats-officedocument.spreadsheetml.printerSettings"/>
  <Override PartName="/xl/printerSettings/printerSettings161.bin" ContentType="application/vnd.openxmlformats-officedocument.spreadsheetml.printerSettings"/>
  <Override PartName="/xl/printerSettings/printerSettings162.bin" ContentType="application/vnd.openxmlformats-officedocument.spreadsheetml.printerSettings"/>
  <Override PartName="/xl/printerSettings/printerSettings163.bin" ContentType="application/vnd.openxmlformats-officedocument.spreadsheetml.printerSettings"/>
  <Override PartName="/xl/printerSettings/printerSettings164.bin" ContentType="application/vnd.openxmlformats-officedocument.spreadsheetml.printerSettings"/>
  <Override PartName="/xl/printerSettings/printerSettings165.bin" ContentType="application/vnd.openxmlformats-officedocument.spreadsheetml.printerSettings"/>
  <Override PartName="/xl/printerSettings/printerSettings166.bin" ContentType="application/vnd.openxmlformats-officedocument.spreadsheetml.printerSettings"/>
  <Override PartName="/xl/printerSettings/printerSettings167.bin" ContentType="application/vnd.openxmlformats-officedocument.spreadsheetml.printerSettings"/>
  <Override PartName="/xl/printerSettings/printerSettings168.bin" ContentType="application/vnd.openxmlformats-officedocument.spreadsheetml.printerSettings"/>
  <Override PartName="/xl/printerSettings/printerSettings169.bin" ContentType="application/vnd.openxmlformats-officedocument.spreadsheetml.printerSettings"/>
  <Override PartName="/xl/printerSettings/printerSettings170.bin" ContentType="application/vnd.openxmlformats-officedocument.spreadsheetml.printerSettings"/>
  <Override PartName="/xl/printerSettings/printerSettings171.bin" ContentType="application/vnd.openxmlformats-officedocument.spreadsheetml.printerSettings"/>
  <Override PartName="/xl/printerSettings/printerSettings172.bin" ContentType="application/vnd.openxmlformats-officedocument.spreadsheetml.printerSettings"/>
  <Override PartName="/xl/printerSettings/printerSettings173.bin" ContentType="application/vnd.openxmlformats-officedocument.spreadsheetml.printerSettings"/>
  <Override PartName="/xl/printerSettings/printerSettings174.bin" ContentType="application/vnd.openxmlformats-officedocument.spreadsheetml.printerSettings"/>
  <Override PartName="/xl/printerSettings/printerSettings175.bin" ContentType="application/vnd.openxmlformats-officedocument.spreadsheetml.printerSettings"/>
  <Override PartName="/xl/printerSettings/printerSettings176.bin" ContentType="application/vnd.openxmlformats-officedocument.spreadsheetml.printerSettings"/>
  <Override PartName="/xl/printerSettings/printerSettings177.bin" ContentType="application/vnd.openxmlformats-officedocument.spreadsheetml.printerSettings"/>
  <Override PartName="/xl/printerSettings/printerSettings178.bin" ContentType="application/vnd.openxmlformats-officedocument.spreadsheetml.printerSettings"/>
  <Override PartName="/xl/printerSettings/printerSettings179.bin" ContentType="application/vnd.openxmlformats-officedocument.spreadsheetml.printerSettings"/>
  <Override PartName="/xl/printerSettings/printerSettings180.bin" ContentType="application/vnd.openxmlformats-officedocument.spreadsheetml.printerSettings"/>
  <Override PartName="/xl/printerSettings/printerSettings181.bin" ContentType="application/vnd.openxmlformats-officedocument.spreadsheetml.printerSettings"/>
  <Override PartName="/xl/printerSettings/printerSettings182.bin" ContentType="application/vnd.openxmlformats-officedocument.spreadsheetml.printerSettings"/>
  <Override PartName="/xl/printerSettings/printerSettings183.bin" ContentType="application/vnd.openxmlformats-officedocument.spreadsheetml.printerSettings"/>
  <Override PartName="/xl/printerSettings/printerSettings184.bin" ContentType="application/vnd.openxmlformats-officedocument.spreadsheetml.printerSettings"/>
  <Override PartName="/xl/printerSettings/printerSettings185.bin" ContentType="application/vnd.openxmlformats-officedocument.spreadsheetml.printerSettings"/>
  <Override PartName="/xl/printerSettings/printerSettings186.bin" ContentType="application/vnd.openxmlformats-officedocument.spreadsheetml.printerSettings"/>
  <Override PartName="/xl/printerSettings/printerSettings187.bin" ContentType="application/vnd.openxmlformats-officedocument.spreadsheetml.printerSettings"/>
  <Override PartName="/xl/printerSettings/printerSettings188.bin" ContentType="application/vnd.openxmlformats-officedocument.spreadsheetml.printerSettings"/>
  <Override PartName="/xl/printerSettings/printerSettings189.bin" ContentType="application/vnd.openxmlformats-officedocument.spreadsheetml.printerSettings"/>
  <Override PartName="/xl/printerSettings/printerSettings190.bin" ContentType="application/vnd.openxmlformats-officedocument.spreadsheetml.printerSettings"/>
  <Override PartName="/xl/printerSettings/printerSettings191.bin" ContentType="application/vnd.openxmlformats-officedocument.spreadsheetml.printerSettings"/>
  <Override PartName="/xl/printerSettings/printerSettings192.bin" ContentType="application/vnd.openxmlformats-officedocument.spreadsheetml.printerSettings"/>
  <Override PartName="/xl/printerSettings/printerSettings193.bin" ContentType="application/vnd.openxmlformats-officedocument.spreadsheetml.printerSettings"/>
  <Override PartName="/xl/printerSettings/printerSettings194.bin" ContentType="application/vnd.openxmlformats-officedocument.spreadsheetml.printerSettings"/>
  <Override PartName="/xl/printerSettings/printerSettings195.bin" ContentType="application/vnd.openxmlformats-officedocument.spreadsheetml.printerSettings"/>
  <Override PartName="/xl/printerSettings/printerSettings196.bin" ContentType="application/vnd.openxmlformats-officedocument.spreadsheetml.printerSettings"/>
  <Override PartName="/xl/printerSettings/printerSettings197.bin" ContentType="application/vnd.openxmlformats-officedocument.spreadsheetml.printerSettings"/>
  <Override PartName="/xl/printerSettings/printerSettings198.bin" ContentType="application/vnd.openxmlformats-officedocument.spreadsheetml.printerSettings"/>
  <Override PartName="/xl/printerSettings/printerSettings199.bin" ContentType="application/vnd.openxmlformats-officedocument.spreadsheetml.printerSettings"/>
  <Override PartName="/xl/printerSettings/printerSettings200.bin" ContentType="application/vnd.openxmlformats-officedocument.spreadsheetml.printerSettings"/>
  <Override PartName="/xl/printerSettings/printerSettings201.bin" ContentType="application/vnd.openxmlformats-officedocument.spreadsheetml.printerSettings"/>
  <Override PartName="/xl/printerSettings/printerSettings202.bin" ContentType="application/vnd.openxmlformats-officedocument.spreadsheetml.printerSettings"/>
  <Override PartName="/xl/printerSettings/printerSettings203.bin" ContentType="application/vnd.openxmlformats-officedocument.spreadsheetml.printerSettings"/>
  <Override PartName="/xl/printerSettings/printerSettings204.bin" ContentType="application/vnd.openxmlformats-officedocument.spreadsheetml.printerSettings"/>
  <Override PartName="/xl/printerSettings/printerSettings205.bin" ContentType="application/vnd.openxmlformats-officedocument.spreadsheetml.printerSettings"/>
  <Override PartName="/xl/printerSettings/printerSettings206.bin" ContentType="application/vnd.openxmlformats-officedocument.spreadsheetml.printerSettings"/>
  <Override PartName="/xl/printerSettings/printerSettings207.bin" ContentType="application/vnd.openxmlformats-officedocument.spreadsheetml.printerSettings"/>
  <Override PartName="/xl/printerSettings/printerSettings208.bin" ContentType="application/vnd.openxmlformats-officedocument.spreadsheetml.printerSettings"/>
  <Override PartName="/xl/printerSettings/printerSettings209.bin" ContentType="application/vnd.openxmlformats-officedocument.spreadsheetml.printerSettings"/>
  <Override PartName="/xl/printerSettings/printerSettings210.bin" ContentType="application/vnd.openxmlformats-officedocument.spreadsheetml.printerSettings"/>
  <Override PartName="/xl/printerSettings/printerSettings211.bin" ContentType="application/vnd.openxmlformats-officedocument.spreadsheetml.printerSettings"/>
  <Override PartName="/xl/printerSettings/printerSettings212.bin" ContentType="application/vnd.openxmlformats-officedocument.spreadsheetml.printerSettings"/>
  <Override PartName="/xl/printerSettings/printerSettings213.bin" ContentType="application/vnd.openxmlformats-officedocument.spreadsheetml.printerSettings"/>
  <Override PartName="/xl/printerSettings/printerSettings214.bin" ContentType="application/vnd.openxmlformats-officedocument.spreadsheetml.printerSettings"/>
  <Override PartName="/xl/printerSettings/printerSettings215.bin" ContentType="application/vnd.openxmlformats-officedocument.spreadsheetml.printerSettings"/>
  <Override PartName="/xl/printerSettings/printerSettings216.bin" ContentType="application/vnd.openxmlformats-officedocument.spreadsheetml.printerSettings"/>
  <Override PartName="/xl/printerSettings/printerSettings217.bin" ContentType="application/vnd.openxmlformats-officedocument.spreadsheetml.printerSettings"/>
  <Override PartName="/xl/printerSettings/printerSettings218.bin" ContentType="application/vnd.openxmlformats-officedocument.spreadsheetml.printerSettings"/>
  <Override PartName="/xl/printerSettings/printerSettings219.bin" ContentType="application/vnd.openxmlformats-officedocument.spreadsheetml.printerSettings"/>
  <Override PartName="/xl/printerSettings/printerSettings220.bin" ContentType="application/vnd.openxmlformats-officedocument.spreadsheetml.printerSettings"/>
  <Override PartName="/xl/printerSettings/printerSettings221.bin" ContentType="application/vnd.openxmlformats-officedocument.spreadsheetml.printerSettings"/>
  <Override PartName="/xl/printerSettings/printerSettings222.bin" ContentType="application/vnd.openxmlformats-officedocument.spreadsheetml.printerSettings"/>
  <Override PartName="/xl/printerSettings/printerSettings223.bin" ContentType="application/vnd.openxmlformats-officedocument.spreadsheetml.printerSettings"/>
  <Override PartName="/xl/printerSettings/printerSettings224.bin" ContentType="application/vnd.openxmlformats-officedocument.spreadsheetml.printerSettings"/>
  <Override PartName="/xl/printerSettings/printerSettings225.bin" ContentType="application/vnd.openxmlformats-officedocument.spreadsheetml.printerSettings"/>
  <Override PartName="/xl/printerSettings/printerSettings226.bin" ContentType="application/vnd.openxmlformats-officedocument.spreadsheetml.printerSettings"/>
  <Override PartName="/xl/printerSettings/printerSettings227.bin" ContentType="application/vnd.openxmlformats-officedocument.spreadsheetml.printerSettings"/>
  <Override PartName="/xl/printerSettings/printerSettings228.bin" ContentType="application/vnd.openxmlformats-officedocument.spreadsheetml.printerSettings"/>
  <Override PartName="/xl/printerSettings/printerSettings229.bin" ContentType="application/vnd.openxmlformats-officedocument.spreadsheetml.printerSettings"/>
  <Override PartName="/xl/printerSettings/printerSettings230.bin" ContentType="application/vnd.openxmlformats-officedocument.spreadsheetml.printerSettings"/>
  <Override PartName="/xl/printerSettings/printerSettings231.bin" ContentType="application/vnd.openxmlformats-officedocument.spreadsheetml.printerSettings"/>
  <Override PartName="/xl/printerSettings/printerSettings232.bin" ContentType="application/vnd.openxmlformats-officedocument.spreadsheetml.printerSettings"/>
  <Override PartName="/xl/printerSettings/printerSettings233.bin" ContentType="application/vnd.openxmlformats-officedocument.spreadsheetml.printerSettings"/>
  <Override PartName="/xl/printerSettings/printerSettings234.bin" ContentType="application/vnd.openxmlformats-officedocument.spreadsheetml.printerSettings"/>
  <Override PartName="/xl/printerSettings/printerSettings235.bin" ContentType="application/vnd.openxmlformats-officedocument.spreadsheetml.printerSettings"/>
  <Override PartName="/xl/printerSettings/printerSettings236.bin" ContentType="application/vnd.openxmlformats-officedocument.spreadsheetml.printerSettings"/>
  <Override PartName="/xl/printerSettings/printerSettings237.bin" ContentType="application/vnd.openxmlformats-officedocument.spreadsheetml.printerSettings"/>
  <Override PartName="/xl/printerSettings/printerSettings238.bin" ContentType="application/vnd.openxmlformats-officedocument.spreadsheetml.printerSettings"/>
  <Override PartName="/xl/printerSettings/printerSettings239.bin" ContentType="application/vnd.openxmlformats-officedocument.spreadsheetml.printerSettings"/>
  <Override PartName="/xl/printerSettings/printerSettings240.bin" ContentType="application/vnd.openxmlformats-officedocument.spreadsheetml.printerSettings"/>
  <Override PartName="/xl/printerSettings/printerSettings241.bin" ContentType="application/vnd.openxmlformats-officedocument.spreadsheetml.printerSettings"/>
  <Override PartName="/xl/printerSettings/printerSettings242.bin" ContentType="application/vnd.openxmlformats-officedocument.spreadsheetml.printerSettings"/>
  <Override PartName="/xl/printerSettings/printerSettings243.bin" ContentType="application/vnd.openxmlformats-officedocument.spreadsheetml.printerSettings"/>
  <Override PartName="/xl/printerSettings/printerSettings244.bin" ContentType="application/vnd.openxmlformats-officedocument.spreadsheetml.printerSettings"/>
  <Override PartName="/xl/printerSettings/printerSettings245.bin" ContentType="application/vnd.openxmlformats-officedocument.spreadsheetml.printerSettings"/>
  <Override PartName="/xl/printerSettings/printerSettings246.bin" ContentType="application/vnd.openxmlformats-officedocument.spreadsheetml.printerSettings"/>
  <Override PartName="/xl/printerSettings/printerSettings247.bin" ContentType="application/vnd.openxmlformats-officedocument.spreadsheetml.printerSettings"/>
  <Override PartName="/xl/printerSettings/printerSettings248.bin" ContentType="application/vnd.openxmlformats-officedocument.spreadsheetml.printerSettings"/>
  <Override PartName="/xl/printerSettings/printerSettings249.bin" ContentType="application/vnd.openxmlformats-officedocument.spreadsheetml.printerSettings"/>
  <Override PartName="/xl/printerSettings/printerSettings250.bin" ContentType="application/vnd.openxmlformats-officedocument.spreadsheetml.printerSettings"/>
  <Override PartName="/xl/printerSettings/printerSettings251.bin" ContentType="application/vnd.openxmlformats-officedocument.spreadsheetml.printerSettings"/>
  <Override PartName="/xl/printerSettings/printerSettings252.bin" ContentType="application/vnd.openxmlformats-officedocument.spreadsheetml.printerSettings"/>
  <Override PartName="/xl/printerSettings/printerSettings253.bin" ContentType="application/vnd.openxmlformats-officedocument.spreadsheetml.printerSettings"/>
  <Override PartName="/xl/printerSettings/printerSettings254.bin" ContentType="application/vnd.openxmlformats-officedocument.spreadsheetml.printerSettings"/>
  <Override PartName="/xl/printerSettings/printerSettings255.bin" ContentType="application/vnd.openxmlformats-officedocument.spreadsheetml.printerSettings"/>
  <Override PartName="/xl/printerSettings/printerSettings256.bin" ContentType="application/vnd.openxmlformats-officedocument.spreadsheetml.printerSettings"/>
  <Override PartName="/xl/printerSettings/printerSettings257.bin" ContentType="application/vnd.openxmlformats-officedocument.spreadsheetml.printerSettings"/>
  <Override PartName="/xl/printerSettings/printerSettings258.bin" ContentType="application/vnd.openxmlformats-officedocument.spreadsheetml.printerSettings"/>
  <Override PartName="/xl/printerSettings/printerSettings259.bin" ContentType="application/vnd.openxmlformats-officedocument.spreadsheetml.printerSettings"/>
  <Override PartName="/xl/printerSettings/printerSettings260.bin" ContentType="application/vnd.openxmlformats-officedocument.spreadsheetml.printerSettings"/>
  <Override PartName="/xl/printerSettings/printerSettings261.bin" ContentType="application/vnd.openxmlformats-officedocument.spreadsheetml.printerSettings"/>
  <Override PartName="/xl/printerSettings/printerSettings262.bin" ContentType="application/vnd.openxmlformats-officedocument.spreadsheetml.printerSettings"/>
  <Override PartName="/xl/printerSettings/printerSettings263.bin" ContentType="application/vnd.openxmlformats-officedocument.spreadsheetml.printerSettings"/>
  <Override PartName="/xl/printerSettings/printerSettings264.bin" ContentType="application/vnd.openxmlformats-officedocument.spreadsheetml.printerSettings"/>
  <Override PartName="/xl/printerSettings/printerSettings265.bin" ContentType="application/vnd.openxmlformats-officedocument.spreadsheetml.printerSettings"/>
  <Override PartName="/xl/printerSettings/printerSettings266.bin" ContentType="application/vnd.openxmlformats-officedocument.spreadsheetml.printerSettings"/>
  <Override PartName="/xl/printerSettings/printerSettings267.bin" ContentType="application/vnd.openxmlformats-officedocument.spreadsheetml.printerSettings"/>
  <Override PartName="/xl/printerSettings/printerSettings268.bin" ContentType="application/vnd.openxmlformats-officedocument.spreadsheetml.printerSettings"/>
  <Override PartName="/xl/printerSettings/printerSettings269.bin" ContentType="application/vnd.openxmlformats-officedocument.spreadsheetml.printerSettings"/>
  <Override PartName="/xl/printerSettings/printerSettings270.bin" ContentType="application/vnd.openxmlformats-officedocument.spreadsheetml.printerSettings"/>
  <Override PartName="/xl/printerSettings/printerSettings271.bin" ContentType="application/vnd.openxmlformats-officedocument.spreadsheetml.printerSettings"/>
  <Override PartName="/xl/printerSettings/printerSettings272.bin" ContentType="application/vnd.openxmlformats-officedocument.spreadsheetml.printerSettings"/>
  <Override PartName="/xl/printerSettings/printerSettings273.bin" ContentType="application/vnd.openxmlformats-officedocument.spreadsheetml.printerSettings"/>
  <Override PartName="/xl/printerSettings/printerSettings274.bin" ContentType="application/vnd.openxmlformats-officedocument.spreadsheetml.printerSettings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eshleman\Dropbox\Work and research\Port Authority\construction_bids\"/>
    </mc:Choice>
  </mc:AlternateContent>
  <xr:revisionPtr revIDLastSave="0" documentId="13_ncr:1_{5B41D7DA-C227-437B-91C9-EC548DA0AE75}" xr6:coauthVersionLast="43" xr6:coauthVersionMax="45" xr10:uidLastSave="{00000000-0000-0000-0000-000000000000}"/>
  <bookViews>
    <workbookView xWindow="1635" yWindow="1320" windowWidth="25230" windowHeight="15225" tabRatio="912" activeTab="10" xr2:uid="{00000000-000D-0000-FFFF-FFFF00000000}"/>
  </bookViews>
  <sheets>
    <sheet name="MASTER SUMMARY" sheetId="21" r:id="rId1"/>
    <sheet name="2017 Analysis" sheetId="173" state="hidden" r:id="rId2"/>
    <sheet name="2016 Analysis" sheetId="99" state="hidden" r:id="rId3"/>
    <sheet name="2015 Analysis" sheetId="54" state="hidden" r:id="rId4"/>
    <sheet name="New Metric Sheet" sheetId="65" state="hidden" r:id="rId5"/>
    <sheet name="Anal 1Q17" sheetId="127" state="hidden" r:id="rId6"/>
    <sheet name="PATH 06022047" sheetId="138" state="hidden" r:id="rId7"/>
    <sheet name="3Q Est Update Meeting" sheetId="219" r:id="rId8"/>
    <sheet name="Army C of E data" sheetId="201" state="hidden" r:id="rId9"/>
    <sheet name="WORK ORDER SUMMARY" sheetId="248" r:id="rId10"/>
    <sheet name="SUMMARY" sheetId="2" r:id="rId11"/>
    <sheet name="ECON_ADJUSTMENT" sheetId="296" r:id="rId12"/>
    <sheet name="ECON_ASSUMPT" sheetId="295" r:id="rId13"/>
    <sheet name="ECON_OUTPUT" sheetId="294" r:id="rId14"/>
    <sheet name="JFK-944.805" sheetId="290" r:id="rId15"/>
    <sheet name="HT-924.110A" sheetId="289" r:id="rId16"/>
    <sheet name="JFK-1078" sheetId="288" r:id="rId17"/>
    <sheet name="MF-234.217" sheetId="287" r:id="rId18"/>
    <sheet name="PJ-664.537" sheetId="286" r:id="rId19"/>
    <sheet name="EWR-154.224A" sheetId="285" r:id="rId20"/>
    <sheet name="GWB-244.112" sheetId="284" r:id="rId21"/>
    <sheet name="LGA-984.315" sheetId="283" r:id="rId22"/>
    <sheet name="PAT-784.166" sheetId="282" r:id="rId23"/>
    <sheet name="HT-924.152A" sheetId="281" r:id="rId24"/>
    <sheet name="HT-224.130" sheetId="280" r:id="rId25"/>
    <sheet name="PJ-664.532" sheetId="279" r:id="rId26"/>
    <sheet name="HT-224.141" sheetId="277" r:id="rId27"/>
    <sheet name="HT-944.004" sheetId="276" r:id="rId28"/>
    <sheet name="PN-654.072" sheetId="275" r:id="rId29"/>
    <sheet name="LT-234.181" sheetId="274" r:id="rId30"/>
    <sheet name="HT-224.134" sheetId="273" r:id="rId31"/>
    <sheet name="LGA-124.266" sheetId="272" r:id="rId32"/>
    <sheet name="PAT-784.165" sheetId="271" r:id="rId33"/>
    <sheet name="PAT-774.216" sheetId="270" r:id="rId34"/>
    <sheet name="PAT-774.217" sheetId="268" r:id="rId35"/>
    <sheet name="JFK-154.020" sheetId="267" r:id="rId36"/>
    <sheet name="LT-535" sheetId="266" r:id="rId37"/>
    <sheet name="LGA-124.248" sheetId="265" r:id="rId38"/>
    <sheet name="PAT-084.064" sheetId="264" r:id="rId39"/>
    <sheet name="PAT-774.179" sheetId="263" r:id="rId40"/>
    <sheet name="GWB-924.137A" sheetId="262" r:id="rId41"/>
    <sheet name="JFK-184.676" sheetId="261" r:id="rId42"/>
    <sheet name="LGA-124.256" sheetId="260" r:id="rId43"/>
    <sheet name="JFK-184.043" sheetId="259" r:id="rId44"/>
    <sheet name="PN-654.566" sheetId="258" r:id="rId45"/>
    <sheet name="GWB-984.205" sheetId="257" r:id="rId46"/>
    <sheet name="AK-196A" sheetId="256" r:id="rId47"/>
    <sheet name="GWB-934.046" sheetId="255" r:id="rId48"/>
    <sheet name="LGA-124.270" sheetId="254" r:id="rId49"/>
    <sheet name="MFP-994.679" sheetId="253" r:id="rId50"/>
    <sheet name="GWB-244.260" sheetId="252" r:id="rId51"/>
    <sheet name="EWR-154.306A" sheetId="251" r:id="rId52"/>
    <sheet name="GWB-244.236" sheetId="250" r:id="rId53"/>
    <sheet name="JFK-174.016" sheetId="249" r:id="rId54"/>
    <sheet name="EWR-154.360 Void" sheetId="247" r:id="rId55"/>
    <sheet name="TEB-144.055" sheetId="246" r:id="rId56"/>
    <sheet name="PAT-774.176" sheetId="245" r:id="rId57"/>
    <sheet name="PAT-214.013" sheetId="243" r:id="rId58"/>
    <sheet name="EWR-154.386" sheetId="242" r:id="rId59"/>
    <sheet name="LGA-124.269" sheetId="241" r:id="rId60"/>
    <sheet name="LGA-124.268" sheetId="240" r:id="rId61"/>
    <sheet name="EWR-154.299" sheetId="239" r:id="rId62"/>
    <sheet name="JFK-164.020" sheetId="238" r:id="rId63"/>
    <sheet name="LGA-924.120" sheetId="237" r:id="rId64"/>
    <sheet name="PAT-024.200" sheetId="236" r:id="rId65"/>
    <sheet name="AK-196 Void" sheetId="235" r:id="rId66"/>
    <sheet name="HT-224.125" sheetId="234" r:id="rId67"/>
    <sheet name="PAT-774.174" sheetId="233" r:id="rId68"/>
    <sheet name="PAT-784.175" sheetId="232" r:id="rId69"/>
    <sheet name="EWR-154.306 Void" sheetId="231" r:id="rId70"/>
    <sheet name="PAT-630" sheetId="230" r:id="rId71"/>
    <sheet name="BT-254.153" sheetId="229" r:id="rId72"/>
    <sheet name="JFK-174.017" sheetId="228" r:id="rId73"/>
    <sheet name="HT-924.152 Void" sheetId="227" r:id="rId74"/>
    <sheet name="GWB-924.168" sheetId="226" r:id="rId75"/>
    <sheet name="HT-924.110" sheetId="225" r:id="rId76"/>
    <sheet name="PAT-784.169" sheetId="224" r:id="rId77"/>
    <sheet name="GWB-244.204A" sheetId="223" r:id="rId78"/>
    <sheet name="EWR-154.348" sheetId="222" r:id="rId79"/>
    <sheet name="PAT-024.203" sheetId="221" r:id="rId80"/>
    <sheet name="PAT-784.162" sheetId="220" r:id="rId81"/>
    <sheet name="SWF-164.032" sheetId="218" r:id="rId82"/>
    <sheet name="LT-944.096B" sheetId="216" r:id="rId83"/>
    <sheet name="GWB-924.137" sheetId="215" r:id="rId84"/>
    <sheet name="LT-924.183" sheetId="214" r:id="rId85"/>
    <sheet name="GWB-244.049" sheetId="212" r:id="rId86"/>
    <sheet name="PN-654.562A" sheetId="211" r:id="rId87"/>
    <sheet name="MFA-924.454" sheetId="217" r:id="rId88"/>
    <sheet name="LGA-124.260" sheetId="210" r:id="rId89"/>
    <sheet name="HT-224.082" sheetId="209" r:id="rId90"/>
    <sheet name="EWR-154.308 bafo" sheetId="208" r:id="rId91"/>
    <sheet name="PAT-774.170" sheetId="207" r:id="rId92"/>
    <sheet name="MFP-694.514" sheetId="206" r:id="rId93"/>
    <sheet name="PAT-024.099" sheetId="204" r:id="rId94"/>
    <sheet name="EWR-154.395" sheetId="203" r:id="rId95"/>
    <sheet name="GWB-244.204 Void" sheetId="205" r:id="rId96"/>
    <sheet name="MFP-924.650" sheetId="202" r:id="rId97"/>
    <sheet name="LT-924.121" sheetId="200" r:id="rId98"/>
    <sheet name="EWR-154.308 Void" sheetId="199" r:id="rId99"/>
    <sheet name="PAT-774.169" sheetId="197" r:id="rId100"/>
    <sheet name="MFP-824.016" sheetId="196" r:id="rId101"/>
    <sheet name="TEB-144.046" sheetId="195" r:id="rId102"/>
    <sheet name="LGA-124.261" sheetId="194" r:id="rId103"/>
    <sheet name="AKO-284.051" sheetId="193" r:id="rId104"/>
    <sheet name="AKO-284.049" sheetId="192" r:id="rId105"/>
    <sheet name="LT-924.175" sheetId="191" r:id="rId106"/>
    <sheet name="EWR-154.396" sheetId="190" r:id="rId107"/>
    <sheet name="PAT-784.172" sheetId="189" r:id="rId108"/>
    <sheet name="EWR-924.231" sheetId="188" r:id="rId109"/>
    <sheet name="JFK-184.010" sheetId="187" r:id="rId110"/>
    <sheet name="LGA-124.264" sheetId="186" r:id="rId111"/>
    <sheet name="GWB-244.265" sheetId="185" r:id="rId112"/>
    <sheet name="LGA-774.264" sheetId="184" r:id="rId113"/>
    <sheet name="HH-634.514" sheetId="183" r:id="rId114"/>
    <sheet name="PAT-924.802" sheetId="182" r:id="rId115"/>
    <sheet name="EWR-154.224 Void" sheetId="181" r:id="rId116"/>
    <sheet name="PAT-650" sheetId="180" r:id="rId117"/>
    <sheet name="GWB-244.267" sheetId="179" r:id="rId118"/>
    <sheet name="GWB-244.261" sheetId="177" r:id="rId119"/>
    <sheet name="TEB-144.056" sheetId="176" r:id="rId120"/>
    <sheet name="PN-654.562 Void" sheetId="175" r:id="rId121"/>
    <sheet name="LGA-924.287" sheetId="174" r:id="rId122"/>
    <sheet name="EWR-154.263" sheetId="171" r:id="rId123"/>
    <sheet name="JFK-144.023" sheetId="170" r:id="rId124"/>
    <sheet name="EWR-154.235" sheetId="169" r:id="rId125"/>
    <sheet name="LT-234.193" sheetId="172" r:id="rId126"/>
    <sheet name="BT-254.085" sheetId="168" r:id="rId127"/>
    <sheet name="EWR-154.247" sheetId="167" r:id="rId128"/>
    <sheet name="PJ-654.502" sheetId="166" r:id="rId129"/>
    <sheet name="EWR-154.383" sheetId="164" r:id="rId130"/>
    <sheet name="LT-234.194" sheetId="163" r:id="rId131"/>
    <sheet name="PAT-534.316A" sheetId="162" r:id="rId132"/>
    <sheet name="JFK-154.021" sheetId="161" r:id="rId133"/>
    <sheet name="EWR-154.254" sheetId="160" r:id="rId134"/>
    <sheet name="EWR-924.384" sheetId="159" r:id="rId135"/>
    <sheet name="HT-924.144" sheetId="158" r:id="rId136"/>
    <sheet name="HT-924.106" sheetId="157" r:id="rId137"/>
    <sheet name="GWB-244.042" sheetId="156" r:id="rId138"/>
    <sheet name="BP-694.510" sheetId="155" r:id="rId139"/>
    <sheet name="MF-924.022" sheetId="154" r:id="rId140"/>
    <sheet name="EWR-251" sheetId="153" r:id="rId141"/>
    <sheet name="LGA-154.251" sheetId="152" r:id="rId142"/>
    <sheet name="MFP-924.662" sheetId="151" r:id="rId143"/>
    <sheet name="JFK-1070" sheetId="150" r:id="rId144"/>
    <sheet name="JFK-154.024" sheetId="149" r:id="rId145"/>
    <sheet name="HT-224.120" sheetId="148" r:id="rId146"/>
    <sheet name="LGA-124.244" sheetId="147" r:id="rId147"/>
    <sheet name="PAT-024.002" sheetId="146" r:id="rId148"/>
    <sheet name="EWR-154.240" sheetId="145" r:id="rId149"/>
    <sheet name="EWR-154.227" sheetId="144" r:id="rId150"/>
    <sheet name="LGA-774.235" sheetId="143" r:id="rId151"/>
    <sheet name="EWR-154.271" sheetId="142" r:id="rId152"/>
    <sheet name="EWR-154.264" sheetId="141" r:id="rId153"/>
    <sheet name="GWB-924.159B" sheetId="140" r:id="rId154"/>
    <sheet name="EWR-924.233" sheetId="137" r:id="rId155"/>
    <sheet name="JFK-154.019" sheetId="136" r:id="rId156"/>
    <sheet name="PAT-024.031" sheetId="139" r:id="rId157"/>
    <sheet name="MFP-924.641" sheetId="135" r:id="rId158"/>
    <sheet name="EP-924.643" sheetId="134" r:id="rId159"/>
    <sheet name="LT-234.179" sheetId="133" r:id="rId160"/>
    <sheet name="GWB-924.176" sheetId="132" r:id="rId161"/>
    <sheet name="MFP-924.645A" sheetId="131" r:id="rId162"/>
    <sheet name="PN-654.558" sheetId="130" r:id="rId163"/>
    <sheet name="TEB-144.048" sheetId="129" r:id="rId164"/>
    <sheet name="PAT-084.001" sheetId="128" r:id="rId165"/>
    <sheet name="EWR-154.234" sheetId="123" r:id="rId166"/>
    <sheet name="MFP-924.634" sheetId="126" r:id="rId167"/>
    <sheet name="BT-254.123" sheetId="125" r:id="rId168"/>
    <sheet name="LGA-124.255" sheetId="124" r:id="rId169"/>
    <sheet name="MFP-072.016" sheetId="122" r:id="rId170"/>
    <sheet name="GWB-244.263" sheetId="121" r:id="rId171"/>
    <sheet name="GWB-244.048" sheetId="119" r:id="rId172"/>
    <sheet name="LGA-124.250" sheetId="118" r:id="rId173"/>
    <sheet name="TEB-144.045" sheetId="120" r:id="rId174"/>
    <sheet name="EWR-924.375" sheetId="116" r:id="rId175"/>
    <sheet name="GWB-924.170" sheetId="115" r:id="rId176"/>
    <sheet name="JFK-124.009" sheetId="114" r:id="rId177"/>
    <sheet name="MFP-924.645 Void" sheetId="113" r:id="rId178"/>
    <sheet name="JFK-154.022" sheetId="112" r:id="rId179"/>
    <sheet name="LGA-103.015" sheetId="111" r:id="rId180"/>
    <sheet name="EWR-154.392" sheetId="110" r:id="rId181"/>
    <sheet name="HT-924.089" sheetId="109" r:id="rId182"/>
    <sheet name="MFP-924.644" sheetId="108" r:id="rId183"/>
    <sheet name="JFK-1067" sheetId="107" r:id="rId184"/>
    <sheet name="JFK-124.016" sheetId="106" r:id="rId185"/>
    <sheet name="PAT-084.039" sheetId="105" r:id="rId186"/>
    <sheet name="EWR-924.288" sheetId="104" r:id="rId187"/>
    <sheet name="PAT-534.316 Void" sheetId="103" r:id="rId188"/>
    <sheet name="PN-654.551" sheetId="102" r:id="rId189"/>
    <sheet name="PJ-664.503" sheetId="101" r:id="rId190"/>
    <sheet name="LGA-124.236" sheetId="100" r:id="rId191"/>
    <sheet name="SWF-017" sheetId="98" r:id="rId192"/>
    <sheet name="GWB-924.159A Void" sheetId="97" r:id="rId193"/>
    <sheet name="GWB-563" sheetId="96" r:id="rId194"/>
    <sheet name="JFK-124.027" sheetId="90" r:id="rId195"/>
    <sheet name="HT-924.097" sheetId="93" r:id="rId196"/>
    <sheet name="AKO-924.054" sheetId="92" r:id="rId197"/>
    <sheet name="HT-224.127" sheetId="95" r:id="rId198"/>
    <sheet name="PAT-024.069A" sheetId="91" r:id="rId199"/>
    <sheet name="PJ-664.527" sheetId="89" r:id="rId200"/>
    <sheet name="JFK-144.019" sheetId="88" r:id="rId201"/>
    <sheet name="PN-654.042A" sheetId="87" r:id="rId202"/>
    <sheet name="EWR-924.366" sheetId="86" r:id="rId203"/>
    <sheet name="PAT-784.164" sheetId="85" r:id="rId204"/>
    <sheet name="LT-534" sheetId="84" r:id="rId205"/>
    <sheet name="LT-944.096 Void" sheetId="83" r:id="rId206"/>
    <sheet name="LT-934.027" sheetId="82" r:id="rId207"/>
    <sheet name="JFK-1064" sheetId="81" r:id="rId208"/>
    <sheet name="LT-800.382" sheetId="80" r:id="rId209"/>
    <sheet name="LT-924.028" sheetId="78" r:id="rId210"/>
    <sheet name="PN-654.038" sheetId="79" r:id="rId211"/>
    <sheet name="HT-469" sheetId="76" r:id="rId212"/>
    <sheet name="LGA-124.086" sheetId="75" r:id="rId213"/>
    <sheet name="NYNJRR-644.537" sheetId="74" r:id="rId214"/>
    <sheet name="HT-473A Void" sheetId="73" r:id="rId215"/>
    <sheet name="LT-924.014A" sheetId="72" r:id="rId216"/>
    <sheet name="GWB-244.246" sheetId="71" r:id="rId217"/>
    <sheet name="HT-224.117" sheetId="70" r:id="rId218"/>
    <sheet name="EWR-924.281" sheetId="69" r:id="rId219"/>
    <sheet name="EP-684.509A" sheetId="68" r:id="rId220"/>
    <sheet name="PAT-784.163" sheetId="67" r:id="rId221"/>
    <sheet name="SWF-164.054" sheetId="66" r:id="rId222"/>
    <sheet name="MFP-924.638" sheetId="64" r:id="rId223"/>
    <sheet name="EWR-154.197" sheetId="63" r:id="rId224"/>
    <sheet name="LGA-774.133B" sheetId="60" r:id="rId225"/>
    <sheet name="GWB-244.150" sheetId="59" r:id="rId226"/>
    <sheet name="LGA-124.240" sheetId="61" r:id="rId227"/>
    <sheet name="LGA-103.014" sheetId="58" r:id="rId228"/>
    <sheet name="PAT-774.154" sheetId="62" r:id="rId229"/>
    <sheet name="PN-654.544" sheetId="57" r:id="rId230"/>
    <sheet name="WTC-222.004" sheetId="56" r:id="rId231"/>
    <sheet name="PN-654.041" sheetId="55" r:id="rId232"/>
    <sheet name="WTC-222.004 Void" sheetId="53" r:id="rId233"/>
    <sheet name="EP-684.509 Void" sheetId="52" r:id="rId234"/>
    <sheet name="AK-195" sheetId="51" r:id="rId235"/>
    <sheet name="TP-104.006" sheetId="50" r:id="rId236"/>
    <sheet name="GWB-564" sheetId="8" r:id="rId237"/>
    <sheet name="MFA-924.283" sheetId="17" r:id="rId238"/>
    <sheet name="HT-224.116" sheetId="18" r:id="rId239"/>
    <sheet name="GWB-566" sheetId="10" r:id="rId240"/>
    <sheet name=" PAT-024.069 Void" sheetId="11" r:id="rId241"/>
    <sheet name="GWB-924.092" sheetId="19" r:id="rId242"/>
    <sheet name="GWB-924.159" sheetId="12" r:id="rId243"/>
    <sheet name="EWR-154.184" sheetId="13" r:id="rId244"/>
    <sheet name="GWB-244.256" sheetId="20" r:id="rId245"/>
    <sheet name="PN-654.036" sheetId="14" r:id="rId246"/>
    <sheet name="LGA-124.226" sheetId="15" r:id="rId247"/>
    <sheet name="EWR-924.320" sheetId="16" r:id="rId248"/>
    <sheet name="LGA-124.229" sheetId="22" r:id="rId249"/>
    <sheet name="EWR-924.175A" sheetId="23" r:id="rId250"/>
    <sheet name="EWR-154.239" sheetId="24" r:id="rId251"/>
    <sheet name="LGA-774.133A" sheetId="25" r:id="rId252"/>
    <sheet name="LT-924.014" sheetId="26" r:id="rId253"/>
    <sheet name="GWB-244.240" sheetId="27" r:id="rId254"/>
    <sheet name="MFP-924.623" sheetId="28" r:id="rId255"/>
    <sheet name="NYNJRR-644.531" sheetId="29" r:id="rId256"/>
    <sheet name="JFK-914.209" sheetId="30" r:id="rId257"/>
    <sheet name="PN-654.545" sheetId="31" r:id="rId258"/>
    <sheet name="PAT-131.000" sheetId="32" r:id="rId259"/>
    <sheet name="SWF-164.031A" sheetId="33" r:id="rId260"/>
    <sheet name="GWB-924.044" sheetId="49" r:id="rId261"/>
    <sheet name="TEB-914.203" sheetId="35" r:id="rId262"/>
    <sheet name="MFP-924.630" sheetId="36" r:id="rId263"/>
    <sheet name="PAT-643" sheetId="37" r:id="rId264"/>
    <sheet name="LGA-774.234" sheetId="38" r:id="rId265"/>
    <sheet name="LGA-774.236" sheetId="39" r:id="rId266"/>
    <sheet name="JFK-1050" sheetId="40" r:id="rId267"/>
    <sheet name="LGA-774.133" sheetId="41" r:id="rId268"/>
    <sheet name="PJ-924.624" sheetId="42" r:id="rId269"/>
    <sheet name="PAT-084.057" sheetId="43" r:id="rId270"/>
    <sheet name="PN-954.004" sheetId="44" r:id="rId271"/>
    <sheet name="JFK-134.025" sheetId="45" r:id="rId272"/>
    <sheet name="LGA-124.231" sheetId="46" r:id="rId273"/>
    <sheet name="LGA-124.166" sheetId="48" r:id="rId274"/>
    <sheet name="LS format" sheetId="1" r:id="rId275"/>
    <sheet name="CL-UCL format" sheetId="4" r:id="rId276"/>
    <sheet name="CL-UCL-Comp format" sheetId="5" r:id="rId277"/>
    <sheet name="Test tab" sheetId="3" r:id="rId278"/>
  </sheets>
  <definedNames>
    <definedName name="_xlnm._FilterDatabase" localSheetId="10" hidden="1">SUMMARY!$D$2:$D$945</definedName>
    <definedName name="_xlnm._FilterDatabase" localSheetId="9" hidden="1">'WORK ORDER SUMMARY'!$D$2:$D$50</definedName>
    <definedName name="_xlnm.Print_Area" localSheetId="7">'3Q Est Update Meeting'!$A$1:$M$54</definedName>
    <definedName name="_xlnm.Print_Area" localSheetId="5">'Anal 1Q17'!$B$2:$S$27</definedName>
    <definedName name="_xlnm.Print_Area" localSheetId="138">'BP-694.510'!$A$1:$L$47</definedName>
    <definedName name="_xlnm.Print_Area" localSheetId="126">'BT-254.085'!$C$2:$M$47</definedName>
    <definedName name="_xlnm.Print_Area" localSheetId="71">'BT-254.153'!$A$1:$L$57</definedName>
    <definedName name="_xlnm.Print_Area" localSheetId="276">'CL-UCL-Comp format'!$D$2:$L$46</definedName>
    <definedName name="_xlnm.Print_Area" localSheetId="223">'EWR-154.197'!$C$1:$L$47</definedName>
    <definedName name="_xlnm.Print_Area" localSheetId="115">'EWR-154.224 Void'!$C$2:$M$47</definedName>
    <definedName name="_xlnm.Print_Area" localSheetId="165">'EWR-154.234'!$A$1:$L$57</definedName>
    <definedName name="_xlnm.Print_Area" localSheetId="124">'EWR-154.235'!$A$1:$L$57</definedName>
    <definedName name="_xlnm.Print_Area" localSheetId="69">'EWR-154.306 Void'!$A$1:$L$57</definedName>
    <definedName name="_xlnm.Print_Area" localSheetId="51">'EWR-154.306A'!$A$1:$L$57</definedName>
    <definedName name="_xlnm.Print_Area" localSheetId="90">'EWR-154.308 bafo'!$A$1:$L$57</definedName>
    <definedName name="_xlnm.Print_Area" localSheetId="98">'EWR-154.308 Void'!$A$1:$L$57</definedName>
    <definedName name="_xlnm.Print_Area" localSheetId="129">'EWR-154.383'!$A$1:$L$57</definedName>
    <definedName name="_xlnm.Print_Area" localSheetId="58">'EWR-154.386'!$C$2:$M$47</definedName>
    <definedName name="_xlnm.Print_Area" localSheetId="180">'EWR-154.392'!$D$2:$L$46</definedName>
    <definedName name="_xlnm.Print_Area" localSheetId="94">'EWR-154.395'!$C$2:$M$47</definedName>
    <definedName name="_xlnm.Print_Area" localSheetId="106">'EWR-154.396'!$A$1:$L$57</definedName>
    <definedName name="_xlnm.Print_Area" localSheetId="140">'EWR-251'!$A$1:$L$57</definedName>
    <definedName name="_xlnm.Print_Area" localSheetId="108">'EWR-924.231'!$A$1:$L$57</definedName>
    <definedName name="_xlnm.Print_Area" localSheetId="137">'GWB-244.042'!$C$2:$M$47</definedName>
    <definedName name="_xlnm.Print_Area" localSheetId="171">'GWB-244.048'!$C$2:$M$47</definedName>
    <definedName name="_xlnm.Print_Area" localSheetId="85">'GWB-244.049'!$C$2:$M$47</definedName>
    <definedName name="_xlnm.Print_Area" localSheetId="20">'GWB-244.112'!$C$2:$M$47</definedName>
    <definedName name="_xlnm.Print_Area" localSheetId="225">'GWB-244.150'!$C$2:$L$48</definedName>
    <definedName name="_xlnm.Print_Area" localSheetId="95">'GWB-244.204 Void'!$C$2:$M$47</definedName>
    <definedName name="_xlnm.Print_Area" localSheetId="77">'GWB-244.204A'!$C$2:$M$47</definedName>
    <definedName name="_xlnm.Print_Area" localSheetId="52">'GWB-244.236'!$C$2:$M$47</definedName>
    <definedName name="_xlnm.Print_Area" localSheetId="50">'GWB-244.260'!$C$2:$M$47</definedName>
    <definedName name="_xlnm.Print_Area" localSheetId="117">'GWB-244.267'!$A$1:$L$57</definedName>
    <definedName name="_xlnm.Print_Area" localSheetId="74">'GWB-924.168'!$A$1:$L$57</definedName>
    <definedName name="_xlnm.Print_Area" localSheetId="113">'HH-634.514'!$A$1:$L$57</definedName>
    <definedName name="_xlnm.Print_Area" localSheetId="197">'HT-224.127'!$C$2:$L$49</definedName>
    <definedName name="_xlnm.Print_Area" localSheetId="24">'HT-224.130'!$A$1:$L$56</definedName>
    <definedName name="_xlnm.Print_Area" localSheetId="211">'HT-469'!$B$1:$L$47</definedName>
    <definedName name="_xlnm.Print_Area" localSheetId="183">'JFK-1067'!$D$2:$L$46</definedName>
    <definedName name="_xlnm.Print_Area" localSheetId="184">'JFK-124.016'!$D$2:$L$46</definedName>
    <definedName name="_xlnm.Print_Area" localSheetId="200">'JFK-144.019'!$D$2:$L$46</definedName>
    <definedName name="_xlnm.Print_Area" localSheetId="35">'JFK-154.020'!$A$1:$L$57</definedName>
    <definedName name="_xlnm.Print_Area" localSheetId="132">'JFK-154.021'!$A$1:$L$57</definedName>
    <definedName name="_xlnm.Print_Area" localSheetId="62">'JFK-164.020'!$C$2:$M$47</definedName>
    <definedName name="_xlnm.Print_Area" localSheetId="53">'JFK-174.016'!$A$1:$L$57</definedName>
    <definedName name="_xlnm.Print_Area" localSheetId="72">'JFK-174.017'!$A$1:$L$57</definedName>
    <definedName name="_xlnm.Print_Area" localSheetId="109">'JFK-184.010'!$C$2:$M$47</definedName>
    <definedName name="_xlnm.Print_Area" localSheetId="43">'JFK-184.043'!$C$2:$M$47</definedName>
    <definedName name="_xlnm.Print_Area" localSheetId="14">'JFK-944.805'!$A$1:$L$56</definedName>
    <definedName name="_xlnm.Print_Area" localSheetId="227">'LGA-103.014'!$C$1:$L$47</definedName>
    <definedName name="_xlnm.Print_Area" localSheetId="190">'LGA-124.236'!$D$2:$L$46</definedName>
    <definedName name="_xlnm.Print_Area" localSheetId="226">'LGA-124.240'!$C$1:$L$47</definedName>
    <definedName name="_xlnm.Print_Area" localSheetId="37">'LGA-124.248'!$C$2:$M$47</definedName>
    <definedName name="_xlnm.Print_Area" localSheetId="172">'LGA-124.250'!$A$1:$L$57</definedName>
    <definedName name="_xlnm.Print_Area" localSheetId="88">'LGA-124.260'!$C$2:$M$47</definedName>
    <definedName name="_xlnm.Print_Area" localSheetId="102">'LGA-124.261'!$A$1:$L$57</definedName>
    <definedName name="_xlnm.Print_Area" localSheetId="31">'LGA-124.266'!$A$1:$L$56</definedName>
    <definedName name="_xlnm.Print_Area" localSheetId="150">'LGA-774.235'!$A$1:$L$57</definedName>
    <definedName name="_xlnm.Print_Area" localSheetId="125">'LT-234.193'!$A$1:$L$57</definedName>
    <definedName name="_xlnm.Print_Area" localSheetId="36">'LT-535'!$A$1:$L$57</definedName>
    <definedName name="_xlnm.Print_Area" localSheetId="84">'LT-924.183'!$A$1:$L$57</definedName>
    <definedName name="_xlnm.Print_Area" localSheetId="139">'MF-924.022'!$A$1:$L$57</definedName>
    <definedName name="_xlnm.Print_Area" localSheetId="237">'MFA-924.283'!$D$2:$L$46</definedName>
    <definedName name="_xlnm.Print_Area" localSheetId="87">'MFA-924.454'!$C$2:$M$47</definedName>
    <definedName name="_xlnm.Print_Area" localSheetId="213">'NYNJRR-644.537'!$B$1:$L$47</definedName>
    <definedName name="_xlnm.Print_Area" localSheetId="156">'PAT-024.031'!$A$1:$L$57</definedName>
    <definedName name="_xlnm.Print_Area" localSheetId="164">'PAT-084.001'!$A$1:$L$57</definedName>
    <definedName name="_xlnm.Print_Area" localSheetId="228">'PAT-774.154'!$C$1:$L$47</definedName>
    <definedName name="_xlnm.Print_Area" localSheetId="56">'PAT-774.176'!$A$1:$L$57</definedName>
    <definedName name="_xlnm.Print_Area" localSheetId="33">'PAT-774.216'!$A$1:$L$56</definedName>
    <definedName name="_xlnm.Print_Area" localSheetId="68">'PAT-784.175'!$A$1:$L$57</definedName>
    <definedName name="_xlnm.Print_Area" localSheetId="6">'PATH 06022047'!$B$2:$S$13</definedName>
    <definedName name="_xlnm.Print_Area" localSheetId="128">'PJ-654.502'!$A$1:$L$57</definedName>
    <definedName name="_xlnm.Print_Area" localSheetId="25">'PJ-664.532'!$A$1:$L$56</definedName>
    <definedName name="_xlnm.Print_Area" localSheetId="231">'PN-654.041'!$C$2:$L$47</definedName>
    <definedName name="_xlnm.Print_Area" localSheetId="28">'PN-654.072'!$A$1:$L$56</definedName>
    <definedName name="_xlnm.Print_Area" localSheetId="229">'PN-654.544'!$C$1:$L$47</definedName>
    <definedName name="_xlnm.Print_Area" localSheetId="257">'PN-654.545'!$D$2:$L$46</definedName>
    <definedName name="_xlnm.Print_Area" localSheetId="44">'PN-654.566'!$A$1:$L$57</definedName>
    <definedName name="_xlnm.Print_Area" localSheetId="10">SUMMARY!$B$2:$T$187</definedName>
    <definedName name="_xlnm.Print_Area" localSheetId="101">'TEB-144.046'!$A$1:$L$57</definedName>
    <definedName name="_xlnm.Print_Area" localSheetId="163">'TEB-144.048'!$A$1:$L$57</definedName>
    <definedName name="_xlnm.Print_Area" localSheetId="55">'TEB-144.055'!$A$1:$L$57</definedName>
    <definedName name="_xlnm.Print_Area" localSheetId="9">'WORK ORDER SUMMARY'!$B$2:$T$50</definedName>
    <definedName name="_xlnm.Print_Area" localSheetId="230">'WTC-222.004'!$C$1:$L$47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3" i="290" l="1"/>
  <c r="J12" i="290"/>
  <c r="AD283" i="2"/>
  <c r="Z283" i="2"/>
  <c r="M287" i="2"/>
  <c r="M288" i="2" s="1"/>
  <c r="AE288" i="2"/>
  <c r="AE287" i="2"/>
  <c r="AE286" i="2"/>
  <c r="M286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51" i="2"/>
  <c r="AD52" i="2"/>
  <c r="AD53" i="2"/>
  <c r="AD54" i="2"/>
  <c r="AD55" i="2"/>
  <c r="AD56" i="2"/>
  <c r="AD57" i="2"/>
  <c r="AD58" i="2"/>
  <c r="AD59" i="2"/>
  <c r="AD60" i="2"/>
  <c r="AD62" i="2"/>
  <c r="AD63" i="2"/>
  <c r="AD64" i="2"/>
  <c r="AD66" i="2"/>
  <c r="AD67" i="2"/>
  <c r="AD68" i="2"/>
  <c r="AD70" i="2"/>
  <c r="AD72" i="2"/>
  <c r="AD74" i="2"/>
  <c r="AD75" i="2"/>
  <c r="AD76" i="2"/>
  <c r="AD77" i="2"/>
  <c r="AD78" i="2"/>
  <c r="AD79" i="2"/>
  <c r="AD81" i="2"/>
  <c r="AD82" i="2"/>
  <c r="AD83" i="2"/>
  <c r="AD84" i="2"/>
  <c r="AD85" i="2"/>
  <c r="AD86" i="2"/>
  <c r="AD87" i="2"/>
  <c r="AD89" i="2"/>
  <c r="AD90" i="2"/>
  <c r="AD91" i="2"/>
  <c r="AD92" i="2"/>
  <c r="AD94" i="2"/>
  <c r="AD95" i="2"/>
  <c r="AD97" i="2"/>
  <c r="AD98" i="2"/>
  <c r="AD99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5" i="2"/>
  <c r="AD116" i="2"/>
  <c r="AD118" i="2"/>
  <c r="AD119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70" i="2"/>
  <c r="AD171" i="2"/>
  <c r="AD172" i="2"/>
  <c r="AD173" i="2"/>
  <c r="AD174" i="2"/>
  <c r="AD175" i="2"/>
  <c r="AD176" i="2"/>
  <c r="AD177" i="2"/>
  <c r="AD178" i="2"/>
  <c r="AD179" i="2"/>
  <c r="AD181" i="2"/>
  <c r="AD182" i="2"/>
  <c r="AD183" i="2"/>
  <c r="AD184" i="2"/>
  <c r="AD185" i="2"/>
  <c r="AD186" i="2"/>
  <c r="AD187" i="2"/>
  <c r="AD189" i="2"/>
  <c r="AD190" i="2"/>
  <c r="AD192" i="2"/>
  <c r="AD193" i="2"/>
  <c r="AD194" i="2"/>
  <c r="AD195" i="2"/>
  <c r="AD197" i="2"/>
  <c r="AD198" i="2"/>
  <c r="AD199" i="2"/>
  <c r="AD200" i="2"/>
  <c r="AD201" i="2"/>
  <c r="AD202" i="2"/>
  <c r="AD204" i="2"/>
  <c r="AD205" i="2"/>
  <c r="AD206" i="2"/>
  <c r="AD207" i="2"/>
  <c r="AD208" i="2"/>
  <c r="AD210" i="2"/>
  <c r="AD211" i="2"/>
  <c r="AD212" i="2"/>
  <c r="AD214" i="2"/>
  <c r="AD215" i="2"/>
  <c r="AD216" i="2"/>
  <c r="AD217" i="2"/>
  <c r="AD218" i="2"/>
  <c r="AD220" i="2"/>
  <c r="AD221" i="2"/>
  <c r="AD222" i="2"/>
  <c r="AD223" i="2"/>
  <c r="AD224" i="2"/>
  <c r="AD225" i="2"/>
  <c r="AD226" i="2"/>
  <c r="AD228" i="2"/>
  <c r="AD229" i="2"/>
  <c r="AD230" i="2"/>
  <c r="AD231" i="2"/>
  <c r="AD232" i="2"/>
  <c r="AD233" i="2"/>
  <c r="AD234" i="2"/>
  <c r="AD235" i="2"/>
  <c r="AD236" i="2"/>
  <c r="AD237" i="2"/>
  <c r="AD241" i="2"/>
  <c r="AD242" i="2"/>
  <c r="AD243" i="2"/>
  <c r="AD244" i="2"/>
  <c r="AD245" i="2"/>
  <c r="AD246" i="2"/>
  <c r="AD248" i="2"/>
  <c r="AD250" i="2"/>
  <c r="AD251" i="2"/>
  <c r="AD253" i="2"/>
  <c r="AD254" i="2"/>
  <c r="AD255" i="2"/>
  <c r="AD256" i="2"/>
  <c r="AD257" i="2"/>
  <c r="AD258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7" i="2"/>
  <c r="AD279" i="2"/>
  <c r="AD280" i="2"/>
  <c r="AD281" i="2"/>
  <c r="AD282" i="2"/>
  <c r="AD7" i="2"/>
  <c r="F11" i="290"/>
  <c r="O2" i="296" l="1"/>
  <c r="AA3" i="296"/>
  <c r="AA4" i="296"/>
  <c r="AA5" i="296"/>
  <c r="AA6" i="296"/>
  <c r="AA7" i="296"/>
  <c r="AA8" i="296"/>
  <c r="AA9" i="296"/>
  <c r="AA10" i="296"/>
  <c r="AA11" i="296"/>
  <c r="AA12" i="296"/>
  <c r="AA13" i="296"/>
  <c r="AA14" i="296"/>
  <c r="AA15" i="296"/>
  <c r="AA16" i="296"/>
  <c r="AA17" i="296"/>
  <c r="AA18" i="296"/>
  <c r="AA19" i="296"/>
  <c r="AA20" i="296"/>
  <c r="AA21" i="296"/>
  <c r="AA22" i="296"/>
  <c r="AA23" i="296"/>
  <c r="AA24" i="296"/>
  <c r="AA25" i="296"/>
  <c r="AA26" i="296"/>
  <c r="AA27" i="296"/>
  <c r="AA28" i="296"/>
  <c r="AA29" i="296"/>
  <c r="AA30" i="296"/>
  <c r="AA31" i="296"/>
  <c r="AA32" i="296"/>
  <c r="AA33" i="296"/>
  <c r="AA34" i="296"/>
  <c r="AA35" i="296"/>
  <c r="AA36" i="296"/>
  <c r="AA37" i="296"/>
  <c r="AA38" i="296"/>
  <c r="AA39" i="296"/>
  <c r="AA40" i="296"/>
  <c r="AA41" i="296"/>
  <c r="AA42" i="296"/>
  <c r="AA43" i="296"/>
  <c r="AA44" i="296"/>
  <c r="AA45" i="296"/>
  <c r="AA46" i="296"/>
  <c r="AA47" i="296"/>
  <c r="AA48" i="296"/>
  <c r="AA49" i="296"/>
  <c r="AA50" i="296"/>
  <c r="AA51" i="296"/>
  <c r="AA52" i="296"/>
  <c r="AA53" i="296"/>
  <c r="AA54" i="296"/>
  <c r="AA55" i="296"/>
  <c r="AA56" i="296"/>
  <c r="AA57" i="296"/>
  <c r="AA58" i="296"/>
  <c r="AA59" i="296"/>
  <c r="AA60" i="296"/>
  <c r="AA61" i="296"/>
  <c r="AA62" i="296"/>
  <c r="AA63" i="296"/>
  <c r="AA64" i="296"/>
  <c r="AA65" i="296"/>
  <c r="AA66" i="296"/>
  <c r="AA67" i="296"/>
  <c r="AA68" i="296"/>
  <c r="AA69" i="296"/>
  <c r="AA70" i="296"/>
  <c r="AA71" i="296"/>
  <c r="AA72" i="296"/>
  <c r="AA73" i="296"/>
  <c r="AA74" i="296"/>
  <c r="AA75" i="296"/>
  <c r="AA76" i="296"/>
  <c r="AA77" i="296"/>
  <c r="AA78" i="296"/>
  <c r="AA79" i="296"/>
  <c r="AA80" i="296"/>
  <c r="AA81" i="296"/>
  <c r="AA82" i="296"/>
  <c r="AA83" i="296"/>
  <c r="AA84" i="296"/>
  <c r="AA85" i="296"/>
  <c r="AA86" i="296"/>
  <c r="AA87" i="296"/>
  <c r="AA88" i="296"/>
  <c r="AA89" i="296"/>
  <c r="AA90" i="296"/>
  <c r="AA91" i="296"/>
  <c r="AA92" i="296"/>
  <c r="AA93" i="296"/>
  <c r="AA94" i="296"/>
  <c r="AA95" i="296"/>
  <c r="AA96" i="296"/>
  <c r="AA97" i="296"/>
  <c r="AA98" i="296"/>
  <c r="AA99" i="296"/>
  <c r="AA100" i="296"/>
  <c r="AA101" i="296"/>
  <c r="AA102" i="296"/>
  <c r="AA103" i="296"/>
  <c r="AA104" i="296"/>
  <c r="AA105" i="296"/>
  <c r="AA106" i="296"/>
  <c r="AA107" i="296"/>
  <c r="AA108" i="296"/>
  <c r="AA109" i="296"/>
  <c r="AA110" i="296"/>
  <c r="AA111" i="296"/>
  <c r="AA112" i="296"/>
  <c r="AA113" i="296"/>
  <c r="AA114" i="296"/>
  <c r="AA115" i="296"/>
  <c r="AA116" i="296"/>
  <c r="AA117" i="296"/>
  <c r="AA118" i="296"/>
  <c r="AA119" i="296"/>
  <c r="AA120" i="296"/>
  <c r="AA121" i="296"/>
  <c r="AA122" i="296"/>
  <c r="AA123" i="296"/>
  <c r="AA124" i="296"/>
  <c r="AA125" i="296"/>
  <c r="AA126" i="296"/>
  <c r="AA127" i="296"/>
  <c r="AA128" i="296"/>
  <c r="AA129" i="296"/>
  <c r="AA130" i="296"/>
  <c r="AA131" i="296"/>
  <c r="AA132" i="296"/>
  <c r="AA133" i="296"/>
  <c r="AA134" i="296"/>
  <c r="AA135" i="296"/>
  <c r="AA136" i="296"/>
  <c r="AA137" i="296"/>
  <c r="AA138" i="296"/>
  <c r="AA139" i="296"/>
  <c r="AA140" i="296"/>
  <c r="AA141" i="296"/>
  <c r="AA142" i="296"/>
  <c r="AA143" i="296"/>
  <c r="AA144" i="296"/>
  <c r="AA145" i="296"/>
  <c r="AA146" i="296"/>
  <c r="AA147" i="296"/>
  <c r="AA148" i="296"/>
  <c r="AA149" i="296"/>
  <c r="AA150" i="296"/>
  <c r="AA151" i="296"/>
  <c r="AA152" i="296"/>
  <c r="AA153" i="296"/>
  <c r="AA154" i="296"/>
  <c r="AA155" i="296"/>
  <c r="AA156" i="296"/>
  <c r="AA157" i="296"/>
  <c r="AA158" i="296"/>
  <c r="AA159" i="296"/>
  <c r="AA160" i="296"/>
  <c r="AA161" i="296"/>
  <c r="AA162" i="296"/>
  <c r="AA163" i="296"/>
  <c r="AA164" i="296"/>
  <c r="AA165" i="296"/>
  <c r="AA166" i="296"/>
  <c r="AA167" i="296"/>
  <c r="AA168" i="296"/>
  <c r="AA169" i="296"/>
  <c r="AA170" i="296"/>
  <c r="AA171" i="296"/>
  <c r="AA172" i="296"/>
  <c r="AA173" i="296"/>
  <c r="AA174" i="296"/>
  <c r="AA175" i="296"/>
  <c r="AA176" i="296"/>
  <c r="AA177" i="296"/>
  <c r="AA178" i="296"/>
  <c r="AA179" i="296"/>
  <c r="AA180" i="296"/>
  <c r="AA181" i="296"/>
  <c r="AA182" i="296"/>
  <c r="AA183" i="296"/>
  <c r="AA184" i="296"/>
  <c r="AA185" i="296"/>
  <c r="AA186" i="296"/>
  <c r="AA187" i="296"/>
  <c r="AA188" i="296"/>
  <c r="AA189" i="296"/>
  <c r="AA190" i="296"/>
  <c r="AA191" i="296"/>
  <c r="AA192" i="296"/>
  <c r="AA193" i="296"/>
  <c r="AA194" i="296"/>
  <c r="AA195" i="296"/>
  <c r="AA196" i="296"/>
  <c r="AA197" i="296"/>
  <c r="AA198" i="296"/>
  <c r="AA199" i="296"/>
  <c r="AA200" i="296"/>
  <c r="AA201" i="296"/>
  <c r="AA202" i="296"/>
  <c r="AA203" i="296"/>
  <c r="AA204" i="296"/>
  <c r="AA205" i="296"/>
  <c r="AA206" i="296"/>
  <c r="AA207" i="296"/>
  <c r="AA208" i="296"/>
  <c r="AA209" i="296"/>
  <c r="AA210" i="296"/>
  <c r="AA211" i="296"/>
  <c r="AA212" i="296"/>
  <c r="AA213" i="296"/>
  <c r="AA214" i="296"/>
  <c r="AA215" i="296"/>
  <c r="AA216" i="296"/>
  <c r="AA217" i="296"/>
  <c r="AA218" i="296"/>
  <c r="AA219" i="296"/>
  <c r="AA220" i="296"/>
  <c r="AA221" i="296"/>
  <c r="AA222" i="296"/>
  <c r="AA223" i="296"/>
  <c r="AA224" i="296"/>
  <c r="AA225" i="296"/>
  <c r="AA226" i="296"/>
  <c r="AA227" i="296"/>
  <c r="AA228" i="296"/>
  <c r="AA229" i="296"/>
  <c r="AA230" i="296"/>
  <c r="AA231" i="296"/>
  <c r="AA232" i="296"/>
  <c r="AA233" i="296"/>
  <c r="AA234" i="296"/>
  <c r="AA235" i="296"/>
  <c r="AA236" i="296"/>
  <c r="AA237" i="296"/>
  <c r="AA238" i="296"/>
  <c r="AA239" i="296"/>
  <c r="AA240" i="296"/>
  <c r="O3" i="296" l="1"/>
  <c r="O4" i="296"/>
  <c r="O5" i="296"/>
  <c r="O6" i="296"/>
  <c r="O7" i="296"/>
  <c r="O8" i="296"/>
  <c r="O9" i="296"/>
  <c r="O10" i="296"/>
  <c r="O11" i="296"/>
  <c r="O12" i="296"/>
  <c r="O13" i="296"/>
  <c r="O14" i="296"/>
  <c r="O15" i="296"/>
  <c r="O16" i="296"/>
  <c r="O17" i="296"/>
  <c r="O18" i="296"/>
  <c r="O19" i="296"/>
  <c r="O20" i="296"/>
  <c r="O21" i="296"/>
  <c r="O22" i="296"/>
  <c r="O23" i="296"/>
  <c r="O24" i="296"/>
  <c r="O25" i="296"/>
  <c r="O26" i="296"/>
  <c r="O27" i="296"/>
  <c r="O28" i="296"/>
  <c r="O29" i="296"/>
  <c r="O30" i="296"/>
  <c r="O31" i="296"/>
  <c r="O32" i="296"/>
  <c r="O33" i="296"/>
  <c r="O34" i="296"/>
  <c r="O35" i="296"/>
  <c r="O36" i="296"/>
  <c r="O37" i="296"/>
  <c r="O38" i="296"/>
  <c r="O39" i="296"/>
  <c r="O40" i="296"/>
  <c r="O41" i="296"/>
  <c r="O42" i="296"/>
  <c r="O43" i="296"/>
  <c r="O44" i="296"/>
  <c r="O45" i="296"/>
  <c r="O46" i="296"/>
  <c r="O47" i="296"/>
  <c r="O48" i="296"/>
  <c r="O49" i="296"/>
  <c r="O50" i="296"/>
  <c r="O51" i="296"/>
  <c r="O52" i="296"/>
  <c r="O53" i="296"/>
  <c r="O54" i="296"/>
  <c r="O55" i="296"/>
  <c r="O56" i="296"/>
  <c r="O57" i="296"/>
  <c r="O58" i="296"/>
  <c r="O59" i="296"/>
  <c r="O60" i="296"/>
  <c r="O61" i="296"/>
  <c r="O62" i="296"/>
  <c r="O63" i="296"/>
  <c r="O64" i="296"/>
  <c r="O65" i="296"/>
  <c r="O66" i="296"/>
  <c r="O67" i="296"/>
  <c r="O68" i="296"/>
  <c r="O69" i="296"/>
  <c r="O70" i="296"/>
  <c r="O71" i="296"/>
  <c r="O72" i="296"/>
  <c r="O73" i="296"/>
  <c r="O74" i="296"/>
  <c r="O75" i="296"/>
  <c r="O76" i="296"/>
  <c r="O77" i="296"/>
  <c r="O78" i="296"/>
  <c r="O79" i="296"/>
  <c r="O80" i="296"/>
  <c r="O81" i="296"/>
  <c r="O82" i="296"/>
  <c r="O83" i="296"/>
  <c r="O84" i="296"/>
  <c r="O85" i="296"/>
  <c r="O86" i="296"/>
  <c r="O87" i="296"/>
  <c r="O88" i="296"/>
  <c r="O89" i="296"/>
  <c r="O90" i="296"/>
  <c r="O91" i="296"/>
  <c r="O92" i="296"/>
  <c r="O93" i="296"/>
  <c r="O94" i="296"/>
  <c r="O95" i="296"/>
  <c r="O96" i="296"/>
  <c r="O97" i="296"/>
  <c r="O98" i="296"/>
  <c r="O99" i="296"/>
  <c r="O100" i="296"/>
  <c r="O101" i="296"/>
  <c r="O102" i="296"/>
  <c r="O103" i="296"/>
  <c r="O104" i="296"/>
  <c r="O105" i="296"/>
  <c r="O106" i="296"/>
  <c r="O107" i="296"/>
  <c r="O108" i="296"/>
  <c r="O109" i="296"/>
  <c r="O110" i="296"/>
  <c r="O111" i="296"/>
  <c r="O112" i="296"/>
  <c r="O113" i="296"/>
  <c r="O114" i="296"/>
  <c r="O115" i="296"/>
  <c r="O116" i="296"/>
  <c r="O117" i="296"/>
  <c r="O118" i="296"/>
  <c r="O119" i="296"/>
  <c r="O120" i="296"/>
  <c r="O121" i="296"/>
  <c r="O122" i="296"/>
  <c r="O123" i="296"/>
  <c r="O124" i="296"/>
  <c r="O125" i="296"/>
  <c r="O126" i="296"/>
  <c r="O127" i="296"/>
  <c r="O128" i="296"/>
  <c r="O129" i="296"/>
  <c r="O130" i="296"/>
  <c r="O131" i="296"/>
  <c r="O132" i="296"/>
  <c r="O133" i="296"/>
  <c r="O134" i="296"/>
  <c r="O135" i="296"/>
  <c r="O136" i="296"/>
  <c r="O137" i="296"/>
  <c r="O138" i="296"/>
  <c r="O139" i="296"/>
  <c r="O140" i="296"/>
  <c r="O141" i="296"/>
  <c r="O142" i="296"/>
  <c r="O143" i="296"/>
  <c r="O144" i="296"/>
  <c r="O145" i="296"/>
  <c r="O146" i="296"/>
  <c r="O147" i="296"/>
  <c r="O148" i="296"/>
  <c r="O149" i="296"/>
  <c r="O150" i="296"/>
  <c r="O151" i="296"/>
  <c r="O152" i="296"/>
  <c r="O153" i="296"/>
  <c r="O154" i="296"/>
  <c r="O155" i="296"/>
  <c r="O156" i="296"/>
  <c r="O157" i="296"/>
  <c r="O158" i="296"/>
  <c r="O159" i="296"/>
  <c r="O160" i="296"/>
  <c r="O161" i="296"/>
  <c r="O162" i="296"/>
  <c r="O163" i="296"/>
  <c r="O164" i="296"/>
  <c r="O165" i="296"/>
  <c r="O166" i="296"/>
  <c r="O167" i="296"/>
  <c r="O168" i="296"/>
  <c r="O169" i="296"/>
  <c r="O170" i="296"/>
  <c r="O171" i="296"/>
  <c r="O172" i="296"/>
  <c r="O173" i="296"/>
  <c r="O174" i="296"/>
  <c r="O175" i="296"/>
  <c r="O176" i="296"/>
  <c r="O177" i="296"/>
  <c r="O178" i="296"/>
  <c r="O179" i="296"/>
  <c r="O180" i="296"/>
  <c r="O181" i="296"/>
  <c r="O182" i="296"/>
  <c r="O183" i="296"/>
  <c r="O184" i="296"/>
  <c r="O185" i="296"/>
  <c r="O186" i="296"/>
  <c r="O187" i="296"/>
  <c r="O188" i="296"/>
  <c r="O189" i="296"/>
  <c r="O190" i="296"/>
  <c r="O191" i="296"/>
  <c r="O192" i="296"/>
  <c r="O193" i="296"/>
  <c r="O194" i="296"/>
  <c r="O195" i="296"/>
  <c r="O196" i="296"/>
  <c r="O197" i="296"/>
  <c r="O198" i="296"/>
  <c r="O199" i="296"/>
  <c r="O200" i="296"/>
  <c r="O201" i="296"/>
  <c r="O202" i="296"/>
  <c r="O203" i="296"/>
  <c r="O204" i="296"/>
  <c r="O205" i="296"/>
  <c r="O206" i="296"/>
  <c r="O207" i="296"/>
  <c r="O208" i="296"/>
  <c r="O209" i="296"/>
  <c r="O210" i="296"/>
  <c r="O211" i="296"/>
  <c r="O212" i="296"/>
  <c r="O213" i="296"/>
  <c r="O214" i="296"/>
  <c r="O215" i="296"/>
  <c r="O216" i="296"/>
  <c r="O217" i="296"/>
  <c r="O218" i="296"/>
  <c r="O219" i="296"/>
  <c r="O220" i="296"/>
  <c r="O221" i="296"/>
  <c r="O222" i="296"/>
  <c r="O223" i="296"/>
  <c r="O224" i="296"/>
  <c r="O225" i="296"/>
  <c r="O226" i="296"/>
  <c r="O227" i="296"/>
  <c r="O228" i="296"/>
  <c r="O229" i="296"/>
  <c r="O230" i="296"/>
  <c r="O231" i="296"/>
  <c r="O232" i="296"/>
  <c r="O233" i="296"/>
  <c r="O234" i="296"/>
  <c r="O235" i="296"/>
  <c r="O236" i="296"/>
  <c r="O237" i="296"/>
  <c r="O238" i="296"/>
  <c r="O239" i="296"/>
  <c r="O240" i="296"/>
  <c r="G14" i="295"/>
  <c r="P6" i="296" s="1"/>
  <c r="G13" i="295"/>
  <c r="P4" i="296"/>
  <c r="P5" i="296"/>
  <c r="P8" i="296"/>
  <c r="P9" i="296"/>
  <c r="P10" i="296"/>
  <c r="P11" i="296"/>
  <c r="P12" i="296"/>
  <c r="P13" i="296"/>
  <c r="P15" i="296"/>
  <c r="P16" i="296"/>
  <c r="P17" i="296"/>
  <c r="P18" i="296"/>
  <c r="P19" i="296"/>
  <c r="P20" i="296"/>
  <c r="P21" i="296"/>
  <c r="P22" i="296"/>
  <c r="P23" i="296"/>
  <c r="P24" i="296"/>
  <c r="P25" i="296"/>
  <c r="P27" i="296"/>
  <c r="P28" i="296"/>
  <c r="P29" i="296"/>
  <c r="P30" i="296"/>
  <c r="P31" i="296"/>
  <c r="P32" i="296"/>
  <c r="P33" i="296"/>
  <c r="P35" i="296"/>
  <c r="P36" i="296"/>
  <c r="P37" i="296"/>
  <c r="P40" i="296"/>
  <c r="P41" i="296"/>
  <c r="P42" i="296"/>
  <c r="P43" i="296"/>
  <c r="P44" i="296"/>
  <c r="P45" i="296"/>
  <c r="P46" i="296"/>
  <c r="P48" i="296"/>
  <c r="P49" i="296"/>
  <c r="P50" i="296"/>
  <c r="P51" i="296"/>
  <c r="P52" i="296"/>
  <c r="P53" i="296"/>
  <c r="P54" i="296"/>
  <c r="P55" i="296"/>
  <c r="P56" i="296"/>
  <c r="P57" i="296"/>
  <c r="P59" i="296"/>
  <c r="P60" i="296"/>
  <c r="P61" i="296"/>
  <c r="P63" i="296"/>
  <c r="P64" i="296"/>
  <c r="P65" i="296"/>
  <c r="P66" i="296"/>
  <c r="P68" i="296"/>
  <c r="P69" i="296"/>
  <c r="P70" i="296"/>
  <c r="P71" i="296"/>
  <c r="P72" i="296"/>
  <c r="P73" i="296"/>
  <c r="P74" i="296"/>
  <c r="P75" i="296"/>
  <c r="P76" i="296"/>
  <c r="P77" i="296"/>
  <c r="P80" i="296"/>
  <c r="P81" i="296"/>
  <c r="P82" i="296"/>
  <c r="P84" i="296"/>
  <c r="P85" i="296"/>
  <c r="P87" i="296"/>
  <c r="P88" i="296"/>
  <c r="P89" i="296"/>
  <c r="P90" i="296"/>
  <c r="P92" i="296"/>
  <c r="P93" i="296"/>
  <c r="P96" i="296"/>
  <c r="P97" i="296"/>
  <c r="P100" i="296"/>
  <c r="P101" i="296"/>
  <c r="P103" i="296"/>
  <c r="P104" i="296"/>
  <c r="P105" i="296"/>
  <c r="P106" i="296"/>
  <c r="P108" i="296"/>
  <c r="P109" i="296"/>
  <c r="P110" i="296"/>
  <c r="P112" i="296"/>
  <c r="P113" i="296"/>
  <c r="P116" i="296"/>
  <c r="P117" i="296"/>
  <c r="P118" i="296"/>
  <c r="P119" i="296"/>
  <c r="P120" i="296"/>
  <c r="P121" i="296"/>
  <c r="P122" i="296"/>
  <c r="P124" i="296"/>
  <c r="P125" i="296"/>
  <c r="P127" i="296"/>
  <c r="P128" i="296"/>
  <c r="P129" i="296"/>
  <c r="P130" i="296"/>
  <c r="P131" i="296"/>
  <c r="P132" i="296"/>
  <c r="P133" i="296"/>
  <c r="P134" i="296"/>
  <c r="P135" i="296"/>
  <c r="P136" i="296"/>
  <c r="P137" i="296"/>
  <c r="P138" i="296"/>
  <c r="P139" i="296"/>
  <c r="P140" i="296"/>
  <c r="P141" i="296"/>
  <c r="P144" i="296"/>
  <c r="P145" i="296"/>
  <c r="P148" i="296"/>
  <c r="P149" i="296"/>
  <c r="P152" i="296"/>
  <c r="P153" i="296"/>
  <c r="P154" i="296"/>
  <c r="P155" i="296"/>
  <c r="P156" i="296"/>
  <c r="P157" i="296"/>
  <c r="P158" i="296"/>
  <c r="P159" i="296"/>
  <c r="P160" i="296"/>
  <c r="P161" i="296"/>
  <c r="P162" i="296"/>
  <c r="P163" i="296"/>
  <c r="P164" i="296"/>
  <c r="P165" i="296"/>
  <c r="P166" i="296"/>
  <c r="P167" i="296"/>
  <c r="P168" i="296"/>
  <c r="P169" i="296"/>
  <c r="P171" i="296"/>
  <c r="P172" i="296"/>
  <c r="P173" i="296"/>
  <c r="P174" i="296"/>
  <c r="P175" i="296"/>
  <c r="P176" i="296"/>
  <c r="P177" i="296"/>
  <c r="P178" i="296"/>
  <c r="P179" i="296"/>
  <c r="P180" i="296"/>
  <c r="P181" i="296"/>
  <c r="P182" i="296"/>
  <c r="P183" i="296"/>
  <c r="P184" i="296"/>
  <c r="P185" i="296"/>
  <c r="P186" i="296"/>
  <c r="P187" i="296"/>
  <c r="P188" i="296"/>
  <c r="P189" i="296"/>
  <c r="P190" i="296"/>
  <c r="P191" i="296"/>
  <c r="P192" i="296"/>
  <c r="P193" i="296"/>
  <c r="P195" i="296"/>
  <c r="P196" i="296"/>
  <c r="P197" i="296"/>
  <c r="P198" i="296"/>
  <c r="P199" i="296"/>
  <c r="P200" i="296"/>
  <c r="P201" i="296"/>
  <c r="P202" i="296"/>
  <c r="P203" i="296"/>
  <c r="P204" i="296"/>
  <c r="P205" i="296"/>
  <c r="P207" i="296"/>
  <c r="P208" i="296"/>
  <c r="P209" i="296"/>
  <c r="P210" i="296"/>
  <c r="P211" i="296"/>
  <c r="P212" i="296"/>
  <c r="P213" i="296"/>
  <c r="P215" i="296"/>
  <c r="P216" i="296"/>
  <c r="P217" i="296"/>
  <c r="P218" i="296"/>
  <c r="P219" i="296"/>
  <c r="P220" i="296"/>
  <c r="P221" i="296"/>
  <c r="P222" i="296"/>
  <c r="P223" i="296"/>
  <c r="P224" i="296"/>
  <c r="P225" i="296"/>
  <c r="P226" i="296"/>
  <c r="P227" i="296"/>
  <c r="P228" i="296"/>
  <c r="P229" i="296"/>
  <c r="P230" i="296"/>
  <c r="P231" i="296"/>
  <c r="P232" i="296"/>
  <c r="P233" i="296"/>
  <c r="P234" i="296"/>
  <c r="P235" i="296"/>
  <c r="P236" i="296"/>
  <c r="P237" i="296"/>
  <c r="P238" i="296"/>
  <c r="P239" i="296"/>
  <c r="P240" i="296"/>
  <c r="P2" i="296"/>
  <c r="E10" i="295"/>
  <c r="U2" i="296"/>
  <c r="V2" i="296" s="1"/>
  <c r="W2" i="296" s="1"/>
  <c r="BN3" i="294"/>
  <c r="BN4" i="294"/>
  <c r="BN5" i="294"/>
  <c r="BN6" i="294"/>
  <c r="BN7" i="294"/>
  <c r="U7" i="296" s="1"/>
  <c r="V7" i="296" s="1"/>
  <c r="W7" i="296" s="1"/>
  <c r="BN8" i="294"/>
  <c r="BN9" i="294"/>
  <c r="BN10" i="294"/>
  <c r="U10" i="296" s="1"/>
  <c r="V10" i="296" s="1"/>
  <c r="W10" i="296" s="1"/>
  <c r="BN11" i="294"/>
  <c r="U11" i="296" s="1"/>
  <c r="V11" i="296" s="1"/>
  <c r="W11" i="296" s="1"/>
  <c r="BN12" i="294"/>
  <c r="BN13" i="294"/>
  <c r="BN14" i="294"/>
  <c r="U14" i="296" s="1"/>
  <c r="V14" i="296" s="1"/>
  <c r="W14" i="296" s="1"/>
  <c r="BN15" i="294"/>
  <c r="U15" i="296" s="1"/>
  <c r="V15" i="296" s="1"/>
  <c r="W15" i="296" s="1"/>
  <c r="BN16" i="294"/>
  <c r="BN17" i="294"/>
  <c r="BN18" i="294"/>
  <c r="U18" i="296" s="1"/>
  <c r="V18" i="296" s="1"/>
  <c r="W18" i="296" s="1"/>
  <c r="BN19" i="294"/>
  <c r="U19" i="296" s="1"/>
  <c r="V19" i="296" s="1"/>
  <c r="W19" i="296" s="1"/>
  <c r="BN20" i="294"/>
  <c r="BN21" i="294"/>
  <c r="BN22" i="294"/>
  <c r="BN23" i="294"/>
  <c r="U23" i="296" s="1"/>
  <c r="V23" i="296" s="1"/>
  <c r="W23" i="296" s="1"/>
  <c r="BN24" i="294"/>
  <c r="BN25" i="294"/>
  <c r="BN26" i="294"/>
  <c r="U26" i="296" s="1"/>
  <c r="V26" i="296" s="1"/>
  <c r="W26" i="296" s="1"/>
  <c r="BN27" i="294"/>
  <c r="U27" i="296" s="1"/>
  <c r="V27" i="296" s="1"/>
  <c r="W27" i="296" s="1"/>
  <c r="BN28" i="294"/>
  <c r="BN29" i="294"/>
  <c r="BN30" i="294"/>
  <c r="U30" i="296" s="1"/>
  <c r="V30" i="296" s="1"/>
  <c r="W30" i="296" s="1"/>
  <c r="BN31" i="294"/>
  <c r="U31" i="296" s="1"/>
  <c r="V31" i="296" s="1"/>
  <c r="W31" i="296" s="1"/>
  <c r="BN32" i="294"/>
  <c r="BN33" i="294"/>
  <c r="BN34" i="294"/>
  <c r="U34" i="296" s="1"/>
  <c r="V34" i="296" s="1"/>
  <c r="W34" i="296" s="1"/>
  <c r="BN35" i="294"/>
  <c r="U35" i="296" s="1"/>
  <c r="V35" i="296" s="1"/>
  <c r="W35" i="296" s="1"/>
  <c r="BN36" i="294"/>
  <c r="BN37" i="294"/>
  <c r="BN38" i="294"/>
  <c r="BN39" i="294"/>
  <c r="U39" i="296" s="1"/>
  <c r="V39" i="296" s="1"/>
  <c r="W39" i="296" s="1"/>
  <c r="BN40" i="294"/>
  <c r="BN41" i="294"/>
  <c r="BN42" i="294"/>
  <c r="U42" i="296" s="1"/>
  <c r="V42" i="296" s="1"/>
  <c r="W42" i="296" s="1"/>
  <c r="BN43" i="294"/>
  <c r="U43" i="296" s="1"/>
  <c r="V43" i="296" s="1"/>
  <c r="W43" i="296" s="1"/>
  <c r="BN44" i="294"/>
  <c r="BN45" i="294"/>
  <c r="BN46" i="294"/>
  <c r="U46" i="296" s="1"/>
  <c r="V46" i="296" s="1"/>
  <c r="W46" i="296" s="1"/>
  <c r="BN47" i="294"/>
  <c r="U47" i="296" s="1"/>
  <c r="V47" i="296" s="1"/>
  <c r="W47" i="296" s="1"/>
  <c r="BN48" i="294"/>
  <c r="BN49" i="294"/>
  <c r="BN50" i="294"/>
  <c r="U50" i="296" s="1"/>
  <c r="V50" i="296" s="1"/>
  <c r="W50" i="296" s="1"/>
  <c r="BN51" i="294"/>
  <c r="U51" i="296" s="1"/>
  <c r="V51" i="296" s="1"/>
  <c r="W51" i="296" s="1"/>
  <c r="BN52" i="294"/>
  <c r="BN53" i="294"/>
  <c r="BN54" i="294"/>
  <c r="U54" i="296" s="1"/>
  <c r="V54" i="296" s="1"/>
  <c r="W54" i="296" s="1"/>
  <c r="BN55" i="294"/>
  <c r="BN56" i="294"/>
  <c r="BN57" i="294"/>
  <c r="BN58" i="294"/>
  <c r="U58" i="296" s="1"/>
  <c r="V58" i="296" s="1"/>
  <c r="W58" i="296" s="1"/>
  <c r="BN59" i="294"/>
  <c r="U59" i="296" s="1"/>
  <c r="V59" i="296" s="1"/>
  <c r="W59" i="296" s="1"/>
  <c r="BN60" i="294"/>
  <c r="BN61" i="294"/>
  <c r="BN62" i="294"/>
  <c r="U62" i="296" s="1"/>
  <c r="V62" i="296" s="1"/>
  <c r="W62" i="296" s="1"/>
  <c r="BN63" i="294"/>
  <c r="U63" i="296" s="1"/>
  <c r="V63" i="296" s="1"/>
  <c r="W63" i="296" s="1"/>
  <c r="BN64" i="294"/>
  <c r="BN65" i="294"/>
  <c r="BN66" i="294"/>
  <c r="U66" i="296" s="1"/>
  <c r="V66" i="296" s="1"/>
  <c r="W66" i="296" s="1"/>
  <c r="BN67" i="294"/>
  <c r="U67" i="296" s="1"/>
  <c r="V67" i="296" s="1"/>
  <c r="W67" i="296" s="1"/>
  <c r="BN68" i="294"/>
  <c r="BN69" i="294"/>
  <c r="BN70" i="294"/>
  <c r="U70" i="296" s="1"/>
  <c r="V70" i="296" s="1"/>
  <c r="W70" i="296" s="1"/>
  <c r="BN71" i="294"/>
  <c r="BN72" i="294"/>
  <c r="BN73" i="294"/>
  <c r="BN74" i="294"/>
  <c r="U74" i="296" s="1"/>
  <c r="V74" i="296" s="1"/>
  <c r="W74" i="296" s="1"/>
  <c r="BN75" i="294"/>
  <c r="U75" i="296" s="1"/>
  <c r="V75" i="296" s="1"/>
  <c r="W75" i="296" s="1"/>
  <c r="BN76" i="294"/>
  <c r="BN77" i="294"/>
  <c r="BN78" i="294"/>
  <c r="U78" i="296" s="1"/>
  <c r="V78" i="296" s="1"/>
  <c r="W78" i="296" s="1"/>
  <c r="BN79" i="294"/>
  <c r="U79" i="296" s="1"/>
  <c r="V79" i="296" s="1"/>
  <c r="W79" i="296" s="1"/>
  <c r="BN80" i="294"/>
  <c r="BN81" i="294"/>
  <c r="BN82" i="294"/>
  <c r="U82" i="296" s="1"/>
  <c r="V82" i="296" s="1"/>
  <c r="W82" i="296" s="1"/>
  <c r="BN83" i="294"/>
  <c r="U83" i="296" s="1"/>
  <c r="V83" i="296" s="1"/>
  <c r="W83" i="296" s="1"/>
  <c r="BN84" i="294"/>
  <c r="BN85" i="294"/>
  <c r="BN86" i="294"/>
  <c r="U86" i="296" s="1"/>
  <c r="V86" i="296" s="1"/>
  <c r="W86" i="296" s="1"/>
  <c r="BN87" i="294"/>
  <c r="BN88" i="294"/>
  <c r="BN89" i="294"/>
  <c r="BN90" i="294"/>
  <c r="U90" i="296" s="1"/>
  <c r="V90" i="296" s="1"/>
  <c r="W90" i="296" s="1"/>
  <c r="BN91" i="294"/>
  <c r="U91" i="296" s="1"/>
  <c r="V91" i="296" s="1"/>
  <c r="W91" i="296" s="1"/>
  <c r="BN92" i="294"/>
  <c r="BN93" i="294"/>
  <c r="BN94" i="294"/>
  <c r="U94" i="296" s="1"/>
  <c r="V94" i="296" s="1"/>
  <c r="W94" i="296" s="1"/>
  <c r="BN95" i="294"/>
  <c r="U95" i="296" s="1"/>
  <c r="V95" i="296" s="1"/>
  <c r="W95" i="296" s="1"/>
  <c r="BN96" i="294"/>
  <c r="BN97" i="294"/>
  <c r="BN98" i="294"/>
  <c r="U98" i="296" s="1"/>
  <c r="V98" i="296" s="1"/>
  <c r="W98" i="296" s="1"/>
  <c r="BN99" i="294"/>
  <c r="U99" i="296" s="1"/>
  <c r="V99" i="296" s="1"/>
  <c r="W99" i="296" s="1"/>
  <c r="BN100" i="294"/>
  <c r="BN101" i="294"/>
  <c r="BN102" i="294"/>
  <c r="U102" i="296" s="1"/>
  <c r="V102" i="296" s="1"/>
  <c r="W102" i="296" s="1"/>
  <c r="BN103" i="294"/>
  <c r="BN104" i="294"/>
  <c r="BN105" i="294"/>
  <c r="BN106" i="294"/>
  <c r="U106" i="296" s="1"/>
  <c r="V106" i="296" s="1"/>
  <c r="W106" i="296" s="1"/>
  <c r="BN107" i="294"/>
  <c r="U107" i="296" s="1"/>
  <c r="V107" i="296" s="1"/>
  <c r="W107" i="296" s="1"/>
  <c r="BN108" i="294"/>
  <c r="BN109" i="294"/>
  <c r="BN110" i="294"/>
  <c r="U110" i="296" s="1"/>
  <c r="V110" i="296" s="1"/>
  <c r="W110" i="296" s="1"/>
  <c r="BN111" i="294"/>
  <c r="U111" i="296" s="1"/>
  <c r="V111" i="296" s="1"/>
  <c r="W111" i="296" s="1"/>
  <c r="BN112" i="294"/>
  <c r="BN113" i="294"/>
  <c r="BN114" i="294"/>
  <c r="U114" i="296" s="1"/>
  <c r="V114" i="296" s="1"/>
  <c r="W114" i="296" s="1"/>
  <c r="BN115" i="294"/>
  <c r="U115" i="296" s="1"/>
  <c r="V115" i="296" s="1"/>
  <c r="W115" i="296" s="1"/>
  <c r="BN116" i="294"/>
  <c r="BN117" i="294"/>
  <c r="BN118" i="294"/>
  <c r="U118" i="296" s="1"/>
  <c r="V118" i="296" s="1"/>
  <c r="W118" i="296" s="1"/>
  <c r="BN119" i="294"/>
  <c r="BN120" i="294"/>
  <c r="BN121" i="294"/>
  <c r="BN122" i="294"/>
  <c r="U122" i="296" s="1"/>
  <c r="V122" i="296" s="1"/>
  <c r="W122" i="296" s="1"/>
  <c r="BN123" i="294"/>
  <c r="U123" i="296" s="1"/>
  <c r="V123" i="296" s="1"/>
  <c r="W123" i="296" s="1"/>
  <c r="BN124" i="294"/>
  <c r="BN125" i="294"/>
  <c r="BN126" i="294"/>
  <c r="U126" i="296" s="1"/>
  <c r="V126" i="296" s="1"/>
  <c r="W126" i="296" s="1"/>
  <c r="BN127" i="294"/>
  <c r="U127" i="296" s="1"/>
  <c r="V127" i="296" s="1"/>
  <c r="W127" i="296" s="1"/>
  <c r="BN128" i="294"/>
  <c r="BN129" i="294"/>
  <c r="BN130" i="294"/>
  <c r="U130" i="296" s="1"/>
  <c r="V130" i="296" s="1"/>
  <c r="W130" i="296" s="1"/>
  <c r="BN131" i="294"/>
  <c r="U131" i="296" s="1"/>
  <c r="V131" i="296" s="1"/>
  <c r="W131" i="296" s="1"/>
  <c r="BN132" i="294"/>
  <c r="BN133" i="294"/>
  <c r="BN134" i="294"/>
  <c r="U134" i="296" s="1"/>
  <c r="V134" i="296" s="1"/>
  <c r="W134" i="296" s="1"/>
  <c r="BN135" i="294"/>
  <c r="BN136" i="294"/>
  <c r="BN137" i="294"/>
  <c r="BN138" i="294"/>
  <c r="U138" i="296" s="1"/>
  <c r="V138" i="296" s="1"/>
  <c r="W138" i="296" s="1"/>
  <c r="BN139" i="294"/>
  <c r="U139" i="296" s="1"/>
  <c r="V139" i="296" s="1"/>
  <c r="W139" i="296" s="1"/>
  <c r="BN140" i="294"/>
  <c r="BN141" i="294"/>
  <c r="BN142" i="294"/>
  <c r="U142" i="296" s="1"/>
  <c r="V142" i="296" s="1"/>
  <c r="W142" i="296" s="1"/>
  <c r="BN143" i="294"/>
  <c r="U143" i="296" s="1"/>
  <c r="V143" i="296" s="1"/>
  <c r="W143" i="296" s="1"/>
  <c r="BN144" i="294"/>
  <c r="BN145" i="294"/>
  <c r="BN146" i="294"/>
  <c r="U146" i="296" s="1"/>
  <c r="V146" i="296" s="1"/>
  <c r="W146" i="296" s="1"/>
  <c r="BN147" i="294"/>
  <c r="U147" i="296" s="1"/>
  <c r="V147" i="296" s="1"/>
  <c r="W147" i="296" s="1"/>
  <c r="BN148" i="294"/>
  <c r="BN149" i="294"/>
  <c r="BN150" i="294"/>
  <c r="U150" i="296" s="1"/>
  <c r="V150" i="296" s="1"/>
  <c r="W150" i="296" s="1"/>
  <c r="BN151" i="294"/>
  <c r="BN152" i="294"/>
  <c r="BN153" i="294"/>
  <c r="BN154" i="294"/>
  <c r="U154" i="296" s="1"/>
  <c r="V154" i="296" s="1"/>
  <c r="W154" i="296" s="1"/>
  <c r="BN155" i="294"/>
  <c r="U155" i="296" s="1"/>
  <c r="V155" i="296" s="1"/>
  <c r="W155" i="296" s="1"/>
  <c r="BN156" i="294"/>
  <c r="BN157" i="294"/>
  <c r="BN158" i="294"/>
  <c r="U158" i="296" s="1"/>
  <c r="V158" i="296" s="1"/>
  <c r="W158" i="296" s="1"/>
  <c r="BN159" i="294"/>
  <c r="U159" i="296" s="1"/>
  <c r="V159" i="296" s="1"/>
  <c r="W159" i="296" s="1"/>
  <c r="BN160" i="294"/>
  <c r="BN161" i="294"/>
  <c r="BN162" i="294"/>
  <c r="U162" i="296" s="1"/>
  <c r="V162" i="296" s="1"/>
  <c r="W162" i="296" s="1"/>
  <c r="BN163" i="294"/>
  <c r="U163" i="296" s="1"/>
  <c r="V163" i="296" s="1"/>
  <c r="W163" i="296" s="1"/>
  <c r="BN164" i="294"/>
  <c r="BN165" i="294"/>
  <c r="BN166" i="294"/>
  <c r="U166" i="296" s="1"/>
  <c r="V166" i="296" s="1"/>
  <c r="W166" i="296" s="1"/>
  <c r="BN167" i="294"/>
  <c r="BN168" i="294"/>
  <c r="BN169" i="294"/>
  <c r="BN170" i="294"/>
  <c r="U170" i="296" s="1"/>
  <c r="V170" i="296" s="1"/>
  <c r="W170" i="296" s="1"/>
  <c r="BN171" i="294"/>
  <c r="U171" i="296" s="1"/>
  <c r="V171" i="296" s="1"/>
  <c r="W171" i="296" s="1"/>
  <c r="BN172" i="294"/>
  <c r="BN173" i="294"/>
  <c r="BN174" i="294"/>
  <c r="U174" i="296" s="1"/>
  <c r="V174" i="296" s="1"/>
  <c r="W174" i="296" s="1"/>
  <c r="BN175" i="294"/>
  <c r="U175" i="296" s="1"/>
  <c r="V175" i="296" s="1"/>
  <c r="W175" i="296" s="1"/>
  <c r="BN176" i="294"/>
  <c r="BN177" i="294"/>
  <c r="BN178" i="294"/>
  <c r="U178" i="296" s="1"/>
  <c r="V178" i="296" s="1"/>
  <c r="W178" i="296" s="1"/>
  <c r="BN179" i="294"/>
  <c r="U179" i="296" s="1"/>
  <c r="V179" i="296" s="1"/>
  <c r="W179" i="296" s="1"/>
  <c r="BN180" i="294"/>
  <c r="BN181" i="294"/>
  <c r="BN182" i="294"/>
  <c r="U182" i="296" s="1"/>
  <c r="V182" i="296" s="1"/>
  <c r="W182" i="296" s="1"/>
  <c r="BN183" i="294"/>
  <c r="BN184" i="294"/>
  <c r="BN185" i="294"/>
  <c r="BN186" i="294"/>
  <c r="U186" i="296" s="1"/>
  <c r="V186" i="296" s="1"/>
  <c r="W186" i="296" s="1"/>
  <c r="BN187" i="294"/>
  <c r="U187" i="296" s="1"/>
  <c r="V187" i="296" s="1"/>
  <c r="W187" i="296" s="1"/>
  <c r="BN188" i="294"/>
  <c r="BN189" i="294"/>
  <c r="BN190" i="294"/>
  <c r="U190" i="296" s="1"/>
  <c r="V190" i="296" s="1"/>
  <c r="W190" i="296" s="1"/>
  <c r="BN191" i="294"/>
  <c r="U191" i="296" s="1"/>
  <c r="V191" i="296" s="1"/>
  <c r="W191" i="296" s="1"/>
  <c r="BN192" i="294"/>
  <c r="BN193" i="294"/>
  <c r="BN194" i="294"/>
  <c r="U194" i="296" s="1"/>
  <c r="V194" i="296" s="1"/>
  <c r="W194" i="296" s="1"/>
  <c r="BN195" i="294"/>
  <c r="U195" i="296" s="1"/>
  <c r="V195" i="296" s="1"/>
  <c r="W195" i="296" s="1"/>
  <c r="BN196" i="294"/>
  <c r="BN197" i="294"/>
  <c r="BN198" i="294"/>
  <c r="U198" i="296" s="1"/>
  <c r="V198" i="296" s="1"/>
  <c r="W198" i="296" s="1"/>
  <c r="BN199" i="294"/>
  <c r="BN200" i="294"/>
  <c r="BN201" i="294"/>
  <c r="BN202" i="294"/>
  <c r="U202" i="296" s="1"/>
  <c r="V202" i="296" s="1"/>
  <c r="W202" i="296" s="1"/>
  <c r="BN203" i="294"/>
  <c r="U203" i="296" s="1"/>
  <c r="V203" i="296" s="1"/>
  <c r="W203" i="296" s="1"/>
  <c r="BN204" i="294"/>
  <c r="BN205" i="294"/>
  <c r="BN206" i="294"/>
  <c r="U206" i="296" s="1"/>
  <c r="V206" i="296" s="1"/>
  <c r="W206" i="296" s="1"/>
  <c r="BN207" i="294"/>
  <c r="U207" i="296" s="1"/>
  <c r="V207" i="296" s="1"/>
  <c r="W207" i="296" s="1"/>
  <c r="BN208" i="294"/>
  <c r="BN209" i="294"/>
  <c r="BN210" i="294"/>
  <c r="U210" i="296" s="1"/>
  <c r="V210" i="296" s="1"/>
  <c r="W210" i="296" s="1"/>
  <c r="BN211" i="294"/>
  <c r="U211" i="296" s="1"/>
  <c r="V211" i="296" s="1"/>
  <c r="W211" i="296" s="1"/>
  <c r="BN212" i="294"/>
  <c r="BN213" i="294"/>
  <c r="BN214" i="294"/>
  <c r="U214" i="296" s="1"/>
  <c r="V214" i="296" s="1"/>
  <c r="W214" i="296" s="1"/>
  <c r="BN215" i="294"/>
  <c r="BN216" i="294"/>
  <c r="BN217" i="294"/>
  <c r="BN218" i="294"/>
  <c r="U218" i="296" s="1"/>
  <c r="V218" i="296" s="1"/>
  <c r="W218" i="296" s="1"/>
  <c r="BN219" i="294"/>
  <c r="U219" i="296" s="1"/>
  <c r="V219" i="296" s="1"/>
  <c r="W219" i="296" s="1"/>
  <c r="BN220" i="294"/>
  <c r="BN221" i="294"/>
  <c r="BN222" i="294"/>
  <c r="U222" i="296" s="1"/>
  <c r="V222" i="296" s="1"/>
  <c r="W222" i="296" s="1"/>
  <c r="BN223" i="294"/>
  <c r="U223" i="296" s="1"/>
  <c r="V223" i="296" s="1"/>
  <c r="W223" i="296" s="1"/>
  <c r="BN224" i="294"/>
  <c r="BN225" i="294"/>
  <c r="BN226" i="294"/>
  <c r="U226" i="296" s="1"/>
  <c r="V226" i="296" s="1"/>
  <c r="W226" i="296" s="1"/>
  <c r="BN227" i="294"/>
  <c r="U227" i="296" s="1"/>
  <c r="V227" i="296" s="1"/>
  <c r="W227" i="296" s="1"/>
  <c r="BN228" i="294"/>
  <c r="BN229" i="294"/>
  <c r="BN230" i="294"/>
  <c r="U230" i="296" s="1"/>
  <c r="V230" i="296" s="1"/>
  <c r="W230" i="296" s="1"/>
  <c r="BN231" i="294"/>
  <c r="BN232" i="294"/>
  <c r="BN233" i="294"/>
  <c r="BN234" i="294"/>
  <c r="U234" i="296" s="1"/>
  <c r="V234" i="296" s="1"/>
  <c r="W234" i="296" s="1"/>
  <c r="BN235" i="294"/>
  <c r="U235" i="296" s="1"/>
  <c r="V235" i="296" s="1"/>
  <c r="W235" i="296" s="1"/>
  <c r="BN236" i="294"/>
  <c r="BN237" i="294"/>
  <c r="BN238" i="294"/>
  <c r="U238" i="296" s="1"/>
  <c r="V238" i="296" s="1"/>
  <c r="W238" i="296" s="1"/>
  <c r="BN239" i="294"/>
  <c r="U239" i="296" s="1"/>
  <c r="V239" i="296" s="1"/>
  <c r="W239" i="296" s="1"/>
  <c r="BN240" i="294"/>
  <c r="BN2" i="294"/>
  <c r="F14" i="295"/>
  <c r="J2" i="296"/>
  <c r="K2" i="296"/>
  <c r="J3" i="296"/>
  <c r="K3" i="296"/>
  <c r="J4" i="296"/>
  <c r="K4" i="296"/>
  <c r="J5" i="296"/>
  <c r="K5" i="296"/>
  <c r="J6" i="296"/>
  <c r="K6" i="296"/>
  <c r="J7" i="296"/>
  <c r="K7" i="296"/>
  <c r="J8" i="296"/>
  <c r="K8" i="296"/>
  <c r="J9" i="296"/>
  <c r="K9" i="296"/>
  <c r="J10" i="296"/>
  <c r="K10" i="296"/>
  <c r="J11" i="296"/>
  <c r="K11" i="296"/>
  <c r="J12" i="296"/>
  <c r="K12" i="296"/>
  <c r="J13" i="296"/>
  <c r="K13" i="296"/>
  <c r="J14" i="296"/>
  <c r="K14" i="296"/>
  <c r="J15" i="296"/>
  <c r="K15" i="296"/>
  <c r="J16" i="296"/>
  <c r="K16" i="296"/>
  <c r="J17" i="296"/>
  <c r="K17" i="296"/>
  <c r="J18" i="296"/>
  <c r="K18" i="296"/>
  <c r="J19" i="296"/>
  <c r="K19" i="296"/>
  <c r="J20" i="296"/>
  <c r="K20" i="296"/>
  <c r="J21" i="296"/>
  <c r="K21" i="296"/>
  <c r="J22" i="296"/>
  <c r="K22" i="296"/>
  <c r="J23" i="296"/>
  <c r="K23" i="296"/>
  <c r="J24" i="296"/>
  <c r="K24" i="296"/>
  <c r="J25" i="296"/>
  <c r="K25" i="296"/>
  <c r="J26" i="296"/>
  <c r="K26" i="296"/>
  <c r="J27" i="296"/>
  <c r="K27" i="296"/>
  <c r="J28" i="296"/>
  <c r="K28" i="296"/>
  <c r="J29" i="296"/>
  <c r="K29" i="296"/>
  <c r="J30" i="296"/>
  <c r="K30" i="296"/>
  <c r="J31" i="296"/>
  <c r="K31" i="296"/>
  <c r="J32" i="296"/>
  <c r="K32" i="296"/>
  <c r="J33" i="296"/>
  <c r="K33" i="296"/>
  <c r="J34" i="296"/>
  <c r="K34" i="296"/>
  <c r="J35" i="296"/>
  <c r="K35" i="296"/>
  <c r="J36" i="296"/>
  <c r="K36" i="296"/>
  <c r="J37" i="296"/>
  <c r="K37" i="296"/>
  <c r="J38" i="296"/>
  <c r="K38" i="296"/>
  <c r="J39" i="296"/>
  <c r="K39" i="296"/>
  <c r="J40" i="296"/>
  <c r="K40" i="296"/>
  <c r="J41" i="296"/>
  <c r="K41" i="296"/>
  <c r="J42" i="296"/>
  <c r="K42" i="296"/>
  <c r="J43" i="296"/>
  <c r="K43" i="296"/>
  <c r="J44" i="296"/>
  <c r="K44" i="296"/>
  <c r="J45" i="296"/>
  <c r="K45" i="296"/>
  <c r="J46" i="296"/>
  <c r="K46" i="296"/>
  <c r="J47" i="296"/>
  <c r="K47" i="296"/>
  <c r="J48" i="296"/>
  <c r="K48" i="296"/>
  <c r="J49" i="296"/>
  <c r="K49" i="296"/>
  <c r="J50" i="296"/>
  <c r="K50" i="296"/>
  <c r="J51" i="296"/>
  <c r="K51" i="296"/>
  <c r="J52" i="296"/>
  <c r="K52" i="296"/>
  <c r="J53" i="296"/>
  <c r="K53" i="296"/>
  <c r="J54" i="296"/>
  <c r="K54" i="296"/>
  <c r="J55" i="296"/>
  <c r="K55" i="296"/>
  <c r="J56" i="296"/>
  <c r="K56" i="296"/>
  <c r="J57" i="296"/>
  <c r="K57" i="296"/>
  <c r="J58" i="296"/>
  <c r="K58" i="296"/>
  <c r="J59" i="296"/>
  <c r="K59" i="296"/>
  <c r="J60" i="296"/>
  <c r="K60" i="296"/>
  <c r="J61" i="296"/>
  <c r="K61" i="296"/>
  <c r="J62" i="296"/>
  <c r="K62" i="296"/>
  <c r="J63" i="296"/>
  <c r="K63" i="296"/>
  <c r="J64" i="296"/>
  <c r="K64" i="296"/>
  <c r="J65" i="296"/>
  <c r="K65" i="296"/>
  <c r="J66" i="296"/>
  <c r="K66" i="296"/>
  <c r="J67" i="296"/>
  <c r="K67" i="296"/>
  <c r="J68" i="296"/>
  <c r="K68" i="296"/>
  <c r="J69" i="296"/>
  <c r="K69" i="296"/>
  <c r="J70" i="296"/>
  <c r="K70" i="296"/>
  <c r="J71" i="296"/>
  <c r="K71" i="296"/>
  <c r="J72" i="296"/>
  <c r="K72" i="296"/>
  <c r="J73" i="296"/>
  <c r="K73" i="296"/>
  <c r="J74" i="296"/>
  <c r="K74" i="296"/>
  <c r="J75" i="296"/>
  <c r="K75" i="296"/>
  <c r="J76" i="296"/>
  <c r="K76" i="296"/>
  <c r="J77" i="296"/>
  <c r="K77" i="296"/>
  <c r="J78" i="296"/>
  <c r="K78" i="296"/>
  <c r="J79" i="296"/>
  <c r="K79" i="296"/>
  <c r="J80" i="296"/>
  <c r="K80" i="296"/>
  <c r="J81" i="296"/>
  <c r="K81" i="296"/>
  <c r="J82" i="296"/>
  <c r="K82" i="296"/>
  <c r="J83" i="296"/>
  <c r="K83" i="296"/>
  <c r="J84" i="296"/>
  <c r="K84" i="296"/>
  <c r="J85" i="296"/>
  <c r="K85" i="296"/>
  <c r="J86" i="296"/>
  <c r="K86" i="296"/>
  <c r="J87" i="296"/>
  <c r="K87" i="296"/>
  <c r="J88" i="296"/>
  <c r="K88" i="296"/>
  <c r="J89" i="296"/>
  <c r="K89" i="296"/>
  <c r="J90" i="296"/>
  <c r="K90" i="296"/>
  <c r="J91" i="296"/>
  <c r="K91" i="296"/>
  <c r="J92" i="296"/>
  <c r="K92" i="296"/>
  <c r="J93" i="296"/>
  <c r="K93" i="296"/>
  <c r="J94" i="296"/>
  <c r="K94" i="296"/>
  <c r="J95" i="296"/>
  <c r="K95" i="296"/>
  <c r="J96" i="296"/>
  <c r="K96" i="296"/>
  <c r="J97" i="296"/>
  <c r="K97" i="296"/>
  <c r="J98" i="296"/>
  <c r="K98" i="296"/>
  <c r="J99" i="296"/>
  <c r="K99" i="296"/>
  <c r="J100" i="296"/>
  <c r="K100" i="296"/>
  <c r="J101" i="296"/>
  <c r="K101" i="296"/>
  <c r="J102" i="296"/>
  <c r="K102" i="296"/>
  <c r="J103" i="296"/>
  <c r="K103" i="296"/>
  <c r="J104" i="296"/>
  <c r="K104" i="296"/>
  <c r="J105" i="296"/>
  <c r="K105" i="296"/>
  <c r="J106" i="296"/>
  <c r="K106" i="296"/>
  <c r="J107" i="296"/>
  <c r="K107" i="296"/>
  <c r="J108" i="296"/>
  <c r="K108" i="296"/>
  <c r="J109" i="296"/>
  <c r="K109" i="296"/>
  <c r="J110" i="296"/>
  <c r="K110" i="296"/>
  <c r="J111" i="296"/>
  <c r="K111" i="296"/>
  <c r="J112" i="296"/>
  <c r="K112" i="296"/>
  <c r="J113" i="296"/>
  <c r="K113" i="296"/>
  <c r="J114" i="296"/>
  <c r="K114" i="296"/>
  <c r="J115" i="296"/>
  <c r="K115" i="296"/>
  <c r="J116" i="296"/>
  <c r="K116" i="296"/>
  <c r="J117" i="296"/>
  <c r="K117" i="296"/>
  <c r="J118" i="296"/>
  <c r="K118" i="296"/>
  <c r="J119" i="296"/>
  <c r="K119" i="296"/>
  <c r="J120" i="296"/>
  <c r="K120" i="296"/>
  <c r="J121" i="296"/>
  <c r="K121" i="296"/>
  <c r="J122" i="296"/>
  <c r="K122" i="296"/>
  <c r="J123" i="296"/>
  <c r="K123" i="296"/>
  <c r="J124" i="296"/>
  <c r="K124" i="296"/>
  <c r="J125" i="296"/>
  <c r="K125" i="296"/>
  <c r="J126" i="296"/>
  <c r="K126" i="296"/>
  <c r="J127" i="296"/>
  <c r="K127" i="296"/>
  <c r="J128" i="296"/>
  <c r="K128" i="296"/>
  <c r="J129" i="296"/>
  <c r="K129" i="296"/>
  <c r="J130" i="296"/>
  <c r="K130" i="296"/>
  <c r="J131" i="296"/>
  <c r="K131" i="296"/>
  <c r="J132" i="296"/>
  <c r="K132" i="296"/>
  <c r="J133" i="296"/>
  <c r="K133" i="296"/>
  <c r="J134" i="296"/>
  <c r="K134" i="296"/>
  <c r="J135" i="296"/>
  <c r="K135" i="296"/>
  <c r="J136" i="296"/>
  <c r="K136" i="296"/>
  <c r="J137" i="296"/>
  <c r="K137" i="296"/>
  <c r="J138" i="296"/>
  <c r="K138" i="296"/>
  <c r="J139" i="296"/>
  <c r="K139" i="296"/>
  <c r="J140" i="296"/>
  <c r="K140" i="296"/>
  <c r="J141" i="296"/>
  <c r="K141" i="296"/>
  <c r="J142" i="296"/>
  <c r="K142" i="296"/>
  <c r="J143" i="296"/>
  <c r="K143" i="296"/>
  <c r="J144" i="296"/>
  <c r="K144" i="296"/>
  <c r="J145" i="296"/>
  <c r="K145" i="296"/>
  <c r="J146" i="296"/>
  <c r="K146" i="296"/>
  <c r="J147" i="296"/>
  <c r="K147" i="296"/>
  <c r="J148" i="296"/>
  <c r="K148" i="296"/>
  <c r="J149" i="296"/>
  <c r="K149" i="296"/>
  <c r="J150" i="296"/>
  <c r="K150" i="296"/>
  <c r="J151" i="296"/>
  <c r="K151" i="296"/>
  <c r="J152" i="296"/>
  <c r="K152" i="296"/>
  <c r="J153" i="296"/>
  <c r="K153" i="296"/>
  <c r="J154" i="296"/>
  <c r="K154" i="296"/>
  <c r="J155" i="296"/>
  <c r="K155" i="296"/>
  <c r="J156" i="296"/>
  <c r="K156" i="296"/>
  <c r="J157" i="296"/>
  <c r="K157" i="296"/>
  <c r="J158" i="296"/>
  <c r="K158" i="296"/>
  <c r="J159" i="296"/>
  <c r="K159" i="296"/>
  <c r="J160" i="296"/>
  <c r="K160" i="296"/>
  <c r="J161" i="296"/>
  <c r="K161" i="296"/>
  <c r="J162" i="296"/>
  <c r="K162" i="296"/>
  <c r="J163" i="296"/>
  <c r="K163" i="296"/>
  <c r="J164" i="296"/>
  <c r="K164" i="296"/>
  <c r="J165" i="296"/>
  <c r="K165" i="296"/>
  <c r="J166" i="296"/>
  <c r="K166" i="296"/>
  <c r="J167" i="296"/>
  <c r="K167" i="296"/>
  <c r="J168" i="296"/>
  <c r="K168" i="296"/>
  <c r="J169" i="296"/>
  <c r="K169" i="296"/>
  <c r="J170" i="296"/>
  <c r="K170" i="296"/>
  <c r="J171" i="296"/>
  <c r="K171" i="296"/>
  <c r="J172" i="296"/>
  <c r="K172" i="296"/>
  <c r="J173" i="296"/>
  <c r="K173" i="296"/>
  <c r="J174" i="296"/>
  <c r="K174" i="296"/>
  <c r="J175" i="296"/>
  <c r="K175" i="296"/>
  <c r="J176" i="296"/>
  <c r="K176" i="296"/>
  <c r="J177" i="296"/>
  <c r="K177" i="296"/>
  <c r="J178" i="296"/>
  <c r="K178" i="296"/>
  <c r="J179" i="296"/>
  <c r="K179" i="296"/>
  <c r="J180" i="296"/>
  <c r="K180" i="296"/>
  <c r="J181" i="296"/>
  <c r="K181" i="296"/>
  <c r="J182" i="296"/>
  <c r="K182" i="296"/>
  <c r="J183" i="296"/>
  <c r="K183" i="296"/>
  <c r="J184" i="296"/>
  <c r="K184" i="296"/>
  <c r="J185" i="296"/>
  <c r="K185" i="296"/>
  <c r="J186" i="296"/>
  <c r="K186" i="296"/>
  <c r="J187" i="296"/>
  <c r="K187" i="296"/>
  <c r="J188" i="296"/>
  <c r="K188" i="296"/>
  <c r="J189" i="296"/>
  <c r="K189" i="296"/>
  <c r="J190" i="296"/>
  <c r="K190" i="296"/>
  <c r="J191" i="296"/>
  <c r="K191" i="296"/>
  <c r="J192" i="296"/>
  <c r="K192" i="296"/>
  <c r="J193" i="296"/>
  <c r="K193" i="296"/>
  <c r="J194" i="296"/>
  <c r="K194" i="296"/>
  <c r="J195" i="296"/>
  <c r="K195" i="296"/>
  <c r="J196" i="296"/>
  <c r="K196" i="296"/>
  <c r="J197" i="296"/>
  <c r="K197" i="296"/>
  <c r="J198" i="296"/>
  <c r="K198" i="296"/>
  <c r="J199" i="296"/>
  <c r="K199" i="296"/>
  <c r="J200" i="296"/>
  <c r="K200" i="296"/>
  <c r="J201" i="296"/>
  <c r="K201" i="296"/>
  <c r="J202" i="296"/>
  <c r="K202" i="296"/>
  <c r="J203" i="296"/>
  <c r="K203" i="296"/>
  <c r="J204" i="296"/>
  <c r="K204" i="296"/>
  <c r="J205" i="296"/>
  <c r="K205" i="296"/>
  <c r="J206" i="296"/>
  <c r="K206" i="296"/>
  <c r="J207" i="296"/>
  <c r="K207" i="296"/>
  <c r="J208" i="296"/>
  <c r="K208" i="296"/>
  <c r="J209" i="296"/>
  <c r="K209" i="296"/>
  <c r="J210" i="296"/>
  <c r="K210" i="296"/>
  <c r="J211" i="296"/>
  <c r="K211" i="296"/>
  <c r="J212" i="296"/>
  <c r="K212" i="296"/>
  <c r="J213" i="296"/>
  <c r="K213" i="296"/>
  <c r="J214" i="296"/>
  <c r="K214" i="296"/>
  <c r="J215" i="296"/>
  <c r="K215" i="296"/>
  <c r="J216" i="296"/>
  <c r="K216" i="296"/>
  <c r="J217" i="296"/>
  <c r="K217" i="296"/>
  <c r="J218" i="296"/>
  <c r="K218" i="296"/>
  <c r="J219" i="296"/>
  <c r="K219" i="296"/>
  <c r="J220" i="296"/>
  <c r="K220" i="296"/>
  <c r="J221" i="296"/>
  <c r="K221" i="296"/>
  <c r="J222" i="296"/>
  <c r="K222" i="296"/>
  <c r="J223" i="296"/>
  <c r="K223" i="296"/>
  <c r="J224" i="296"/>
  <c r="K224" i="296"/>
  <c r="J225" i="296"/>
  <c r="K225" i="296"/>
  <c r="J226" i="296"/>
  <c r="K226" i="296"/>
  <c r="J227" i="296"/>
  <c r="K227" i="296"/>
  <c r="J228" i="296"/>
  <c r="K228" i="296"/>
  <c r="J229" i="296"/>
  <c r="K229" i="296"/>
  <c r="J230" i="296"/>
  <c r="K230" i="296"/>
  <c r="J231" i="296"/>
  <c r="K231" i="296"/>
  <c r="J232" i="296"/>
  <c r="K232" i="296"/>
  <c r="J233" i="296"/>
  <c r="K233" i="296"/>
  <c r="J234" i="296"/>
  <c r="K234" i="296"/>
  <c r="J235" i="296"/>
  <c r="K235" i="296"/>
  <c r="J236" i="296"/>
  <c r="K236" i="296"/>
  <c r="J237" i="296"/>
  <c r="K237" i="296"/>
  <c r="J238" i="296"/>
  <c r="K238" i="296"/>
  <c r="J239" i="296"/>
  <c r="K239" i="296"/>
  <c r="J240" i="296"/>
  <c r="K240" i="296"/>
  <c r="F13" i="295"/>
  <c r="U4" i="296"/>
  <c r="V4" i="296" s="1"/>
  <c r="W4" i="296" s="1"/>
  <c r="U5" i="296"/>
  <c r="V5" i="296" s="1"/>
  <c r="W5" i="296" s="1"/>
  <c r="U6" i="296"/>
  <c r="V6" i="296" s="1"/>
  <c r="W6" i="296" s="1"/>
  <c r="U8" i="296"/>
  <c r="V8" i="296" s="1"/>
  <c r="W8" i="296" s="1"/>
  <c r="U9" i="296"/>
  <c r="V9" i="296" s="1"/>
  <c r="W9" i="296" s="1"/>
  <c r="U12" i="296"/>
  <c r="V12" i="296" s="1"/>
  <c r="W12" i="296" s="1"/>
  <c r="U13" i="296"/>
  <c r="V13" i="296" s="1"/>
  <c r="W13" i="296" s="1"/>
  <c r="U16" i="296"/>
  <c r="V16" i="296" s="1"/>
  <c r="W16" i="296" s="1"/>
  <c r="U17" i="296"/>
  <c r="V17" i="296" s="1"/>
  <c r="W17" i="296" s="1"/>
  <c r="U20" i="296"/>
  <c r="V20" i="296" s="1"/>
  <c r="W20" i="296" s="1"/>
  <c r="U21" i="296"/>
  <c r="V21" i="296" s="1"/>
  <c r="W21" i="296" s="1"/>
  <c r="U22" i="296"/>
  <c r="V22" i="296" s="1"/>
  <c r="W22" i="296" s="1"/>
  <c r="U24" i="296"/>
  <c r="V24" i="296" s="1"/>
  <c r="W24" i="296" s="1"/>
  <c r="U25" i="296"/>
  <c r="V25" i="296" s="1"/>
  <c r="W25" i="296" s="1"/>
  <c r="U28" i="296"/>
  <c r="V28" i="296" s="1"/>
  <c r="W28" i="296" s="1"/>
  <c r="U29" i="296"/>
  <c r="V29" i="296" s="1"/>
  <c r="W29" i="296" s="1"/>
  <c r="U32" i="296"/>
  <c r="V32" i="296" s="1"/>
  <c r="W32" i="296" s="1"/>
  <c r="U33" i="296"/>
  <c r="V33" i="296" s="1"/>
  <c r="W33" i="296" s="1"/>
  <c r="U36" i="296"/>
  <c r="V36" i="296" s="1"/>
  <c r="W36" i="296" s="1"/>
  <c r="U37" i="296"/>
  <c r="V37" i="296" s="1"/>
  <c r="W37" i="296" s="1"/>
  <c r="U38" i="296"/>
  <c r="V38" i="296" s="1"/>
  <c r="W38" i="296" s="1"/>
  <c r="U40" i="296"/>
  <c r="V40" i="296" s="1"/>
  <c r="W40" i="296" s="1"/>
  <c r="U41" i="296"/>
  <c r="V41" i="296" s="1"/>
  <c r="W41" i="296" s="1"/>
  <c r="U44" i="296"/>
  <c r="V44" i="296" s="1"/>
  <c r="W44" i="296" s="1"/>
  <c r="U45" i="296"/>
  <c r="V45" i="296" s="1"/>
  <c r="W45" i="296" s="1"/>
  <c r="U48" i="296"/>
  <c r="V48" i="296" s="1"/>
  <c r="W48" i="296" s="1"/>
  <c r="U49" i="296"/>
  <c r="V49" i="296" s="1"/>
  <c r="W49" i="296" s="1"/>
  <c r="U52" i="296"/>
  <c r="V52" i="296" s="1"/>
  <c r="W52" i="296" s="1"/>
  <c r="U53" i="296"/>
  <c r="V53" i="296" s="1"/>
  <c r="W53" i="296" s="1"/>
  <c r="U55" i="296"/>
  <c r="V55" i="296" s="1"/>
  <c r="W55" i="296" s="1"/>
  <c r="U56" i="296"/>
  <c r="V56" i="296" s="1"/>
  <c r="W56" i="296" s="1"/>
  <c r="U57" i="296"/>
  <c r="V57" i="296" s="1"/>
  <c r="W57" i="296" s="1"/>
  <c r="U60" i="296"/>
  <c r="V60" i="296" s="1"/>
  <c r="W60" i="296" s="1"/>
  <c r="U61" i="296"/>
  <c r="V61" i="296" s="1"/>
  <c r="W61" i="296" s="1"/>
  <c r="U64" i="296"/>
  <c r="V64" i="296" s="1"/>
  <c r="W64" i="296" s="1"/>
  <c r="U65" i="296"/>
  <c r="V65" i="296" s="1"/>
  <c r="W65" i="296" s="1"/>
  <c r="U68" i="296"/>
  <c r="V68" i="296" s="1"/>
  <c r="W68" i="296" s="1"/>
  <c r="U69" i="296"/>
  <c r="V69" i="296" s="1"/>
  <c r="W69" i="296" s="1"/>
  <c r="U71" i="296"/>
  <c r="V71" i="296" s="1"/>
  <c r="W71" i="296" s="1"/>
  <c r="U72" i="296"/>
  <c r="V72" i="296" s="1"/>
  <c r="W72" i="296" s="1"/>
  <c r="U73" i="296"/>
  <c r="V73" i="296" s="1"/>
  <c r="W73" i="296" s="1"/>
  <c r="U76" i="296"/>
  <c r="V76" i="296" s="1"/>
  <c r="W76" i="296" s="1"/>
  <c r="U77" i="296"/>
  <c r="V77" i="296" s="1"/>
  <c r="W77" i="296" s="1"/>
  <c r="U80" i="296"/>
  <c r="V80" i="296" s="1"/>
  <c r="W80" i="296" s="1"/>
  <c r="U81" i="296"/>
  <c r="V81" i="296" s="1"/>
  <c r="W81" i="296" s="1"/>
  <c r="U84" i="296"/>
  <c r="V84" i="296" s="1"/>
  <c r="W84" i="296" s="1"/>
  <c r="U85" i="296"/>
  <c r="V85" i="296" s="1"/>
  <c r="W85" i="296" s="1"/>
  <c r="U87" i="296"/>
  <c r="V87" i="296" s="1"/>
  <c r="W87" i="296" s="1"/>
  <c r="U88" i="296"/>
  <c r="V88" i="296" s="1"/>
  <c r="W88" i="296" s="1"/>
  <c r="U89" i="296"/>
  <c r="V89" i="296" s="1"/>
  <c r="W89" i="296" s="1"/>
  <c r="U92" i="296"/>
  <c r="V92" i="296" s="1"/>
  <c r="W92" i="296" s="1"/>
  <c r="U93" i="296"/>
  <c r="V93" i="296" s="1"/>
  <c r="W93" i="296" s="1"/>
  <c r="U96" i="296"/>
  <c r="V96" i="296" s="1"/>
  <c r="W96" i="296" s="1"/>
  <c r="U97" i="296"/>
  <c r="V97" i="296" s="1"/>
  <c r="W97" i="296" s="1"/>
  <c r="U100" i="296"/>
  <c r="V100" i="296" s="1"/>
  <c r="W100" i="296" s="1"/>
  <c r="U101" i="296"/>
  <c r="V101" i="296" s="1"/>
  <c r="W101" i="296" s="1"/>
  <c r="U103" i="296"/>
  <c r="V103" i="296" s="1"/>
  <c r="W103" i="296" s="1"/>
  <c r="U104" i="296"/>
  <c r="V104" i="296" s="1"/>
  <c r="W104" i="296" s="1"/>
  <c r="U105" i="296"/>
  <c r="V105" i="296" s="1"/>
  <c r="W105" i="296" s="1"/>
  <c r="U108" i="296"/>
  <c r="V108" i="296" s="1"/>
  <c r="W108" i="296" s="1"/>
  <c r="U109" i="296"/>
  <c r="V109" i="296" s="1"/>
  <c r="W109" i="296" s="1"/>
  <c r="U112" i="296"/>
  <c r="V112" i="296" s="1"/>
  <c r="W112" i="296" s="1"/>
  <c r="U113" i="296"/>
  <c r="V113" i="296" s="1"/>
  <c r="W113" i="296" s="1"/>
  <c r="U116" i="296"/>
  <c r="V116" i="296" s="1"/>
  <c r="W116" i="296" s="1"/>
  <c r="U117" i="296"/>
  <c r="V117" i="296" s="1"/>
  <c r="W117" i="296" s="1"/>
  <c r="U119" i="296"/>
  <c r="V119" i="296" s="1"/>
  <c r="W119" i="296" s="1"/>
  <c r="U120" i="296"/>
  <c r="V120" i="296" s="1"/>
  <c r="W120" i="296" s="1"/>
  <c r="U121" i="296"/>
  <c r="V121" i="296" s="1"/>
  <c r="W121" i="296" s="1"/>
  <c r="U124" i="296"/>
  <c r="V124" i="296" s="1"/>
  <c r="W124" i="296" s="1"/>
  <c r="U125" i="296"/>
  <c r="V125" i="296" s="1"/>
  <c r="W125" i="296" s="1"/>
  <c r="U128" i="296"/>
  <c r="V128" i="296" s="1"/>
  <c r="W128" i="296" s="1"/>
  <c r="U129" i="296"/>
  <c r="V129" i="296" s="1"/>
  <c r="W129" i="296" s="1"/>
  <c r="U132" i="296"/>
  <c r="V132" i="296" s="1"/>
  <c r="W132" i="296" s="1"/>
  <c r="U133" i="296"/>
  <c r="V133" i="296" s="1"/>
  <c r="W133" i="296" s="1"/>
  <c r="U135" i="296"/>
  <c r="V135" i="296" s="1"/>
  <c r="W135" i="296" s="1"/>
  <c r="U136" i="296"/>
  <c r="V136" i="296" s="1"/>
  <c r="W136" i="296" s="1"/>
  <c r="U137" i="296"/>
  <c r="V137" i="296" s="1"/>
  <c r="W137" i="296" s="1"/>
  <c r="U140" i="296"/>
  <c r="V140" i="296" s="1"/>
  <c r="W140" i="296" s="1"/>
  <c r="U141" i="296"/>
  <c r="V141" i="296" s="1"/>
  <c r="W141" i="296" s="1"/>
  <c r="U144" i="296"/>
  <c r="V144" i="296" s="1"/>
  <c r="W144" i="296" s="1"/>
  <c r="U145" i="296"/>
  <c r="V145" i="296" s="1"/>
  <c r="W145" i="296" s="1"/>
  <c r="U148" i="296"/>
  <c r="V148" i="296" s="1"/>
  <c r="W148" i="296" s="1"/>
  <c r="U149" i="296"/>
  <c r="V149" i="296" s="1"/>
  <c r="W149" i="296" s="1"/>
  <c r="U151" i="296"/>
  <c r="V151" i="296" s="1"/>
  <c r="W151" i="296" s="1"/>
  <c r="U152" i="296"/>
  <c r="V152" i="296" s="1"/>
  <c r="W152" i="296" s="1"/>
  <c r="U153" i="296"/>
  <c r="V153" i="296" s="1"/>
  <c r="W153" i="296" s="1"/>
  <c r="U156" i="296"/>
  <c r="V156" i="296" s="1"/>
  <c r="W156" i="296" s="1"/>
  <c r="U157" i="296"/>
  <c r="V157" i="296" s="1"/>
  <c r="W157" i="296" s="1"/>
  <c r="U160" i="296"/>
  <c r="V160" i="296" s="1"/>
  <c r="W160" i="296" s="1"/>
  <c r="U161" i="296"/>
  <c r="V161" i="296" s="1"/>
  <c r="W161" i="296" s="1"/>
  <c r="U164" i="296"/>
  <c r="V164" i="296" s="1"/>
  <c r="W164" i="296" s="1"/>
  <c r="U165" i="296"/>
  <c r="V165" i="296" s="1"/>
  <c r="W165" i="296" s="1"/>
  <c r="U167" i="296"/>
  <c r="V167" i="296" s="1"/>
  <c r="W167" i="296" s="1"/>
  <c r="U168" i="296"/>
  <c r="V168" i="296" s="1"/>
  <c r="W168" i="296" s="1"/>
  <c r="U169" i="296"/>
  <c r="V169" i="296" s="1"/>
  <c r="W169" i="296" s="1"/>
  <c r="U172" i="296"/>
  <c r="V172" i="296" s="1"/>
  <c r="W172" i="296" s="1"/>
  <c r="U173" i="296"/>
  <c r="V173" i="296" s="1"/>
  <c r="W173" i="296" s="1"/>
  <c r="U176" i="296"/>
  <c r="V176" i="296" s="1"/>
  <c r="W176" i="296" s="1"/>
  <c r="U177" i="296"/>
  <c r="V177" i="296" s="1"/>
  <c r="W177" i="296" s="1"/>
  <c r="U180" i="296"/>
  <c r="V180" i="296" s="1"/>
  <c r="W180" i="296" s="1"/>
  <c r="U181" i="296"/>
  <c r="V181" i="296" s="1"/>
  <c r="W181" i="296" s="1"/>
  <c r="U183" i="296"/>
  <c r="V183" i="296" s="1"/>
  <c r="W183" i="296" s="1"/>
  <c r="U184" i="296"/>
  <c r="V184" i="296" s="1"/>
  <c r="W184" i="296" s="1"/>
  <c r="U185" i="296"/>
  <c r="V185" i="296" s="1"/>
  <c r="W185" i="296" s="1"/>
  <c r="U188" i="296"/>
  <c r="V188" i="296" s="1"/>
  <c r="W188" i="296" s="1"/>
  <c r="U189" i="296"/>
  <c r="V189" i="296" s="1"/>
  <c r="W189" i="296" s="1"/>
  <c r="U192" i="296"/>
  <c r="V192" i="296" s="1"/>
  <c r="W192" i="296" s="1"/>
  <c r="U193" i="296"/>
  <c r="V193" i="296" s="1"/>
  <c r="W193" i="296" s="1"/>
  <c r="U196" i="296"/>
  <c r="V196" i="296" s="1"/>
  <c r="W196" i="296" s="1"/>
  <c r="U197" i="296"/>
  <c r="V197" i="296" s="1"/>
  <c r="W197" i="296" s="1"/>
  <c r="U199" i="296"/>
  <c r="V199" i="296" s="1"/>
  <c r="W199" i="296" s="1"/>
  <c r="U200" i="296"/>
  <c r="V200" i="296" s="1"/>
  <c r="W200" i="296" s="1"/>
  <c r="U201" i="296"/>
  <c r="V201" i="296" s="1"/>
  <c r="W201" i="296" s="1"/>
  <c r="U204" i="296"/>
  <c r="V204" i="296" s="1"/>
  <c r="W204" i="296" s="1"/>
  <c r="U205" i="296"/>
  <c r="V205" i="296" s="1"/>
  <c r="W205" i="296" s="1"/>
  <c r="U208" i="296"/>
  <c r="V208" i="296" s="1"/>
  <c r="W208" i="296" s="1"/>
  <c r="U209" i="296"/>
  <c r="V209" i="296" s="1"/>
  <c r="W209" i="296" s="1"/>
  <c r="U212" i="296"/>
  <c r="V212" i="296" s="1"/>
  <c r="W212" i="296" s="1"/>
  <c r="U213" i="296"/>
  <c r="V213" i="296" s="1"/>
  <c r="W213" i="296" s="1"/>
  <c r="U215" i="296"/>
  <c r="V215" i="296" s="1"/>
  <c r="W215" i="296" s="1"/>
  <c r="U216" i="296"/>
  <c r="V216" i="296" s="1"/>
  <c r="W216" i="296" s="1"/>
  <c r="U217" i="296"/>
  <c r="V217" i="296" s="1"/>
  <c r="W217" i="296" s="1"/>
  <c r="U220" i="296"/>
  <c r="V220" i="296" s="1"/>
  <c r="W220" i="296" s="1"/>
  <c r="U221" i="296"/>
  <c r="V221" i="296" s="1"/>
  <c r="W221" i="296" s="1"/>
  <c r="U224" i="296"/>
  <c r="V224" i="296" s="1"/>
  <c r="W224" i="296" s="1"/>
  <c r="U225" i="296"/>
  <c r="V225" i="296" s="1"/>
  <c r="W225" i="296" s="1"/>
  <c r="U228" i="296"/>
  <c r="V228" i="296" s="1"/>
  <c r="W228" i="296" s="1"/>
  <c r="U229" i="296"/>
  <c r="V229" i="296" s="1"/>
  <c r="W229" i="296" s="1"/>
  <c r="U231" i="296"/>
  <c r="V231" i="296" s="1"/>
  <c r="W231" i="296" s="1"/>
  <c r="U232" i="296"/>
  <c r="V232" i="296" s="1"/>
  <c r="W232" i="296" s="1"/>
  <c r="U233" i="296"/>
  <c r="V233" i="296" s="1"/>
  <c r="W233" i="296" s="1"/>
  <c r="U236" i="296"/>
  <c r="V236" i="296" s="1"/>
  <c r="W236" i="296" s="1"/>
  <c r="U237" i="296"/>
  <c r="V237" i="296" s="1"/>
  <c r="W237" i="296" s="1"/>
  <c r="U240" i="296"/>
  <c r="V240" i="296" s="1"/>
  <c r="W240" i="296" s="1"/>
  <c r="L155" i="296" l="1"/>
  <c r="M155" i="296" s="1"/>
  <c r="L86" i="296"/>
  <c r="M86" i="296" s="1"/>
  <c r="L74" i="296"/>
  <c r="M74" i="296" s="1"/>
  <c r="L38" i="296"/>
  <c r="M38" i="296" s="1"/>
  <c r="Q61" i="296"/>
  <c r="R61" i="296" s="1"/>
  <c r="S61" i="296" s="1"/>
  <c r="P151" i="296"/>
  <c r="Q151" i="296" s="1"/>
  <c r="R151" i="296" s="1"/>
  <c r="S151" i="296" s="1"/>
  <c r="P147" i="296"/>
  <c r="P143" i="296"/>
  <c r="Q143" i="296" s="1"/>
  <c r="R143" i="296" s="1"/>
  <c r="S143" i="296" s="1"/>
  <c r="P123" i="296"/>
  <c r="Q123" i="296" s="1"/>
  <c r="R123" i="296" s="1"/>
  <c r="S123" i="296" s="1"/>
  <c r="P115" i="296"/>
  <c r="P111" i="296"/>
  <c r="P107" i="296"/>
  <c r="P99" i="296"/>
  <c r="P95" i="296"/>
  <c r="P91" i="296"/>
  <c r="Q91" i="296" s="1"/>
  <c r="R91" i="296" s="1"/>
  <c r="S91" i="296" s="1"/>
  <c r="P83" i="296"/>
  <c r="Q83" i="296" s="1"/>
  <c r="R83" i="296" s="1"/>
  <c r="S83" i="296" s="1"/>
  <c r="P79" i="296"/>
  <c r="P67" i="296"/>
  <c r="P47" i="296"/>
  <c r="P39" i="296"/>
  <c r="Q39" i="296" s="1"/>
  <c r="R39" i="296" s="1"/>
  <c r="S39" i="296" s="1"/>
  <c r="P7" i="296"/>
  <c r="Q7" i="296" s="1"/>
  <c r="R7" i="296" s="1"/>
  <c r="S7" i="296" s="1"/>
  <c r="P3" i="296"/>
  <c r="P214" i="296"/>
  <c r="P206" i="296"/>
  <c r="Q206" i="296" s="1"/>
  <c r="R206" i="296" s="1"/>
  <c r="S206" i="296" s="1"/>
  <c r="P194" i="296"/>
  <c r="Q194" i="296" s="1"/>
  <c r="R194" i="296" s="1"/>
  <c r="S194" i="296" s="1"/>
  <c r="P170" i="296"/>
  <c r="P150" i="296"/>
  <c r="P146" i="296"/>
  <c r="P142" i="296"/>
  <c r="Q142" i="296" s="1"/>
  <c r="R142" i="296" s="1"/>
  <c r="S142" i="296" s="1"/>
  <c r="P126" i="296"/>
  <c r="P114" i="296"/>
  <c r="Q114" i="296" s="1"/>
  <c r="R114" i="296" s="1"/>
  <c r="S114" i="296" s="1"/>
  <c r="P102" i="296"/>
  <c r="P98" i="296"/>
  <c r="Q98" i="296" s="1"/>
  <c r="R98" i="296" s="1"/>
  <c r="S98" i="296" s="1"/>
  <c r="P94" i="296"/>
  <c r="P86" i="296"/>
  <c r="Q86" i="296" s="1"/>
  <c r="R86" i="296" s="1"/>
  <c r="S86" i="296" s="1"/>
  <c r="P78" i="296"/>
  <c r="Q78" i="296" s="1"/>
  <c r="R78" i="296" s="1"/>
  <c r="S78" i="296" s="1"/>
  <c r="P62" i="296"/>
  <c r="Q62" i="296" s="1"/>
  <c r="R62" i="296" s="1"/>
  <c r="S62" i="296" s="1"/>
  <c r="P58" i="296"/>
  <c r="P38" i="296"/>
  <c r="P34" i="296"/>
  <c r="Q34" i="296" s="1"/>
  <c r="R34" i="296" s="1"/>
  <c r="S34" i="296" s="1"/>
  <c r="P26" i="296"/>
  <c r="Q26" i="296" s="1"/>
  <c r="R26" i="296" s="1"/>
  <c r="S26" i="296" s="1"/>
  <c r="P14" i="296"/>
  <c r="Q130" i="296"/>
  <c r="R130" i="296" s="1"/>
  <c r="S130" i="296" s="1"/>
  <c r="U3" i="296"/>
  <c r="V3" i="296" s="1"/>
  <c r="W3" i="296" s="1"/>
  <c r="L214" i="296"/>
  <c r="M214" i="296" s="1"/>
  <c r="L184" i="296"/>
  <c r="M184" i="296" s="1"/>
  <c r="L178" i="296"/>
  <c r="M178" i="296" s="1"/>
  <c r="L149" i="296"/>
  <c r="M149" i="296" s="1"/>
  <c r="L121" i="296"/>
  <c r="M121" i="296" s="1"/>
  <c r="L103" i="296"/>
  <c r="M103" i="296" s="1"/>
  <c r="L98" i="296"/>
  <c r="M98" i="296" s="1"/>
  <c r="L78" i="296"/>
  <c r="M78" i="296" s="1"/>
  <c r="L220" i="296"/>
  <c r="M220" i="296" s="1"/>
  <c r="L186" i="296"/>
  <c r="M186" i="296" s="1"/>
  <c r="L180" i="296"/>
  <c r="M180" i="296" s="1"/>
  <c r="L174" i="296"/>
  <c r="M174" i="296" s="1"/>
  <c r="L145" i="296"/>
  <c r="M145" i="296" s="1"/>
  <c r="L70" i="296"/>
  <c r="M70" i="296" s="1"/>
  <c r="Q65" i="296"/>
  <c r="R65" i="296" s="1"/>
  <c r="S65" i="296" s="1"/>
  <c r="L231" i="296"/>
  <c r="M231" i="296" s="1"/>
  <c r="L170" i="296"/>
  <c r="M170" i="296" s="1"/>
  <c r="L164" i="296"/>
  <c r="M164" i="296" s="1"/>
  <c r="L66" i="296"/>
  <c r="M66" i="296" s="1"/>
  <c r="L32" i="296"/>
  <c r="M32" i="296" s="1"/>
  <c r="Q205" i="296"/>
  <c r="R205" i="296" s="1"/>
  <c r="S205" i="296" s="1"/>
  <c r="Q32" i="296"/>
  <c r="R32" i="296" s="1"/>
  <c r="S32" i="296" s="1"/>
  <c r="Q176" i="296"/>
  <c r="R176" i="296" s="1"/>
  <c r="Q207" i="296"/>
  <c r="R207" i="296" s="1"/>
  <c r="S207" i="296" s="1"/>
  <c r="Q175" i="296"/>
  <c r="R175" i="296" s="1"/>
  <c r="S175" i="296" s="1"/>
  <c r="Q163" i="296"/>
  <c r="R163" i="296" s="1"/>
  <c r="S163" i="296" s="1"/>
  <c r="Q2" i="296"/>
  <c r="AA2" i="296" s="1"/>
  <c r="AB2" i="296" s="1"/>
  <c r="Q150" i="296"/>
  <c r="R150" i="296" s="1"/>
  <c r="S150" i="296" s="1"/>
  <c r="Q187" i="296"/>
  <c r="R187" i="296" s="1"/>
  <c r="S187" i="296" s="1"/>
  <c r="Q185" i="296"/>
  <c r="R185" i="296" s="1"/>
  <c r="Q69" i="296"/>
  <c r="R69" i="296" s="1"/>
  <c r="S69" i="296" s="1"/>
  <c r="Q27" i="296"/>
  <c r="R27" i="296" s="1"/>
  <c r="S27" i="296" s="1"/>
  <c r="Q15" i="296"/>
  <c r="R15" i="296" s="1"/>
  <c r="S15" i="296" s="1"/>
  <c r="Q198" i="296"/>
  <c r="R198" i="296" s="1"/>
  <c r="S198" i="296" s="1"/>
  <c r="Q166" i="296"/>
  <c r="R166" i="296" s="1"/>
  <c r="S166" i="296" s="1"/>
  <c r="Q82" i="296"/>
  <c r="R82" i="296" s="1"/>
  <c r="S82" i="296" s="1"/>
  <c r="Q218" i="296"/>
  <c r="R218" i="296" s="1"/>
  <c r="S218" i="296" s="1"/>
  <c r="Q101" i="296"/>
  <c r="R101" i="296" s="1"/>
  <c r="S101" i="296" s="1"/>
  <c r="Q33" i="296"/>
  <c r="R33" i="296" s="1"/>
  <c r="S33" i="296" s="1"/>
  <c r="L236" i="296"/>
  <c r="M236" i="296" s="1"/>
  <c r="Q224" i="296"/>
  <c r="R224" i="296" s="1"/>
  <c r="S224" i="296" s="1"/>
  <c r="Q223" i="296"/>
  <c r="R223" i="296" s="1"/>
  <c r="S223" i="296" s="1"/>
  <c r="Q109" i="296"/>
  <c r="R109" i="296" s="1"/>
  <c r="S109" i="296" s="1"/>
  <c r="Q234" i="296"/>
  <c r="R234" i="296" s="1"/>
  <c r="S234" i="296" s="1"/>
  <c r="L232" i="296"/>
  <c r="M232" i="296" s="1"/>
  <c r="Q229" i="296"/>
  <c r="R229" i="296" s="1"/>
  <c r="S229" i="296" s="1"/>
  <c r="L227" i="296"/>
  <c r="M227" i="296" s="1"/>
  <c r="L224" i="296"/>
  <c r="M224" i="296" s="1"/>
  <c r="L223" i="296"/>
  <c r="M223" i="296" s="1"/>
  <c r="L157" i="296"/>
  <c r="M157" i="296" s="1"/>
  <c r="L142" i="296"/>
  <c r="M142" i="296" s="1"/>
  <c r="L138" i="296"/>
  <c r="M138" i="296" s="1"/>
  <c r="Q134" i="296"/>
  <c r="R134" i="296" s="1"/>
  <c r="S134" i="296" s="1"/>
  <c r="L111" i="296"/>
  <c r="M111" i="296" s="1"/>
  <c r="L99" i="296"/>
  <c r="M99" i="296" s="1"/>
  <c r="L62" i="296"/>
  <c r="M62" i="296" s="1"/>
  <c r="Q57" i="296"/>
  <c r="R57" i="296" s="1"/>
  <c r="S57" i="296" s="1"/>
  <c r="Q49" i="296"/>
  <c r="R49" i="296" s="1"/>
  <c r="S49" i="296" s="1"/>
  <c r="L46" i="296"/>
  <c r="M46" i="296" s="1"/>
  <c r="L36" i="296"/>
  <c r="M36" i="296" s="1"/>
  <c r="Q215" i="296"/>
  <c r="R215" i="296" s="1"/>
  <c r="S215" i="296" s="1"/>
  <c r="Q118" i="296"/>
  <c r="R118" i="296" s="1"/>
  <c r="S118" i="296" s="1"/>
  <c r="L239" i="296"/>
  <c r="M239" i="296" s="1"/>
  <c r="L228" i="296"/>
  <c r="M228" i="296" s="1"/>
  <c r="Q188" i="296"/>
  <c r="R188" i="296" s="1"/>
  <c r="S188" i="296" s="1"/>
  <c r="Q184" i="296"/>
  <c r="R184" i="296" s="1"/>
  <c r="S184" i="296" s="1"/>
  <c r="Q178" i="296"/>
  <c r="R178" i="296" s="1"/>
  <c r="S178" i="296" s="1"/>
  <c r="L166" i="296"/>
  <c r="M166" i="296" s="1"/>
  <c r="Q162" i="296"/>
  <c r="R162" i="296" s="1"/>
  <c r="S162" i="296" s="1"/>
  <c r="Q158" i="296"/>
  <c r="R158" i="296" s="1"/>
  <c r="S158" i="296" s="1"/>
  <c r="Q149" i="296"/>
  <c r="R149" i="296" s="1"/>
  <c r="S149" i="296" s="1"/>
  <c r="L33" i="296"/>
  <c r="M33" i="296" s="1"/>
  <c r="Q23" i="296"/>
  <c r="R23" i="296" s="1"/>
  <c r="S23" i="296" s="1"/>
  <c r="Q21" i="296"/>
  <c r="R21" i="296" s="1"/>
  <c r="S21" i="296" s="1"/>
  <c r="Q11" i="296"/>
  <c r="R11" i="296" s="1"/>
  <c r="S11" i="296" s="1"/>
  <c r="Q9" i="296"/>
  <c r="R9" i="296" s="1"/>
  <c r="S9" i="296" s="1"/>
  <c r="L240" i="296"/>
  <c r="M240" i="296" s="1"/>
  <c r="Q237" i="296"/>
  <c r="R237" i="296" s="1"/>
  <c r="S237" i="296" s="1"/>
  <c r="L235" i="296"/>
  <c r="M235" i="296" s="1"/>
  <c r="L206" i="296"/>
  <c r="M206" i="296" s="1"/>
  <c r="Q190" i="296"/>
  <c r="R190" i="296" s="1"/>
  <c r="S190" i="296" s="1"/>
  <c r="L182" i="296"/>
  <c r="M182" i="296" s="1"/>
  <c r="L176" i="296"/>
  <c r="M176" i="296" s="1"/>
  <c r="L172" i="296"/>
  <c r="M172" i="296" s="1"/>
  <c r="L168" i="296"/>
  <c r="M168" i="296" s="1"/>
  <c r="Q164" i="296"/>
  <c r="R164" i="296" s="1"/>
  <c r="S164" i="296" s="1"/>
  <c r="Q154" i="296"/>
  <c r="R154" i="296" s="1"/>
  <c r="S154" i="296" s="1"/>
  <c r="L122" i="296"/>
  <c r="M122" i="296" s="1"/>
  <c r="L107" i="296"/>
  <c r="M107" i="296" s="1"/>
  <c r="Q85" i="296"/>
  <c r="R85" i="296" s="1"/>
  <c r="S85" i="296" s="1"/>
  <c r="L58" i="296"/>
  <c r="M58" i="296" s="1"/>
  <c r="L54" i="296"/>
  <c r="M54" i="296" s="1"/>
  <c r="L50" i="296"/>
  <c r="M50" i="296" s="1"/>
  <c r="Q45" i="296"/>
  <c r="R45" i="296" s="1"/>
  <c r="S45" i="296" s="1"/>
  <c r="Q35" i="296"/>
  <c r="R35" i="296" s="1"/>
  <c r="S35" i="296" s="1"/>
  <c r="Q25" i="296"/>
  <c r="R25" i="296" s="1"/>
  <c r="S25" i="296" s="1"/>
  <c r="Q13" i="296"/>
  <c r="R13" i="296" s="1"/>
  <c r="S13" i="296" s="1"/>
  <c r="L3" i="296"/>
  <c r="M3" i="296" s="1"/>
  <c r="L218" i="296"/>
  <c r="M218" i="296" s="1"/>
  <c r="Q211" i="296"/>
  <c r="R211" i="296" s="1"/>
  <c r="S211" i="296" s="1"/>
  <c r="Q192" i="296"/>
  <c r="R192" i="296" s="1"/>
  <c r="S192" i="296" s="1"/>
  <c r="Q179" i="296"/>
  <c r="R179" i="296" s="1"/>
  <c r="S179" i="296" s="1"/>
  <c r="Q168" i="296"/>
  <c r="R168" i="296" s="1"/>
  <c r="S168" i="296" s="1"/>
  <c r="Q160" i="296"/>
  <c r="R160" i="296" s="1"/>
  <c r="S160" i="296" s="1"/>
  <c r="L153" i="296"/>
  <c r="M153" i="296" s="1"/>
  <c r="Q29" i="296"/>
  <c r="R29" i="296" s="1"/>
  <c r="Q60" i="296"/>
  <c r="R60" i="296" s="1"/>
  <c r="S60" i="296" s="1"/>
  <c r="Q88" i="296"/>
  <c r="R88" i="296" s="1"/>
  <c r="S88" i="296" s="1"/>
  <c r="Q104" i="296"/>
  <c r="R104" i="296" s="1"/>
  <c r="S104" i="296" s="1"/>
  <c r="Q116" i="296"/>
  <c r="R116" i="296" s="1"/>
  <c r="S116" i="296" s="1"/>
  <c r="Q3" i="296"/>
  <c r="R3" i="296" s="1"/>
  <c r="S3" i="296" s="1"/>
  <c r="Q6" i="296"/>
  <c r="R6" i="296" s="1"/>
  <c r="S6" i="296" s="1"/>
  <c r="Q37" i="296"/>
  <c r="R37" i="296" s="1"/>
  <c r="S37" i="296" s="1"/>
  <c r="Q53" i="296"/>
  <c r="R53" i="296" s="1"/>
  <c r="S53" i="296" s="1"/>
  <c r="Q58" i="296"/>
  <c r="R58" i="296" s="1"/>
  <c r="S58" i="296" s="1"/>
  <c r="Q77" i="296"/>
  <c r="R77" i="296" s="1"/>
  <c r="S77" i="296" s="1"/>
  <c r="Q94" i="296"/>
  <c r="R94" i="296" s="1"/>
  <c r="S94" i="296" s="1"/>
  <c r="Q137" i="296"/>
  <c r="R137" i="296" s="1"/>
  <c r="S137" i="296" s="1"/>
  <c r="Q4" i="296"/>
  <c r="R4" i="296" s="1"/>
  <c r="S4" i="296" s="1"/>
  <c r="Q56" i="296"/>
  <c r="R56" i="296" s="1"/>
  <c r="S56" i="296" s="1"/>
  <c r="Q72" i="296"/>
  <c r="R72" i="296" s="1"/>
  <c r="Q81" i="296"/>
  <c r="R81" i="296" s="1"/>
  <c r="S81" i="296" s="1"/>
  <c r="Q100" i="296"/>
  <c r="R100" i="296" s="1"/>
  <c r="S100" i="296" s="1"/>
  <c r="Q12" i="296"/>
  <c r="R12" i="296" s="1"/>
  <c r="Q24" i="296"/>
  <c r="R24" i="296" s="1"/>
  <c r="S24" i="296" s="1"/>
  <c r="Q38" i="296"/>
  <c r="R38" i="296" s="1"/>
  <c r="S38" i="296" s="1"/>
  <c r="Q73" i="296"/>
  <c r="R73" i="296" s="1"/>
  <c r="S73" i="296" s="1"/>
  <c r="Q95" i="296"/>
  <c r="R95" i="296" s="1"/>
  <c r="S95" i="296" s="1"/>
  <c r="Q111" i="296"/>
  <c r="R111" i="296" s="1"/>
  <c r="S111" i="296" s="1"/>
  <c r="Q128" i="296"/>
  <c r="R128" i="296" s="1"/>
  <c r="S128" i="296" s="1"/>
  <c r="Q132" i="296"/>
  <c r="R132" i="296" s="1"/>
  <c r="S132" i="296" s="1"/>
  <c r="Q239" i="296"/>
  <c r="R239" i="296" s="1"/>
  <c r="S239" i="296" s="1"/>
  <c r="Q231" i="296"/>
  <c r="R231" i="296" s="1"/>
  <c r="S231" i="296" s="1"/>
  <c r="Q228" i="296"/>
  <c r="R228" i="296" s="1"/>
  <c r="S228" i="296" s="1"/>
  <c r="Q227" i="296"/>
  <c r="R227" i="296" s="1"/>
  <c r="S227" i="296" s="1"/>
  <c r="Q220" i="296"/>
  <c r="R220" i="296" s="1"/>
  <c r="S220" i="296" s="1"/>
  <c r="Q214" i="296"/>
  <c r="R214" i="296" s="1"/>
  <c r="S214" i="296" s="1"/>
  <c r="Q212" i="296"/>
  <c r="R212" i="296" s="1"/>
  <c r="S212" i="296" s="1"/>
  <c r="Q208" i="296"/>
  <c r="R208" i="296" s="1"/>
  <c r="S208" i="296" s="1"/>
  <c r="Q195" i="296"/>
  <c r="R195" i="296" s="1"/>
  <c r="S195" i="296" s="1"/>
  <c r="Q152" i="296"/>
  <c r="R152" i="296" s="1"/>
  <c r="S152" i="296" s="1"/>
  <c r="Q19" i="296"/>
  <c r="R19" i="296" s="1"/>
  <c r="S19" i="296" s="1"/>
  <c r="Q105" i="296"/>
  <c r="R105" i="296" s="1"/>
  <c r="S105" i="296" s="1"/>
  <c r="Q44" i="296"/>
  <c r="R44" i="296" s="1"/>
  <c r="S44" i="296" s="1"/>
  <c r="Q46" i="296"/>
  <c r="R46" i="296" s="1"/>
  <c r="S46" i="296" s="1"/>
  <c r="Q121" i="296"/>
  <c r="R121" i="296" s="1"/>
  <c r="S121" i="296" s="1"/>
  <c r="Q141" i="296"/>
  <c r="R141" i="296" s="1"/>
  <c r="S141" i="296" s="1"/>
  <c r="Q76" i="296"/>
  <c r="R76" i="296" s="1"/>
  <c r="S76" i="296" s="1"/>
  <c r="Q136" i="296"/>
  <c r="R136" i="296" s="1"/>
  <c r="S136" i="296" s="1"/>
  <c r="Q238" i="296"/>
  <c r="R238" i="296" s="1"/>
  <c r="S238" i="296" s="1"/>
  <c r="Q235" i="296"/>
  <c r="R235" i="296" s="1"/>
  <c r="S235" i="296" s="1"/>
  <c r="Q219" i="296"/>
  <c r="R219" i="296" s="1"/>
  <c r="S219" i="296" s="1"/>
  <c r="Q216" i="296"/>
  <c r="R216" i="296" s="1"/>
  <c r="S216" i="296" s="1"/>
  <c r="Q210" i="296"/>
  <c r="R210" i="296" s="1"/>
  <c r="S210" i="296" s="1"/>
  <c r="Q197" i="296"/>
  <c r="R197" i="296" s="1"/>
  <c r="S197" i="296" s="1"/>
  <c r="Q189" i="296"/>
  <c r="R189" i="296" s="1"/>
  <c r="S189" i="296" s="1"/>
  <c r="Q182" i="296"/>
  <c r="R182" i="296" s="1"/>
  <c r="S182" i="296" s="1"/>
  <c r="Q181" i="296"/>
  <c r="R181" i="296" s="1"/>
  <c r="S181" i="296" s="1"/>
  <c r="Q173" i="296"/>
  <c r="R173" i="296" s="1"/>
  <c r="S173" i="296" s="1"/>
  <c r="Q169" i="296"/>
  <c r="R169" i="296" s="1"/>
  <c r="S169" i="296" s="1"/>
  <c r="Q159" i="296"/>
  <c r="R159" i="296" s="1"/>
  <c r="S159" i="296" s="1"/>
  <c r="Q156" i="296"/>
  <c r="R156" i="296" s="1"/>
  <c r="S156" i="296" s="1"/>
  <c r="Q144" i="296"/>
  <c r="R144" i="296" s="1"/>
  <c r="S144" i="296" s="1"/>
  <c r="Q230" i="296"/>
  <c r="R230" i="296" s="1"/>
  <c r="S230" i="296" s="1"/>
  <c r="Q209" i="296"/>
  <c r="R209" i="296" s="1"/>
  <c r="S209" i="296" s="1"/>
  <c r="Q200" i="296"/>
  <c r="R200" i="296" s="1"/>
  <c r="S200" i="296" s="1"/>
  <c r="Q196" i="296"/>
  <c r="R196" i="296" s="1"/>
  <c r="S196" i="296" s="1"/>
  <c r="Q177" i="296"/>
  <c r="R177" i="296" s="1"/>
  <c r="S177" i="296" s="1"/>
  <c r="Q172" i="296"/>
  <c r="R172" i="296" s="1"/>
  <c r="S172" i="296" s="1"/>
  <c r="L162" i="296"/>
  <c r="M162" i="296" s="1"/>
  <c r="L146" i="296"/>
  <c r="M146" i="296" s="1"/>
  <c r="Q145" i="296"/>
  <c r="R145" i="296" s="1"/>
  <c r="S145" i="296" s="1"/>
  <c r="L140" i="296"/>
  <c r="M140" i="296" s="1"/>
  <c r="Q17" i="296"/>
  <c r="R17" i="296" s="1"/>
  <c r="S17" i="296" s="1"/>
  <c r="L136" i="296"/>
  <c r="M136" i="296" s="1"/>
  <c r="Q135" i="296"/>
  <c r="R135" i="296" s="1"/>
  <c r="S135" i="296" s="1"/>
  <c r="Q131" i="296"/>
  <c r="R131" i="296" s="1"/>
  <c r="S131" i="296" s="1"/>
  <c r="Q127" i="296"/>
  <c r="R127" i="296" s="1"/>
  <c r="S127" i="296" s="1"/>
  <c r="L109" i="296"/>
  <c r="M109" i="296" s="1"/>
  <c r="Q103" i="296"/>
  <c r="R103" i="296" s="1"/>
  <c r="S103" i="296" s="1"/>
  <c r="L101" i="296"/>
  <c r="M101" i="296" s="1"/>
  <c r="Q97" i="296"/>
  <c r="R97" i="296" s="1"/>
  <c r="S97" i="296" s="1"/>
  <c r="Q89" i="296"/>
  <c r="R89" i="296" s="1"/>
  <c r="S89" i="296" s="1"/>
  <c r="Q87" i="296"/>
  <c r="R87" i="296" s="1"/>
  <c r="S87" i="296" s="1"/>
  <c r="L79" i="296"/>
  <c r="M79" i="296" s="1"/>
  <c r="L76" i="296"/>
  <c r="M76" i="296" s="1"/>
  <c r="Q75" i="296"/>
  <c r="R75" i="296" s="1"/>
  <c r="S75" i="296" s="1"/>
  <c r="L68" i="296"/>
  <c r="M68" i="296" s="1"/>
  <c r="L60" i="296"/>
  <c r="M60" i="296" s="1"/>
  <c r="Q59" i="296"/>
  <c r="R59" i="296" s="1"/>
  <c r="S59" i="296" s="1"/>
  <c r="L52" i="296"/>
  <c r="M52" i="296" s="1"/>
  <c r="Q51" i="296"/>
  <c r="R51" i="296" s="1"/>
  <c r="S51" i="296" s="1"/>
  <c r="L34" i="296"/>
  <c r="M34" i="296" s="1"/>
  <c r="Q139" i="296"/>
  <c r="R139" i="296" s="1"/>
  <c r="S139" i="296" s="1"/>
  <c r="Q122" i="296"/>
  <c r="R122" i="296" s="1"/>
  <c r="S122" i="296" s="1"/>
  <c r="L120" i="296"/>
  <c r="M120" i="296" s="1"/>
  <c r="L118" i="296"/>
  <c r="M118" i="296" s="1"/>
  <c r="L105" i="296"/>
  <c r="M105" i="296" s="1"/>
  <c r="L84" i="296"/>
  <c r="M84" i="296" s="1"/>
  <c r="L81" i="296"/>
  <c r="M81" i="296" s="1"/>
  <c r="L72" i="296"/>
  <c r="M72" i="296" s="1"/>
  <c r="Q71" i="296"/>
  <c r="R71" i="296" s="1"/>
  <c r="S71" i="296" s="1"/>
  <c r="L64" i="296"/>
  <c r="M64" i="296" s="1"/>
  <c r="Q63" i="296"/>
  <c r="R63" i="296" s="1"/>
  <c r="S63" i="296" s="1"/>
  <c r="L56" i="296"/>
  <c r="M56" i="296" s="1"/>
  <c r="Q55" i="296"/>
  <c r="R55" i="296" s="1"/>
  <c r="S55" i="296" s="1"/>
  <c r="L48" i="296"/>
  <c r="M48" i="296" s="1"/>
  <c r="L4" i="296"/>
  <c r="M4" i="296" s="1"/>
  <c r="L159" i="296"/>
  <c r="M159" i="296" s="1"/>
  <c r="L151" i="296"/>
  <c r="M151" i="296" s="1"/>
  <c r="Q226" i="296"/>
  <c r="R226" i="296" s="1"/>
  <c r="S226" i="296" s="1"/>
  <c r="Q222" i="296"/>
  <c r="R222" i="296" s="1"/>
  <c r="S222" i="296" s="1"/>
  <c r="L219" i="296"/>
  <c r="M219" i="296" s="1"/>
  <c r="L215" i="296"/>
  <c r="M215" i="296" s="1"/>
  <c r="L211" i="296"/>
  <c r="M211" i="296" s="1"/>
  <c r="L209" i="296"/>
  <c r="M209" i="296" s="1"/>
  <c r="L207" i="296"/>
  <c r="M207" i="296" s="1"/>
  <c r="Q203" i="296"/>
  <c r="R203" i="296" s="1"/>
  <c r="S203" i="296" s="1"/>
  <c r="Q199" i="296"/>
  <c r="R199" i="296" s="1"/>
  <c r="S199" i="296" s="1"/>
  <c r="Q191" i="296"/>
  <c r="R191" i="296" s="1"/>
  <c r="S191" i="296" s="1"/>
  <c r="L185" i="296"/>
  <c r="M185" i="296" s="1"/>
  <c r="Q183" i="296"/>
  <c r="R183" i="296" s="1"/>
  <c r="S183" i="296" s="1"/>
  <c r="L181" i="296"/>
  <c r="M181" i="296" s="1"/>
  <c r="L177" i="296"/>
  <c r="M177" i="296" s="1"/>
  <c r="L173" i="296"/>
  <c r="M173" i="296" s="1"/>
  <c r="Q171" i="296"/>
  <c r="R171" i="296" s="1"/>
  <c r="S171" i="296" s="1"/>
  <c r="L169" i="296"/>
  <c r="M169" i="296" s="1"/>
  <c r="Q167" i="296"/>
  <c r="R167" i="296" s="1"/>
  <c r="S167" i="296" s="1"/>
  <c r="L165" i="296"/>
  <c r="M165" i="296" s="1"/>
  <c r="L161" i="296"/>
  <c r="M161" i="296" s="1"/>
  <c r="L150" i="296"/>
  <c r="M150" i="296" s="1"/>
  <c r="L144" i="296"/>
  <c r="M144" i="296" s="1"/>
  <c r="Q240" i="296"/>
  <c r="R240" i="296" s="1"/>
  <c r="S240" i="296" s="1"/>
  <c r="L238" i="296"/>
  <c r="M238" i="296" s="1"/>
  <c r="Q236" i="296"/>
  <c r="R236" i="296" s="1"/>
  <c r="S236" i="296" s="1"/>
  <c r="L234" i="296"/>
  <c r="M234" i="296" s="1"/>
  <c r="Q232" i="296"/>
  <c r="R232" i="296" s="1"/>
  <c r="S232" i="296" s="1"/>
  <c r="L230" i="296"/>
  <c r="M230" i="296" s="1"/>
  <c r="L226" i="296"/>
  <c r="M226" i="296" s="1"/>
  <c r="Q225" i="296"/>
  <c r="R225" i="296" s="1"/>
  <c r="S225" i="296" s="1"/>
  <c r="L222" i="296"/>
  <c r="M222" i="296" s="1"/>
  <c r="Q217" i="296"/>
  <c r="R217" i="296" s="1"/>
  <c r="S217" i="296" s="1"/>
  <c r="L216" i="296"/>
  <c r="M216" i="296" s="1"/>
  <c r="Q213" i="296"/>
  <c r="R213" i="296" s="1"/>
  <c r="S213" i="296" s="1"/>
  <c r="L212" i="296"/>
  <c r="M212" i="296" s="1"/>
  <c r="L148" i="296"/>
  <c r="M148" i="296" s="1"/>
  <c r="L237" i="296"/>
  <c r="M237" i="296" s="1"/>
  <c r="L233" i="296"/>
  <c r="M233" i="296" s="1"/>
  <c r="L229" i="296"/>
  <c r="M229" i="296" s="1"/>
  <c r="L225" i="296"/>
  <c r="M225" i="296" s="1"/>
  <c r="L221" i="296"/>
  <c r="M221" i="296" s="1"/>
  <c r="L217" i="296"/>
  <c r="M217" i="296" s="1"/>
  <c r="L213" i="296"/>
  <c r="M213" i="296" s="1"/>
  <c r="L210" i="296"/>
  <c r="M210" i="296" s="1"/>
  <c r="L208" i="296"/>
  <c r="M208" i="296" s="1"/>
  <c r="Q201" i="296"/>
  <c r="R201" i="296" s="1"/>
  <c r="S201" i="296" s="1"/>
  <c r="Q193" i="296"/>
  <c r="R193" i="296" s="1"/>
  <c r="S193" i="296" s="1"/>
  <c r="L187" i="296"/>
  <c r="M187" i="296" s="1"/>
  <c r="Q186" i="296"/>
  <c r="R186" i="296" s="1"/>
  <c r="S186" i="296" s="1"/>
  <c r="L183" i="296"/>
  <c r="M183" i="296" s="1"/>
  <c r="L179" i="296"/>
  <c r="M179" i="296" s="1"/>
  <c r="L175" i="296"/>
  <c r="M175" i="296" s="1"/>
  <c r="Q174" i="296"/>
  <c r="R174" i="296" s="1"/>
  <c r="S174" i="296" s="1"/>
  <c r="Q161" i="296"/>
  <c r="R161" i="296" s="1"/>
  <c r="S161" i="296" s="1"/>
  <c r="L160" i="296"/>
  <c r="M160" i="296" s="1"/>
  <c r="Q119" i="296"/>
  <c r="R119" i="296" s="1"/>
  <c r="S119" i="296" s="1"/>
  <c r="Q113" i="296"/>
  <c r="R113" i="296" s="1"/>
  <c r="S113" i="296" s="1"/>
  <c r="Q110" i="296"/>
  <c r="R110" i="296" s="1"/>
  <c r="S110" i="296" s="1"/>
  <c r="Q108" i="296"/>
  <c r="R108" i="296" s="1"/>
  <c r="S108" i="296" s="1"/>
  <c r="Q106" i="296"/>
  <c r="R106" i="296" s="1"/>
  <c r="S106" i="296" s="1"/>
  <c r="L44" i="296"/>
  <c r="M44" i="296" s="1"/>
  <c r="Q43" i="296"/>
  <c r="R43" i="296" s="1"/>
  <c r="S43" i="296" s="1"/>
  <c r="L42" i="296"/>
  <c r="M42" i="296" s="1"/>
  <c r="Q41" i="296"/>
  <c r="R41" i="296" s="1"/>
  <c r="S41" i="296" s="1"/>
  <c r="L40" i="296"/>
  <c r="M40" i="296" s="1"/>
  <c r="L37" i="296"/>
  <c r="M37" i="296" s="1"/>
  <c r="Q36" i="296"/>
  <c r="R36" i="296" s="1"/>
  <c r="S36" i="296" s="1"/>
  <c r="Q31" i="296"/>
  <c r="R31" i="296" s="1"/>
  <c r="S31" i="296" s="1"/>
  <c r="Q22" i="296"/>
  <c r="R22" i="296" s="1"/>
  <c r="S22" i="296" s="1"/>
  <c r="Q18" i="296"/>
  <c r="R18" i="296" s="1"/>
  <c r="S18" i="296" s="1"/>
  <c r="Q14" i="296"/>
  <c r="R14" i="296" s="1"/>
  <c r="S14" i="296" s="1"/>
  <c r="Q10" i="296"/>
  <c r="R10" i="296" s="1"/>
  <c r="S10" i="296" s="1"/>
  <c r="L6" i="296"/>
  <c r="M6" i="296" s="1"/>
  <c r="L5" i="296"/>
  <c r="M5" i="296" s="1"/>
  <c r="L171" i="296"/>
  <c r="M171" i="296" s="1"/>
  <c r="L167" i="296"/>
  <c r="M167" i="296" s="1"/>
  <c r="Q165" i="296"/>
  <c r="R165" i="296" s="1"/>
  <c r="S165" i="296" s="1"/>
  <c r="L163" i="296"/>
  <c r="M163" i="296" s="1"/>
  <c r="L147" i="296"/>
  <c r="M147" i="296" s="1"/>
  <c r="L143" i="296"/>
  <c r="M143" i="296" s="1"/>
  <c r="L141" i="296"/>
  <c r="M141" i="296" s="1"/>
  <c r="Q140" i="296"/>
  <c r="R140" i="296" s="1"/>
  <c r="S140" i="296" s="1"/>
  <c r="L139" i="296"/>
  <c r="M139" i="296" s="1"/>
  <c r="Q138" i="296"/>
  <c r="R138" i="296" s="1"/>
  <c r="S138" i="296" s="1"/>
  <c r="L137" i="296"/>
  <c r="M137" i="296" s="1"/>
  <c r="Q133" i="296"/>
  <c r="R133" i="296" s="1"/>
  <c r="S133" i="296" s="1"/>
  <c r="Q129" i="296"/>
  <c r="R129" i="296" s="1"/>
  <c r="S129" i="296" s="1"/>
  <c r="Q125" i="296"/>
  <c r="R125" i="296" s="1"/>
  <c r="S125" i="296" s="1"/>
  <c r="Q120" i="296"/>
  <c r="R120" i="296" s="1"/>
  <c r="S120" i="296" s="1"/>
  <c r="L113" i="296"/>
  <c r="M113" i="296" s="1"/>
  <c r="Q112" i="296"/>
  <c r="R112" i="296" s="1"/>
  <c r="S112" i="296" s="1"/>
  <c r="L110" i="296"/>
  <c r="M110" i="296" s="1"/>
  <c r="L108" i="296"/>
  <c r="M108" i="296" s="1"/>
  <c r="L106" i="296"/>
  <c r="M106" i="296" s="1"/>
  <c r="L104" i="296"/>
  <c r="M104" i="296" s="1"/>
  <c r="L102" i="296"/>
  <c r="M102" i="296" s="1"/>
  <c r="L100" i="296"/>
  <c r="M100" i="296" s="1"/>
  <c r="Q96" i="296"/>
  <c r="R96" i="296" s="1"/>
  <c r="S96" i="296" s="1"/>
  <c r="Q92" i="296"/>
  <c r="R92" i="296" s="1"/>
  <c r="S92" i="296" s="1"/>
  <c r="Q90" i="296"/>
  <c r="R90" i="296" s="1"/>
  <c r="S90" i="296" s="1"/>
  <c r="L83" i="296"/>
  <c r="M83" i="296" s="1"/>
  <c r="L80" i="296"/>
  <c r="M80" i="296" s="1"/>
  <c r="S72" i="296"/>
  <c r="L2" i="296"/>
  <c r="M2" i="296" s="1"/>
  <c r="L158" i="296"/>
  <c r="M158" i="296" s="1"/>
  <c r="Q157" i="296"/>
  <c r="R157" i="296" s="1"/>
  <c r="S157" i="296" s="1"/>
  <c r="L156" i="296"/>
  <c r="M156" i="296" s="1"/>
  <c r="Q155" i="296"/>
  <c r="R155" i="296" s="1"/>
  <c r="S155" i="296" s="1"/>
  <c r="L154" i="296"/>
  <c r="M154" i="296" s="1"/>
  <c r="Q153" i="296"/>
  <c r="R153" i="296" s="1"/>
  <c r="S153" i="296" s="1"/>
  <c r="L152" i="296"/>
  <c r="M152" i="296" s="1"/>
  <c r="Q124" i="296"/>
  <c r="R124" i="296" s="1"/>
  <c r="S124" i="296" s="1"/>
  <c r="L119" i="296"/>
  <c r="M119" i="296" s="1"/>
  <c r="L112" i="296"/>
  <c r="M112" i="296" s="1"/>
  <c r="L87" i="296"/>
  <c r="M87" i="296" s="1"/>
  <c r="L85" i="296"/>
  <c r="M85" i="296" s="1"/>
  <c r="L82" i="296"/>
  <c r="M82" i="296" s="1"/>
  <c r="L77" i="296"/>
  <c r="M77" i="296" s="1"/>
  <c r="L75" i="296"/>
  <c r="M75" i="296" s="1"/>
  <c r="Q74" i="296"/>
  <c r="R74" i="296" s="1"/>
  <c r="S74" i="296" s="1"/>
  <c r="L73" i="296"/>
  <c r="M73" i="296" s="1"/>
  <c r="L71" i="296"/>
  <c r="M71" i="296" s="1"/>
  <c r="Q70" i="296"/>
  <c r="R70" i="296" s="1"/>
  <c r="S70" i="296" s="1"/>
  <c r="L69" i="296"/>
  <c r="M69" i="296" s="1"/>
  <c r="Q68" i="296"/>
  <c r="R68" i="296" s="1"/>
  <c r="S68" i="296" s="1"/>
  <c r="L67" i="296"/>
  <c r="M67" i="296" s="1"/>
  <c r="Q66" i="296"/>
  <c r="R66" i="296" s="1"/>
  <c r="S66" i="296" s="1"/>
  <c r="L65" i="296"/>
  <c r="M65" i="296" s="1"/>
  <c r="Q64" i="296"/>
  <c r="R64" i="296" s="1"/>
  <c r="S64" i="296" s="1"/>
  <c r="L63" i="296"/>
  <c r="M63" i="296" s="1"/>
  <c r="L61" i="296"/>
  <c r="M61" i="296" s="1"/>
  <c r="L59" i="296"/>
  <c r="M59" i="296" s="1"/>
  <c r="L57" i="296"/>
  <c r="M57" i="296" s="1"/>
  <c r="L55" i="296"/>
  <c r="M55" i="296" s="1"/>
  <c r="Q54" i="296"/>
  <c r="R54" i="296" s="1"/>
  <c r="S54" i="296" s="1"/>
  <c r="L53" i="296"/>
  <c r="M53" i="296" s="1"/>
  <c r="Q52" i="296"/>
  <c r="R52" i="296" s="1"/>
  <c r="S52" i="296" s="1"/>
  <c r="L51" i="296"/>
  <c r="M51" i="296" s="1"/>
  <c r="Q50" i="296"/>
  <c r="R50" i="296" s="1"/>
  <c r="S50" i="296" s="1"/>
  <c r="L49" i="296"/>
  <c r="M49" i="296" s="1"/>
  <c r="Q48" i="296"/>
  <c r="R48" i="296" s="1"/>
  <c r="S48" i="296" s="1"/>
  <c r="L47" i="296"/>
  <c r="M47" i="296" s="1"/>
  <c r="L45" i="296"/>
  <c r="M45" i="296" s="1"/>
  <c r="L43" i="296"/>
  <c r="M43" i="296" s="1"/>
  <c r="Q42" i="296"/>
  <c r="R42" i="296" s="1"/>
  <c r="S42" i="296" s="1"/>
  <c r="L41" i="296"/>
  <c r="M41" i="296" s="1"/>
  <c r="Q40" i="296"/>
  <c r="R40" i="296" s="1"/>
  <c r="S40" i="296" s="1"/>
  <c r="L39" i="296"/>
  <c r="M39" i="296" s="1"/>
  <c r="L35" i="296"/>
  <c r="M35" i="296" s="1"/>
  <c r="L31" i="296"/>
  <c r="M31" i="296" s="1"/>
  <c r="Q20" i="296"/>
  <c r="R20" i="296" s="1"/>
  <c r="S20" i="296" s="1"/>
  <c r="Q16" i="296"/>
  <c r="R16" i="296" s="1"/>
  <c r="S16" i="296" s="1"/>
  <c r="Q8" i="296"/>
  <c r="R8" i="296" s="1"/>
  <c r="S8" i="296" s="1"/>
  <c r="Q5" i="296"/>
  <c r="R5" i="296" s="1"/>
  <c r="S5" i="296" s="1"/>
  <c r="L205" i="296"/>
  <c r="M205" i="296" s="1"/>
  <c r="L201" i="296"/>
  <c r="M201" i="296" s="1"/>
  <c r="L197" i="296"/>
  <c r="M197" i="296" s="1"/>
  <c r="L193" i="296"/>
  <c r="M193" i="296" s="1"/>
  <c r="L189" i="296"/>
  <c r="M189" i="296" s="1"/>
  <c r="L204" i="296"/>
  <c r="M204" i="296" s="1"/>
  <c r="L200" i="296"/>
  <c r="M200" i="296" s="1"/>
  <c r="L196" i="296"/>
  <c r="M196" i="296" s="1"/>
  <c r="L192" i="296"/>
  <c r="M192" i="296" s="1"/>
  <c r="L188" i="296"/>
  <c r="M188" i="296" s="1"/>
  <c r="L203" i="296"/>
  <c r="M203" i="296" s="1"/>
  <c r="Q202" i="296"/>
  <c r="R202" i="296" s="1"/>
  <c r="S202" i="296" s="1"/>
  <c r="L199" i="296"/>
  <c r="M199" i="296" s="1"/>
  <c r="L195" i="296"/>
  <c r="M195" i="296" s="1"/>
  <c r="L191" i="296"/>
  <c r="M191" i="296" s="1"/>
  <c r="L202" i="296"/>
  <c r="M202" i="296" s="1"/>
  <c r="L198" i="296"/>
  <c r="M198" i="296" s="1"/>
  <c r="L194" i="296"/>
  <c r="M194" i="296" s="1"/>
  <c r="L190" i="296"/>
  <c r="M190" i="296" s="1"/>
  <c r="L133" i="296"/>
  <c r="M133" i="296" s="1"/>
  <c r="L132" i="296"/>
  <c r="M132" i="296" s="1"/>
  <c r="S185" i="296"/>
  <c r="S176" i="296"/>
  <c r="L135" i="296"/>
  <c r="M135" i="296" s="1"/>
  <c r="L134" i="296"/>
  <c r="M134" i="296" s="1"/>
  <c r="L131" i="296"/>
  <c r="M131" i="296" s="1"/>
  <c r="L130" i="296"/>
  <c r="M130" i="296" s="1"/>
  <c r="L129" i="296"/>
  <c r="M129" i="296" s="1"/>
  <c r="L128" i="296"/>
  <c r="M128" i="296" s="1"/>
  <c r="L127" i="296"/>
  <c r="M127" i="296" s="1"/>
  <c r="L126" i="296"/>
  <c r="M126" i="296" s="1"/>
  <c r="L125" i="296"/>
  <c r="M125" i="296" s="1"/>
  <c r="L124" i="296"/>
  <c r="M124" i="296" s="1"/>
  <c r="L123" i="296"/>
  <c r="M123" i="296" s="1"/>
  <c r="L115" i="296"/>
  <c r="M115" i="296" s="1"/>
  <c r="Q117" i="296"/>
  <c r="R117" i="296" s="1"/>
  <c r="S117" i="296" s="1"/>
  <c r="L114" i="296"/>
  <c r="M114" i="296" s="1"/>
  <c r="L117" i="296"/>
  <c r="M117" i="296" s="1"/>
  <c r="L116" i="296"/>
  <c r="M116" i="296" s="1"/>
  <c r="Q115" i="296"/>
  <c r="R115" i="296" s="1"/>
  <c r="S115" i="296" s="1"/>
  <c r="L97" i="296"/>
  <c r="M97" i="296" s="1"/>
  <c r="L96" i="296"/>
  <c r="M96" i="296" s="1"/>
  <c r="L95" i="296"/>
  <c r="M95" i="296" s="1"/>
  <c r="L94" i="296"/>
  <c r="M94" i="296" s="1"/>
  <c r="L93" i="296"/>
  <c r="M93" i="296" s="1"/>
  <c r="L92" i="296"/>
  <c r="M92" i="296" s="1"/>
  <c r="L91" i="296"/>
  <c r="M91" i="296" s="1"/>
  <c r="L90" i="296"/>
  <c r="M90" i="296" s="1"/>
  <c r="L89" i="296"/>
  <c r="M89" i="296" s="1"/>
  <c r="L88" i="296"/>
  <c r="M88" i="296" s="1"/>
  <c r="L29" i="296"/>
  <c r="M29" i="296" s="1"/>
  <c r="S29" i="296"/>
  <c r="L27" i="296"/>
  <c r="M27" i="296" s="1"/>
  <c r="L25" i="296"/>
  <c r="M25" i="296" s="1"/>
  <c r="L23" i="296"/>
  <c r="M23" i="296" s="1"/>
  <c r="L21" i="296"/>
  <c r="M21" i="296" s="1"/>
  <c r="L19" i="296"/>
  <c r="M19" i="296" s="1"/>
  <c r="L17" i="296"/>
  <c r="M17" i="296" s="1"/>
  <c r="L15" i="296"/>
  <c r="M15" i="296" s="1"/>
  <c r="L13" i="296"/>
  <c r="M13" i="296" s="1"/>
  <c r="L11" i="296"/>
  <c r="M11" i="296" s="1"/>
  <c r="L9" i="296"/>
  <c r="M9" i="296" s="1"/>
  <c r="L7" i="296"/>
  <c r="M7" i="296" s="1"/>
  <c r="Q30" i="296"/>
  <c r="R30" i="296" s="1"/>
  <c r="S30" i="296" s="1"/>
  <c r="Q28" i="296"/>
  <c r="R28" i="296" s="1"/>
  <c r="S28" i="296" s="1"/>
  <c r="L30" i="296"/>
  <c r="M30" i="296" s="1"/>
  <c r="L28" i="296"/>
  <c r="M28" i="296" s="1"/>
  <c r="L26" i="296"/>
  <c r="M26" i="296" s="1"/>
  <c r="L24" i="296"/>
  <c r="M24" i="296" s="1"/>
  <c r="L22" i="296"/>
  <c r="M22" i="296" s="1"/>
  <c r="L20" i="296"/>
  <c r="M20" i="296" s="1"/>
  <c r="L18" i="296"/>
  <c r="M18" i="296" s="1"/>
  <c r="L16" i="296"/>
  <c r="M16" i="296" s="1"/>
  <c r="L14" i="296"/>
  <c r="M14" i="296" s="1"/>
  <c r="L12" i="296"/>
  <c r="M12" i="296" s="1"/>
  <c r="L10" i="296"/>
  <c r="M10" i="296" s="1"/>
  <c r="L8" i="296"/>
  <c r="M8" i="296" s="1"/>
  <c r="S12" i="296"/>
  <c r="T7" i="2"/>
  <c r="G7" i="2"/>
  <c r="F7" i="2"/>
  <c r="E7" i="2"/>
  <c r="D7" i="2"/>
  <c r="K29" i="290"/>
  <c r="K27" i="290"/>
  <c r="K24" i="290"/>
  <c r="K28" i="290"/>
  <c r="K30" i="290"/>
  <c r="K31" i="290"/>
  <c r="K32" i="290"/>
  <c r="K33" i="290"/>
  <c r="E42" i="290"/>
  <c r="C42" i="290"/>
  <c r="E41" i="290"/>
  <c r="C41" i="290"/>
  <c r="E40" i="290"/>
  <c r="C40" i="290"/>
  <c r="E39" i="290"/>
  <c r="C39" i="290"/>
  <c r="E38" i="290"/>
  <c r="C38" i="290"/>
  <c r="C37" i="290"/>
  <c r="K26" i="290"/>
  <c r="K25" i="290"/>
  <c r="K23" i="290"/>
  <c r="J16" i="290"/>
  <c r="J15" i="290"/>
  <c r="F7" i="290"/>
  <c r="AB10" i="296" l="1"/>
  <c r="AB18" i="296"/>
  <c r="AB26" i="296"/>
  <c r="AB34" i="296"/>
  <c r="AB42" i="296"/>
  <c r="AB50" i="296"/>
  <c r="AB58" i="296"/>
  <c r="AB66" i="296"/>
  <c r="AB74" i="296"/>
  <c r="AB82" i="296"/>
  <c r="AB90" i="296"/>
  <c r="AB98" i="296"/>
  <c r="AB106" i="296"/>
  <c r="AB114" i="296"/>
  <c r="AB122" i="296"/>
  <c r="AB130" i="296"/>
  <c r="AB138" i="296"/>
  <c r="AB154" i="296"/>
  <c r="AB162" i="296"/>
  <c r="AB174" i="296"/>
  <c r="AB182" i="296"/>
  <c r="AB190" i="296"/>
  <c r="AB198" i="296"/>
  <c r="AB206" i="296"/>
  <c r="AB214" i="296"/>
  <c r="AB222" i="296"/>
  <c r="AB230" i="296"/>
  <c r="AB238" i="296"/>
  <c r="AB15" i="296"/>
  <c r="AB35" i="296"/>
  <c r="AB59" i="296"/>
  <c r="AB81" i="296"/>
  <c r="AB101" i="296"/>
  <c r="AB125" i="296"/>
  <c r="AB173" i="296"/>
  <c r="AB195" i="296"/>
  <c r="AB219" i="296"/>
  <c r="AB11" i="296"/>
  <c r="AB39" i="296"/>
  <c r="AB65" i="296"/>
  <c r="AB91" i="296"/>
  <c r="AB117" i="296"/>
  <c r="AB145" i="296"/>
  <c r="AB171" i="296"/>
  <c r="AB197" i="296"/>
  <c r="AB223" i="296"/>
  <c r="AB7" i="296"/>
  <c r="AB31" i="296"/>
  <c r="AB53" i="296"/>
  <c r="AB103" i="296"/>
  <c r="AB127" i="296"/>
  <c r="AB149" i="296"/>
  <c r="AB163" i="296"/>
  <c r="AB187" i="296"/>
  <c r="AB213" i="296"/>
  <c r="AB4" i="296"/>
  <c r="AB12" i="296"/>
  <c r="AB20" i="296"/>
  <c r="AB28" i="296"/>
  <c r="AB36" i="296"/>
  <c r="AB44" i="296"/>
  <c r="AB52" i="296"/>
  <c r="AB60" i="296"/>
  <c r="AB68" i="296"/>
  <c r="AB76" i="296"/>
  <c r="AB92" i="296"/>
  <c r="AB100" i="296"/>
  <c r="AB108" i="296"/>
  <c r="AB116" i="296"/>
  <c r="AB124" i="296"/>
  <c r="AB132" i="296"/>
  <c r="AB140" i="296"/>
  <c r="AB156" i="296"/>
  <c r="AB164" i="296"/>
  <c r="AB172" i="296"/>
  <c r="AB176" i="296"/>
  <c r="AB184" i="296"/>
  <c r="AB192" i="296"/>
  <c r="AB200" i="296"/>
  <c r="AB208" i="296"/>
  <c r="AB216" i="296"/>
  <c r="AB224" i="296"/>
  <c r="AB232" i="296"/>
  <c r="AB240" i="296"/>
  <c r="AB19" i="296"/>
  <c r="AB41" i="296"/>
  <c r="AB63" i="296"/>
  <c r="AB85" i="296"/>
  <c r="AB131" i="296"/>
  <c r="AB153" i="296"/>
  <c r="AB179" i="296"/>
  <c r="AB201" i="296"/>
  <c r="AB225" i="296"/>
  <c r="AB21" i="296"/>
  <c r="AB45" i="296"/>
  <c r="AB71" i="296"/>
  <c r="AB123" i="296"/>
  <c r="AB151" i="296"/>
  <c r="AB177" i="296"/>
  <c r="AB203" i="296"/>
  <c r="AB229" i="296"/>
  <c r="AB13" i="296"/>
  <c r="AB37" i="296"/>
  <c r="AB61" i="296"/>
  <c r="AB87" i="296"/>
  <c r="AB109" i="296"/>
  <c r="AB133" i="296"/>
  <c r="AB155" i="296"/>
  <c r="AB169" i="296"/>
  <c r="AB193" i="296"/>
  <c r="AB6" i="296"/>
  <c r="AB14" i="296"/>
  <c r="AB22" i="296"/>
  <c r="AB30" i="296"/>
  <c r="AB38" i="296"/>
  <c r="AB46" i="296"/>
  <c r="AB54" i="296"/>
  <c r="AB62" i="296"/>
  <c r="AB70" i="296"/>
  <c r="AB78" i="296"/>
  <c r="AB86" i="296"/>
  <c r="AB94" i="296"/>
  <c r="AB110" i="296"/>
  <c r="AB118" i="296"/>
  <c r="AB134" i="296"/>
  <c r="AB142" i="296"/>
  <c r="AB150" i="296"/>
  <c r="AB158" i="296"/>
  <c r="AB166" i="296"/>
  <c r="AB209" i="296"/>
  <c r="AB178" i="296"/>
  <c r="AB186" i="296"/>
  <c r="AB194" i="296"/>
  <c r="AB202" i="296"/>
  <c r="AB210" i="296"/>
  <c r="AB218" i="296"/>
  <c r="AB226" i="296"/>
  <c r="AB234" i="296"/>
  <c r="AB5" i="296"/>
  <c r="AB25" i="296"/>
  <c r="AB49" i="296"/>
  <c r="AB69" i="296"/>
  <c r="AB89" i="296"/>
  <c r="AB113" i="296"/>
  <c r="AB135" i="296"/>
  <c r="AB161" i="296"/>
  <c r="AB185" i="296"/>
  <c r="AB207" i="296"/>
  <c r="AB27" i="296"/>
  <c r="AB51" i="296"/>
  <c r="AB77" i="296"/>
  <c r="AB105" i="296"/>
  <c r="AB129" i="296"/>
  <c r="AB157" i="296"/>
  <c r="AB183" i="296"/>
  <c r="AB211" i="296"/>
  <c r="AB237" i="296"/>
  <c r="AB17" i="296"/>
  <c r="AB43" i="296"/>
  <c r="AB115" i="296"/>
  <c r="AB139" i="296"/>
  <c r="AB175" i="296"/>
  <c r="AB199" i="296"/>
  <c r="AB227" i="296"/>
  <c r="R2" i="296"/>
  <c r="S2" i="296" s="1"/>
  <c r="G5" i="296" s="1"/>
  <c r="AB8" i="296"/>
  <c r="AB16" i="296"/>
  <c r="AB24" i="296"/>
  <c r="AB32" i="296"/>
  <c r="AB40" i="296"/>
  <c r="AB48" i="296"/>
  <c r="AB56" i="296"/>
  <c r="AB64" i="296"/>
  <c r="AB72" i="296"/>
  <c r="AB88" i="296"/>
  <c r="AB96" i="296"/>
  <c r="AB104" i="296"/>
  <c r="AB112" i="296"/>
  <c r="AB120" i="296"/>
  <c r="AB128" i="296"/>
  <c r="AB136" i="296"/>
  <c r="AB144" i="296"/>
  <c r="AB152" i="296"/>
  <c r="AB160" i="296"/>
  <c r="AB168" i="296"/>
  <c r="AB231" i="296"/>
  <c r="AB188" i="296"/>
  <c r="AB196" i="296"/>
  <c r="AB212" i="296"/>
  <c r="AB220" i="296"/>
  <c r="AB228" i="296"/>
  <c r="AB236" i="296"/>
  <c r="AB9" i="296"/>
  <c r="AB29" i="296"/>
  <c r="AB55" i="296"/>
  <c r="AB75" i="296"/>
  <c r="AB95" i="296"/>
  <c r="AB119" i="296"/>
  <c r="AB141" i="296"/>
  <c r="AB167" i="296"/>
  <c r="AB191" i="296"/>
  <c r="AB215" i="296"/>
  <c r="AB239" i="296"/>
  <c r="AB33" i="296"/>
  <c r="AB57" i="296"/>
  <c r="AB83" i="296"/>
  <c r="AB111" i="296"/>
  <c r="AB137" i="296"/>
  <c r="AB165" i="296"/>
  <c r="AB189" i="296"/>
  <c r="AB217" i="296"/>
  <c r="AB3" i="296"/>
  <c r="AB23" i="296"/>
  <c r="AB73" i="296"/>
  <c r="AB97" i="296"/>
  <c r="AB121" i="296"/>
  <c r="AB143" i="296"/>
  <c r="AB159" i="296"/>
  <c r="AB181" i="296"/>
  <c r="AB205" i="296"/>
  <c r="AB235" i="296"/>
  <c r="D5" i="296"/>
  <c r="D6" i="296"/>
  <c r="D7" i="296" s="1"/>
  <c r="Q148" i="296"/>
  <c r="Q204" i="296"/>
  <c r="Q233" i="296"/>
  <c r="H7" i="2"/>
  <c r="Q79" i="296"/>
  <c r="Q99" i="296"/>
  <c r="Q180" i="296"/>
  <c r="Q147" i="296"/>
  <c r="Q107" i="296"/>
  <c r="Q146" i="296"/>
  <c r="Q102" i="296"/>
  <c r="Q84" i="296"/>
  <c r="Q170" i="296"/>
  <c r="P8" i="290"/>
  <c r="Q67" i="296"/>
  <c r="Q93" i="296"/>
  <c r="Q126" i="296"/>
  <c r="Q80" i="296"/>
  <c r="Q47" i="296"/>
  <c r="Q221" i="296"/>
  <c r="C5" i="296"/>
  <c r="C6" i="296"/>
  <c r="F18" i="290"/>
  <c r="J17" i="290" s="1"/>
  <c r="H23" i="290"/>
  <c r="C23" i="290" s="1"/>
  <c r="F8" i="290"/>
  <c r="H29" i="290"/>
  <c r="H12" i="290"/>
  <c r="H28" i="290"/>
  <c r="H32" i="290"/>
  <c r="H33" i="290"/>
  <c r="H31" i="290"/>
  <c r="H30" i="290"/>
  <c r="H27" i="290"/>
  <c r="G13" i="290"/>
  <c r="H25" i="290"/>
  <c r="C25" i="290" s="1"/>
  <c r="F13" i="290"/>
  <c r="H26" i="290"/>
  <c r="C26" i="290" s="1"/>
  <c r="H24" i="290"/>
  <c r="C24" i="290" s="1"/>
  <c r="H5" i="296" l="1"/>
  <c r="R221" i="296"/>
  <c r="S221" i="296" s="1"/>
  <c r="AB221" i="296"/>
  <c r="R93" i="296"/>
  <c r="S93" i="296" s="1"/>
  <c r="AB93" i="296"/>
  <c r="R84" i="296"/>
  <c r="S84" i="296" s="1"/>
  <c r="AB84" i="296"/>
  <c r="R147" i="296"/>
  <c r="S147" i="296" s="1"/>
  <c r="AB147" i="296"/>
  <c r="R47" i="296"/>
  <c r="S47" i="296" s="1"/>
  <c r="AB47" i="296"/>
  <c r="H6" i="296" s="1"/>
  <c r="H7" i="296" s="1"/>
  <c r="R67" i="296"/>
  <c r="S67" i="296" s="1"/>
  <c r="AB67" i="296"/>
  <c r="R102" i="296"/>
  <c r="S102" i="296" s="1"/>
  <c r="AB102" i="296"/>
  <c r="R180" i="296"/>
  <c r="S180" i="296" s="1"/>
  <c r="AB180" i="296"/>
  <c r="R233" i="296"/>
  <c r="S233" i="296" s="1"/>
  <c r="AB233" i="296"/>
  <c r="R80" i="296"/>
  <c r="S80" i="296" s="1"/>
  <c r="AB80" i="296"/>
  <c r="R146" i="296"/>
  <c r="S146" i="296" s="1"/>
  <c r="AB146" i="296"/>
  <c r="R99" i="296"/>
  <c r="S99" i="296" s="1"/>
  <c r="AB99" i="296"/>
  <c r="R204" i="296"/>
  <c r="S204" i="296" s="1"/>
  <c r="AB204" i="296"/>
  <c r="R126" i="296"/>
  <c r="S126" i="296" s="1"/>
  <c r="AB126" i="296"/>
  <c r="R170" i="296"/>
  <c r="S170" i="296" s="1"/>
  <c r="AB170" i="296"/>
  <c r="R107" i="296"/>
  <c r="S107" i="296" s="1"/>
  <c r="AB107" i="296"/>
  <c r="R79" i="296"/>
  <c r="S79" i="296" s="1"/>
  <c r="AB79" i="296"/>
  <c r="R148" i="296"/>
  <c r="S148" i="296" s="1"/>
  <c r="AB148" i="296"/>
  <c r="G6" i="296"/>
  <c r="G7" i="296" s="1"/>
  <c r="E6" i="296"/>
  <c r="C7" i="296"/>
  <c r="AG7" i="2"/>
  <c r="AC7" i="2"/>
  <c r="F12" i="290"/>
  <c r="L7" i="2" s="1"/>
  <c r="M7" i="2"/>
  <c r="J19" i="290"/>
  <c r="I7" i="2"/>
  <c r="Y7" i="2" s="1"/>
  <c r="Z7" i="2" s="1"/>
  <c r="F9" i="290"/>
  <c r="G9" i="290" s="1"/>
  <c r="J18" i="290"/>
  <c r="AH7" i="2" l="1"/>
  <c r="AI7" i="2" s="1"/>
  <c r="I9" i="290"/>
  <c r="K7" i="2"/>
  <c r="F10" i="290"/>
  <c r="V7" i="2"/>
  <c r="W7" i="2" s="1"/>
  <c r="M25" i="289" l="1"/>
  <c r="T8" i="2" l="1"/>
  <c r="H8" i="2"/>
  <c r="G8" i="2"/>
  <c r="F8" i="2"/>
  <c r="E8" i="2"/>
  <c r="D8" i="2"/>
  <c r="H27" i="289"/>
  <c r="C27" i="289" s="1"/>
  <c r="E43" i="289"/>
  <c r="C43" i="289"/>
  <c r="E42" i="289"/>
  <c r="C42" i="289"/>
  <c r="E41" i="289"/>
  <c r="C41" i="289"/>
  <c r="E40" i="289"/>
  <c r="C40" i="289"/>
  <c r="E39" i="289"/>
  <c r="C39" i="289"/>
  <c r="C38" i="289"/>
  <c r="C37" i="289"/>
  <c r="C36" i="289"/>
  <c r="C35" i="289"/>
  <c r="C34" i="289"/>
  <c r="C33" i="289"/>
  <c r="C32" i="289"/>
  <c r="C31" i="289"/>
  <c r="C30" i="289"/>
  <c r="C29" i="289"/>
  <c r="C28" i="289"/>
  <c r="H26" i="289"/>
  <c r="C26" i="289" s="1"/>
  <c r="H25" i="289"/>
  <c r="C25" i="289" s="1"/>
  <c r="H24" i="289"/>
  <c r="C24" i="289" s="1"/>
  <c r="H23" i="289"/>
  <c r="C23" i="289" s="1"/>
  <c r="J17" i="289"/>
  <c r="J16" i="289"/>
  <c r="J15" i="289"/>
  <c r="G13" i="289"/>
  <c r="F13" i="289"/>
  <c r="H12" i="289"/>
  <c r="F12" i="289" s="1"/>
  <c r="V8" i="2" s="1"/>
  <c r="F8" i="289"/>
  <c r="F9" i="289" s="1"/>
  <c r="G9" i="289" s="1"/>
  <c r="I9" i="289" s="1"/>
  <c r="AG8" i="2" l="1"/>
  <c r="AC8" i="2"/>
  <c r="I8" i="2"/>
  <c r="AH8" i="2" s="1"/>
  <c r="AI8" i="2" s="1"/>
  <c r="K8" i="2"/>
  <c r="M8" i="2"/>
  <c r="J18" i="289"/>
  <c r="F10" i="289"/>
  <c r="J13" i="289"/>
  <c r="J12" i="289"/>
  <c r="F11" i="289" s="1"/>
  <c r="L8" i="2" s="1"/>
  <c r="J19" i="289"/>
  <c r="T9" i="2"/>
  <c r="H9" i="2"/>
  <c r="G9" i="2"/>
  <c r="F9" i="2"/>
  <c r="E9" i="2"/>
  <c r="D9" i="2"/>
  <c r="E43" i="288"/>
  <c r="C43" i="288"/>
  <c r="E42" i="288"/>
  <c r="C42" i="288"/>
  <c r="E41" i="288"/>
  <c r="C41" i="288"/>
  <c r="E40" i="288"/>
  <c r="C40" i="288"/>
  <c r="E39" i="288"/>
  <c r="C39" i="288"/>
  <c r="C38" i="288"/>
  <c r="C37" i="288"/>
  <c r="C36" i="288"/>
  <c r="C35" i="288"/>
  <c r="C34" i="288"/>
  <c r="C33" i="288"/>
  <c r="C32" i="288"/>
  <c r="C31" i="288"/>
  <c r="C30" i="288"/>
  <c r="C29" i="288"/>
  <c r="C28" i="288"/>
  <c r="C27" i="288"/>
  <c r="H26" i="288"/>
  <c r="C26" i="288" s="1"/>
  <c r="H25" i="288"/>
  <c r="C25" i="288" s="1"/>
  <c r="H24" i="288"/>
  <c r="C24" i="288" s="1"/>
  <c r="H23" i="288"/>
  <c r="C23" i="288" s="1"/>
  <c r="J17" i="288"/>
  <c r="J16" i="288"/>
  <c r="J15" i="288"/>
  <c r="G13" i="288"/>
  <c r="F13" i="288"/>
  <c r="H12" i="288"/>
  <c r="F12" i="288" s="1"/>
  <c r="V9" i="2" s="1"/>
  <c r="F8" i="288"/>
  <c r="F9" i="288" s="1"/>
  <c r="G9" i="288" s="1"/>
  <c r="I9" i="288" s="1"/>
  <c r="AG9" i="2" l="1"/>
  <c r="AC9" i="2"/>
  <c r="W8" i="2"/>
  <c r="Y8" i="2"/>
  <c r="Z8" i="2" s="1"/>
  <c r="I9" i="2"/>
  <c r="AH9" i="2" s="1"/>
  <c r="AI9" i="2" s="1"/>
  <c r="K9" i="2"/>
  <c r="M9" i="2"/>
  <c r="J18" i="288"/>
  <c r="J13" i="288"/>
  <c r="F10" i="288"/>
  <c r="J12" i="288"/>
  <c r="J19" i="288"/>
  <c r="T10" i="2"/>
  <c r="H10" i="2"/>
  <c r="G10" i="2"/>
  <c r="F10" i="2"/>
  <c r="E10" i="2"/>
  <c r="D10" i="2"/>
  <c r="H38" i="287"/>
  <c r="C38" i="287" s="1"/>
  <c r="H37" i="287"/>
  <c r="C37" i="287" s="1"/>
  <c r="H36" i="287"/>
  <c r="H35" i="287"/>
  <c r="H34" i="287"/>
  <c r="H33" i="287"/>
  <c r="H32" i="287"/>
  <c r="H31" i="287"/>
  <c r="H30" i="287"/>
  <c r="H29" i="287"/>
  <c r="AG10" i="2" l="1"/>
  <c r="AC10" i="2"/>
  <c r="Y9" i="2"/>
  <c r="Z9" i="2" s="1"/>
  <c r="W9" i="2"/>
  <c r="F11" i="288"/>
  <c r="L9" i="2" s="1"/>
  <c r="E43" i="287"/>
  <c r="C43" i="287"/>
  <c r="E42" i="287"/>
  <c r="C42" i="287"/>
  <c r="E41" i="287"/>
  <c r="C41" i="287"/>
  <c r="E40" i="287"/>
  <c r="C40" i="287"/>
  <c r="E39" i="287"/>
  <c r="C39" i="287"/>
  <c r="C36" i="287"/>
  <c r="C35" i="287"/>
  <c r="C34" i="287"/>
  <c r="C33" i="287"/>
  <c r="C32" i="287"/>
  <c r="C31" i="287"/>
  <c r="C30" i="287"/>
  <c r="C29" i="287"/>
  <c r="H28" i="287"/>
  <c r="C28" i="287" s="1"/>
  <c r="H27" i="287"/>
  <c r="C27" i="287" s="1"/>
  <c r="H26" i="287"/>
  <c r="C26" i="287" s="1"/>
  <c r="H25" i="287"/>
  <c r="C25" i="287" s="1"/>
  <c r="H24" i="287"/>
  <c r="C24" i="287" s="1"/>
  <c r="H23" i="287"/>
  <c r="C23" i="287" s="1"/>
  <c r="J17" i="287"/>
  <c r="J16" i="287"/>
  <c r="J15" i="287"/>
  <c r="G13" i="287"/>
  <c r="F13" i="287"/>
  <c r="H12" i="287"/>
  <c r="F8" i="287"/>
  <c r="F12" i="287" l="1"/>
  <c r="J13" i="287" s="1"/>
  <c r="M10" i="2"/>
  <c r="F9" i="287"/>
  <c r="G9" i="287" s="1"/>
  <c r="I10" i="2"/>
  <c r="J18" i="287"/>
  <c r="J12" i="287"/>
  <c r="J19" i="287"/>
  <c r="AS9" i="248"/>
  <c r="AR9" i="248"/>
  <c r="AQ9" i="248"/>
  <c r="AP9" i="248"/>
  <c r="AO9" i="248"/>
  <c r="AN9" i="248"/>
  <c r="AM9" i="248"/>
  <c r="AL9" i="248"/>
  <c r="AK9" i="248"/>
  <c r="AJ9" i="248"/>
  <c r="AI9" i="248"/>
  <c r="AH9" i="248"/>
  <c r="AG9" i="248"/>
  <c r="AF9" i="248"/>
  <c r="AE9" i="248"/>
  <c r="AD9" i="248"/>
  <c r="AC9" i="248"/>
  <c r="AB9" i="248"/>
  <c r="AA9" i="248"/>
  <c r="Z9" i="248"/>
  <c r="Y9" i="248"/>
  <c r="X9" i="248"/>
  <c r="W9" i="248"/>
  <c r="V9" i="248"/>
  <c r="U9" i="248"/>
  <c r="AS10" i="248"/>
  <c r="AR10" i="248"/>
  <c r="AQ10" i="248"/>
  <c r="AP10" i="248"/>
  <c r="AO10" i="248"/>
  <c r="AN10" i="248"/>
  <c r="AM10" i="248"/>
  <c r="AL10" i="248"/>
  <c r="AK10" i="248"/>
  <c r="AJ10" i="248"/>
  <c r="AI10" i="248"/>
  <c r="AH10" i="248"/>
  <c r="AG10" i="248"/>
  <c r="AF10" i="248"/>
  <c r="AE10" i="248"/>
  <c r="AD10" i="248"/>
  <c r="AC10" i="248"/>
  <c r="AB10" i="248"/>
  <c r="AA10" i="248"/>
  <c r="Z10" i="248"/>
  <c r="Y10" i="248"/>
  <c r="X10" i="248"/>
  <c r="W10" i="248"/>
  <c r="V10" i="248"/>
  <c r="U10" i="248"/>
  <c r="J28" i="248"/>
  <c r="AS8" i="248"/>
  <c r="AR8" i="248"/>
  <c r="AQ8" i="248"/>
  <c r="AP8" i="248"/>
  <c r="AO8" i="248"/>
  <c r="AN8" i="248"/>
  <c r="AM8" i="248"/>
  <c r="AL8" i="248"/>
  <c r="AK8" i="248"/>
  <c r="AJ8" i="248"/>
  <c r="AI8" i="248"/>
  <c r="AH8" i="248"/>
  <c r="AG8" i="248"/>
  <c r="AF8" i="248"/>
  <c r="AE8" i="248"/>
  <c r="AD8" i="248"/>
  <c r="AC8" i="248"/>
  <c r="AB8" i="248"/>
  <c r="AA8" i="248"/>
  <c r="Z8" i="248"/>
  <c r="Y8" i="248"/>
  <c r="X8" i="248"/>
  <c r="W8" i="248"/>
  <c r="V8" i="248"/>
  <c r="U8" i="248"/>
  <c r="T11" i="2"/>
  <c r="H11" i="2"/>
  <c r="G11" i="2"/>
  <c r="F11" i="2"/>
  <c r="E11" i="2"/>
  <c r="D11" i="2"/>
  <c r="H28" i="286"/>
  <c r="C28" i="286" s="1"/>
  <c r="E43" i="286"/>
  <c r="C43" i="286"/>
  <c r="E42" i="286"/>
  <c r="C42" i="286"/>
  <c r="E41" i="286"/>
  <c r="C41" i="286"/>
  <c r="E40" i="286"/>
  <c r="C40" i="286"/>
  <c r="E39" i="286"/>
  <c r="C39" i="286"/>
  <c r="E38" i="286"/>
  <c r="C38" i="286"/>
  <c r="E37" i="286"/>
  <c r="C37" i="286"/>
  <c r="E36" i="286"/>
  <c r="C36" i="286"/>
  <c r="C35" i="286"/>
  <c r="C34" i="286"/>
  <c r="C33" i="286"/>
  <c r="C32" i="286"/>
  <c r="C31" i="286"/>
  <c r="C30" i="286"/>
  <c r="C29" i="286"/>
  <c r="H27" i="286"/>
  <c r="C27" i="286" s="1"/>
  <c r="H26" i="286"/>
  <c r="C26" i="286" s="1"/>
  <c r="H25" i="286"/>
  <c r="C25" i="286" s="1"/>
  <c r="H24" i="286"/>
  <c r="C24" i="286" s="1"/>
  <c r="H23" i="286"/>
  <c r="C23" i="286" s="1"/>
  <c r="J17" i="286"/>
  <c r="J16" i="286"/>
  <c r="J15" i="286"/>
  <c r="G13" i="286"/>
  <c r="F13" i="286"/>
  <c r="H12" i="286"/>
  <c r="F12" i="286" s="1"/>
  <c r="V11" i="2" s="1"/>
  <c r="F8" i="286"/>
  <c r="F9" i="286" s="1"/>
  <c r="G9" i="286" s="1"/>
  <c r="I9" i="286" s="1"/>
  <c r="AG11" i="2" l="1"/>
  <c r="AC11" i="2"/>
  <c r="M9" i="248"/>
  <c r="I9" i="248"/>
  <c r="K9" i="248" s="1"/>
  <c r="AH10" i="2"/>
  <c r="AI10" i="2" s="1"/>
  <c r="Y10" i="2"/>
  <c r="Z10" i="2" s="1"/>
  <c r="I9" i="287"/>
  <c r="K10" i="2"/>
  <c r="F10" i="287"/>
  <c r="V10" i="2"/>
  <c r="W10" i="2" s="1"/>
  <c r="F11" i="287"/>
  <c r="L10" i="2" s="1"/>
  <c r="K11" i="2"/>
  <c r="M11" i="2"/>
  <c r="I11" i="2"/>
  <c r="Y11" i="2" s="1"/>
  <c r="Z11" i="2" s="1"/>
  <c r="M10" i="248"/>
  <c r="I10" i="248"/>
  <c r="K10" i="248" s="1"/>
  <c r="I8" i="248"/>
  <c r="K8" i="248" s="1"/>
  <c r="M8" i="248"/>
  <c r="F10" i="286"/>
  <c r="J13" i="286"/>
  <c r="J18" i="286"/>
  <c r="J12" i="286"/>
  <c r="J19" i="286"/>
  <c r="W11" i="2" l="1"/>
  <c r="AH11" i="2"/>
  <c r="AI11" i="2" s="1"/>
  <c r="F11" i="286"/>
  <c r="L11" i="2" s="1"/>
  <c r="T12" i="2"/>
  <c r="H12" i="2"/>
  <c r="G12" i="2"/>
  <c r="F12" i="2"/>
  <c r="E12" i="2"/>
  <c r="D12" i="2"/>
  <c r="H27" i="285"/>
  <c r="C27" i="285" s="1"/>
  <c r="E43" i="285"/>
  <c r="C43" i="285"/>
  <c r="E42" i="285"/>
  <c r="C42" i="285"/>
  <c r="E41" i="285"/>
  <c r="C41" i="285"/>
  <c r="E40" i="285"/>
  <c r="C40" i="285"/>
  <c r="E39" i="285"/>
  <c r="C39" i="285"/>
  <c r="E38" i="285"/>
  <c r="C38" i="285"/>
  <c r="E37" i="285"/>
  <c r="C37" i="285"/>
  <c r="E36" i="285"/>
  <c r="C36" i="285"/>
  <c r="C35" i="285"/>
  <c r="C34" i="285"/>
  <c r="C33" i="285"/>
  <c r="C32" i="285"/>
  <c r="C31" i="285"/>
  <c r="C30" i="285"/>
  <c r="C29" i="285"/>
  <c r="H26" i="285"/>
  <c r="C26" i="285" s="1"/>
  <c r="H25" i="285"/>
  <c r="C25" i="285" s="1"/>
  <c r="H24" i="285"/>
  <c r="C24" i="285" s="1"/>
  <c r="H23" i="285"/>
  <c r="C23" i="285" s="1"/>
  <c r="J17" i="285"/>
  <c r="J16" i="285"/>
  <c r="J15" i="285"/>
  <c r="G13" i="285"/>
  <c r="F13" i="285"/>
  <c r="H12" i="285"/>
  <c r="F12" i="285" s="1"/>
  <c r="F10" i="285" s="1"/>
  <c r="F8" i="285"/>
  <c r="J18" i="285" s="1"/>
  <c r="AG12" i="2" l="1"/>
  <c r="AC12" i="2"/>
  <c r="I12" i="2"/>
  <c r="M12" i="2"/>
  <c r="V12" i="2"/>
  <c r="J13" i="285"/>
  <c r="J19" i="285"/>
  <c r="F9" i="285"/>
  <c r="G9" i="285" s="1"/>
  <c r="J12" i="285"/>
  <c r="W12" i="2" l="1"/>
  <c r="I9" i="285"/>
  <c r="K12" i="2"/>
  <c r="Y12" i="2"/>
  <c r="Z12" i="2" s="1"/>
  <c r="AH12" i="2"/>
  <c r="AI12" i="2" s="1"/>
  <c r="F11" i="285"/>
  <c r="L12" i="2" s="1"/>
  <c r="T14" i="2"/>
  <c r="T13" i="2"/>
  <c r="G13" i="2"/>
  <c r="F13" i="2"/>
  <c r="E13" i="2"/>
  <c r="D13" i="2"/>
  <c r="H14" i="2"/>
  <c r="G14" i="2"/>
  <c r="F14" i="2"/>
  <c r="E14" i="2"/>
  <c r="D14" i="2"/>
  <c r="O29" i="284"/>
  <c r="O28" i="284"/>
  <c r="M28" i="284"/>
  <c r="E43" i="284"/>
  <c r="C43" i="284"/>
  <c r="E42" i="284"/>
  <c r="C42" i="284"/>
  <c r="E41" i="284"/>
  <c r="C41" i="284"/>
  <c r="E40" i="284"/>
  <c r="C40" i="284"/>
  <c r="E39" i="284"/>
  <c r="C39" i="284"/>
  <c r="E38" i="284"/>
  <c r="C38" i="284"/>
  <c r="E37" i="284"/>
  <c r="C37" i="284"/>
  <c r="E36" i="284"/>
  <c r="C36" i="284"/>
  <c r="E35" i="284"/>
  <c r="C35" i="284"/>
  <c r="E34" i="284"/>
  <c r="C34" i="284"/>
  <c r="E33" i="284"/>
  <c r="C33" i="284"/>
  <c r="E32" i="284"/>
  <c r="C32" i="284"/>
  <c r="E31" i="284"/>
  <c r="C31" i="284"/>
  <c r="E30" i="284"/>
  <c r="C30" i="284"/>
  <c r="O27" i="284"/>
  <c r="M27" i="284"/>
  <c r="O26" i="284"/>
  <c r="M26" i="284"/>
  <c r="O25" i="284"/>
  <c r="M25" i="284"/>
  <c r="O24" i="284"/>
  <c r="M24" i="284"/>
  <c r="O23" i="284"/>
  <c r="M23" i="284"/>
  <c r="J17" i="284"/>
  <c r="J16" i="284"/>
  <c r="J15" i="284"/>
  <c r="O11" i="284"/>
  <c r="O10" i="284"/>
  <c r="F7" i="284"/>
  <c r="H13" i="2" s="1"/>
  <c r="H24" i="283"/>
  <c r="C24" i="283" s="1"/>
  <c r="H25" i="283"/>
  <c r="C25" i="283" s="1"/>
  <c r="H26" i="283"/>
  <c r="C26" i="283" s="1"/>
  <c r="E43" i="283"/>
  <c r="C43" i="283"/>
  <c r="E42" i="283"/>
  <c r="C42" i="283"/>
  <c r="E41" i="283"/>
  <c r="C41" i="283"/>
  <c r="E40" i="283"/>
  <c r="C40" i="283"/>
  <c r="E39" i="283"/>
  <c r="C39" i="283"/>
  <c r="E38" i="283"/>
  <c r="C38" i="283"/>
  <c r="E37" i="283"/>
  <c r="C37" i="283"/>
  <c r="E36" i="283"/>
  <c r="C36" i="283"/>
  <c r="C35" i="283"/>
  <c r="C34" i="283"/>
  <c r="C33" i="283"/>
  <c r="C32" i="283"/>
  <c r="C31" i="283"/>
  <c r="C30" i="283"/>
  <c r="C29" i="283"/>
  <c r="H23" i="283"/>
  <c r="C23" i="283" s="1"/>
  <c r="J17" i="283"/>
  <c r="J16" i="283"/>
  <c r="J15" i="283"/>
  <c r="G13" i="283"/>
  <c r="F13" i="283"/>
  <c r="H12" i="283"/>
  <c r="F12" i="283" s="1"/>
  <c r="V14" i="2" s="1"/>
  <c r="F8" i="283"/>
  <c r="J12" i="283" s="1"/>
  <c r="AG13" i="2" l="1"/>
  <c r="AC13" i="2"/>
  <c r="AG14" i="2"/>
  <c r="AC14" i="2"/>
  <c r="I14" i="2"/>
  <c r="AH14" i="2" s="1"/>
  <c r="M14" i="2"/>
  <c r="C29" i="284"/>
  <c r="H28" i="284"/>
  <c r="C28" i="284" s="1"/>
  <c r="H12" i="284"/>
  <c r="H27" i="284"/>
  <c r="C27" i="284" s="1"/>
  <c r="H25" i="284"/>
  <c r="C25" i="284" s="1"/>
  <c r="F13" i="284"/>
  <c r="G13" i="284"/>
  <c r="H23" i="284"/>
  <c r="F8" i="284"/>
  <c r="I13" i="2" s="1"/>
  <c r="H24" i="284"/>
  <c r="C24" i="284" s="1"/>
  <c r="H26" i="284"/>
  <c r="C26" i="284" s="1"/>
  <c r="F10" i="283"/>
  <c r="J13" i="283"/>
  <c r="F11" i="283" s="1"/>
  <c r="L14" i="2" s="1"/>
  <c r="J19" i="283"/>
  <c r="F9" i="283"/>
  <c r="G9" i="283" s="1"/>
  <c r="J18" i="283"/>
  <c r="T15" i="2"/>
  <c r="H15" i="2"/>
  <c r="G15" i="2"/>
  <c r="F15" i="2"/>
  <c r="E15" i="2"/>
  <c r="D15" i="2"/>
  <c r="AI14" i="2" l="1"/>
  <c r="AG15" i="2"/>
  <c r="AC15" i="2"/>
  <c r="Y14" i="2"/>
  <c r="Z14" i="2" s="1"/>
  <c r="W14" i="2"/>
  <c r="I9" i="283"/>
  <c r="K14" i="2"/>
  <c r="F12" i="284"/>
  <c r="F10" i="284" s="1"/>
  <c r="M13" i="2"/>
  <c r="AH13" i="2"/>
  <c r="AI13" i="2" s="1"/>
  <c r="Y13" i="2"/>
  <c r="Z13" i="2" s="1"/>
  <c r="J19" i="284"/>
  <c r="J18" i="284"/>
  <c r="J12" i="284"/>
  <c r="F9" i="284"/>
  <c r="G9" i="284" s="1"/>
  <c r="C23" i="284"/>
  <c r="O12" i="284"/>
  <c r="H30" i="282"/>
  <c r="C30" i="282" s="1"/>
  <c r="E43" i="282"/>
  <c r="C43" i="282"/>
  <c r="E42" i="282"/>
  <c r="C42" i="282"/>
  <c r="E41" i="282"/>
  <c r="C41" i="282"/>
  <c r="E40" i="282"/>
  <c r="C40" i="282"/>
  <c r="E39" i="282"/>
  <c r="C39" i="282"/>
  <c r="E38" i="282"/>
  <c r="C38" i="282"/>
  <c r="E37" i="282"/>
  <c r="C37" i="282"/>
  <c r="E36" i="282"/>
  <c r="C36" i="282"/>
  <c r="C35" i="282"/>
  <c r="C34" i="282"/>
  <c r="C33" i="282"/>
  <c r="C32" i="282"/>
  <c r="C31" i="282"/>
  <c r="H29" i="282"/>
  <c r="C29" i="282" s="1"/>
  <c r="H28" i="282"/>
  <c r="H27" i="282"/>
  <c r="H26" i="282"/>
  <c r="C26" i="282" s="1"/>
  <c r="H25" i="282"/>
  <c r="C25" i="282" s="1"/>
  <c r="C24" i="282"/>
  <c r="H23" i="282"/>
  <c r="C23" i="282" s="1"/>
  <c r="J17" i="282"/>
  <c r="J16" i="282"/>
  <c r="J15" i="282"/>
  <c r="G13" i="282"/>
  <c r="F13" i="282"/>
  <c r="H12" i="282"/>
  <c r="F8" i="282"/>
  <c r="I9" i="284" l="1"/>
  <c r="K13" i="2"/>
  <c r="J13" i="284"/>
  <c r="F11" i="284" s="1"/>
  <c r="L13" i="2" s="1"/>
  <c r="V13" i="2"/>
  <c r="W13" i="2" s="1"/>
  <c r="J12" i="282"/>
  <c r="I15" i="2"/>
  <c r="F12" i="282"/>
  <c r="V15" i="2" s="1"/>
  <c r="M15" i="2"/>
  <c r="J18" i="282"/>
  <c r="J19" i="282"/>
  <c r="F9" i="282"/>
  <c r="G9" i="282" s="1"/>
  <c r="D17" i="2"/>
  <c r="T16" i="2"/>
  <c r="H16" i="2"/>
  <c r="AC16" i="2" s="1"/>
  <c r="G16" i="2"/>
  <c r="F16" i="2"/>
  <c r="E16" i="2"/>
  <c r="D16" i="2"/>
  <c r="H27" i="281"/>
  <c r="H28" i="281"/>
  <c r="H29" i="281"/>
  <c r="C29" i="281" s="1"/>
  <c r="E43" i="281"/>
  <c r="C43" i="281"/>
  <c r="E42" i="281"/>
  <c r="C42" i="281"/>
  <c r="E41" i="281"/>
  <c r="C41" i="281"/>
  <c r="E40" i="281"/>
  <c r="C40" i="281"/>
  <c r="E39" i="281"/>
  <c r="C39" i="281"/>
  <c r="E38" i="281"/>
  <c r="C38" i="281"/>
  <c r="E37" i="281"/>
  <c r="C37" i="281"/>
  <c r="E36" i="281"/>
  <c r="C36" i="281"/>
  <c r="C35" i="281"/>
  <c r="C34" i="281"/>
  <c r="C33" i="281"/>
  <c r="C32" i="281"/>
  <c r="C31" i="281"/>
  <c r="C30" i="281"/>
  <c r="H26" i="281"/>
  <c r="C26" i="281" s="1"/>
  <c r="H25" i="281"/>
  <c r="C25" i="281" s="1"/>
  <c r="H24" i="281"/>
  <c r="C24" i="281" s="1"/>
  <c r="H23" i="281"/>
  <c r="C23" i="281" s="1"/>
  <c r="J17" i="281"/>
  <c r="J16" i="281"/>
  <c r="J15" i="281"/>
  <c r="G13" i="281"/>
  <c r="F13" i="281"/>
  <c r="H12" i="281"/>
  <c r="F12" i="281" s="1"/>
  <c r="J13" i="281" s="1"/>
  <c r="F8" i="281"/>
  <c r="J18" i="281" s="1"/>
  <c r="F10" i="282" l="1"/>
  <c r="J13" i="282"/>
  <c r="F11" i="282" s="1"/>
  <c r="L15" i="2" s="1"/>
  <c r="AH15" i="2"/>
  <c r="AI15" i="2" s="1"/>
  <c r="Y15" i="2"/>
  <c r="Z15" i="2" s="1"/>
  <c r="W15" i="2"/>
  <c r="I9" i="282"/>
  <c r="K15" i="2"/>
  <c r="I16" i="2"/>
  <c r="Y16" i="2" s="1"/>
  <c r="Z16" i="2" s="1"/>
  <c r="V16" i="2"/>
  <c r="M16" i="2"/>
  <c r="AG16" i="2"/>
  <c r="J12" i="281"/>
  <c r="F11" i="281" s="1"/>
  <c r="L16" i="2" s="1"/>
  <c r="F10" i="281"/>
  <c r="J19" i="281"/>
  <c r="F9" i="281"/>
  <c r="G9" i="281" s="1"/>
  <c r="AS11" i="248"/>
  <c r="AR11" i="248"/>
  <c r="AQ11" i="248"/>
  <c r="AP11" i="248"/>
  <c r="AO11" i="248"/>
  <c r="AN11" i="248"/>
  <c r="AM11" i="248"/>
  <c r="AL11" i="248"/>
  <c r="AK11" i="248"/>
  <c r="AJ11" i="248"/>
  <c r="AI11" i="248"/>
  <c r="AH11" i="248"/>
  <c r="AG11" i="248"/>
  <c r="AF11" i="248"/>
  <c r="AE11" i="248"/>
  <c r="AD11" i="248"/>
  <c r="AC11" i="248"/>
  <c r="AB11" i="248"/>
  <c r="AA11" i="248"/>
  <c r="Z11" i="248"/>
  <c r="Y11" i="248"/>
  <c r="X11" i="248"/>
  <c r="W11" i="248"/>
  <c r="V11" i="248"/>
  <c r="U11" i="248"/>
  <c r="M11" i="248" l="1"/>
  <c r="AH16" i="2"/>
  <c r="AI16" i="2" s="1"/>
  <c r="W16" i="2"/>
  <c r="I9" i="281"/>
  <c r="K16" i="2"/>
  <c r="I11" i="248"/>
  <c r="K11" i="248" s="1"/>
  <c r="T17" i="2"/>
  <c r="G17" i="2"/>
  <c r="F17" i="2"/>
  <c r="E17" i="2"/>
  <c r="K27" i="280"/>
  <c r="E42" i="280"/>
  <c r="C42" i="280"/>
  <c r="E41" i="280"/>
  <c r="C41" i="280"/>
  <c r="E40" i="280"/>
  <c r="C40" i="280"/>
  <c r="E39" i="280"/>
  <c r="C39" i="280"/>
  <c r="E38" i="280"/>
  <c r="C38" i="280"/>
  <c r="C37" i="280"/>
  <c r="K26" i="280"/>
  <c r="K25" i="280"/>
  <c r="K24" i="280"/>
  <c r="K23" i="280"/>
  <c r="J16" i="280"/>
  <c r="J15" i="280"/>
  <c r="F7" i="280"/>
  <c r="H17" i="2" s="1"/>
  <c r="AG17" i="2" l="1"/>
  <c r="AC17" i="2"/>
  <c r="H23" i="280"/>
  <c r="C23" i="280" s="1"/>
  <c r="F8" i="280"/>
  <c r="H27" i="280"/>
  <c r="C27" i="280" s="1"/>
  <c r="H12" i="280"/>
  <c r="F13" i="280"/>
  <c r="P8" i="280"/>
  <c r="H25" i="280"/>
  <c r="C25" i="280" s="1"/>
  <c r="H26" i="280"/>
  <c r="C26" i="280" s="1"/>
  <c r="G13" i="280"/>
  <c r="H24" i="280"/>
  <c r="C24" i="280" s="1"/>
  <c r="F18" i="280"/>
  <c r="J17" i="280" s="1"/>
  <c r="F9" i="280" l="1"/>
  <c r="G9" i="280" s="1"/>
  <c r="I17" i="2"/>
  <c r="F12" i="280"/>
  <c r="F10" i="280" s="1"/>
  <c r="M17" i="2"/>
  <c r="J12" i="280"/>
  <c r="J19" i="280"/>
  <c r="J18" i="280"/>
  <c r="J13" i="280" l="1"/>
  <c r="V17" i="2"/>
  <c r="Y17" i="2"/>
  <c r="Z17" i="2" s="1"/>
  <c r="AH17" i="2"/>
  <c r="AI17" i="2" s="1"/>
  <c r="F11" i="280"/>
  <c r="L17" i="2" s="1"/>
  <c r="I9" i="280"/>
  <c r="K17" i="2"/>
  <c r="T18" i="2"/>
  <c r="G18" i="2"/>
  <c r="F18" i="2"/>
  <c r="E18" i="2"/>
  <c r="D18" i="2"/>
  <c r="E42" i="279"/>
  <c r="C42" i="279"/>
  <c r="E41" i="279"/>
  <c r="C41" i="279"/>
  <c r="E40" i="279"/>
  <c r="C40" i="279"/>
  <c r="E39" i="279"/>
  <c r="C39" i="279"/>
  <c r="E38" i="279"/>
  <c r="C38" i="279"/>
  <c r="C37" i="279"/>
  <c r="K26" i="279"/>
  <c r="K25" i="279"/>
  <c r="K24" i="279"/>
  <c r="K23" i="279"/>
  <c r="J16" i="279"/>
  <c r="J15" i="279"/>
  <c r="F7" i="279"/>
  <c r="F18" i="279" s="1"/>
  <c r="J17" i="279" s="1"/>
  <c r="G13" i="279" l="1"/>
  <c r="H18" i="2"/>
  <c r="P8" i="279"/>
  <c r="H24" i="279"/>
  <c r="C24" i="279" s="1"/>
  <c r="H25" i="279"/>
  <c r="C25" i="279" s="1"/>
  <c r="F8" i="279"/>
  <c r="I18" i="2" s="1"/>
  <c r="AH18" i="2" s="1"/>
  <c r="H12" i="279"/>
  <c r="H23" i="279"/>
  <c r="C23" i="279" s="1"/>
  <c r="H26" i="279"/>
  <c r="C26" i="279" s="1"/>
  <c r="F13" i="279"/>
  <c r="T19" i="2"/>
  <c r="H19" i="2"/>
  <c r="AC19" i="2" s="1"/>
  <c r="G19" i="2"/>
  <c r="F19" i="2"/>
  <c r="E19" i="2"/>
  <c r="D19" i="2"/>
  <c r="E43" i="277"/>
  <c r="C43" i="277"/>
  <c r="E42" i="277"/>
  <c r="C42" i="277"/>
  <c r="E41" i="277"/>
  <c r="C41" i="277"/>
  <c r="E40" i="277"/>
  <c r="C40" i="277"/>
  <c r="E39" i="277"/>
  <c r="C39" i="277"/>
  <c r="E38" i="277"/>
  <c r="C38" i="277"/>
  <c r="E37" i="277"/>
  <c r="C37" i="277"/>
  <c r="E36" i="277"/>
  <c r="C36" i="277"/>
  <c r="C35" i="277"/>
  <c r="C34" i="277"/>
  <c r="C33" i="277"/>
  <c r="C32" i="277"/>
  <c r="C31" i="277"/>
  <c r="C30" i="277"/>
  <c r="C29" i="277"/>
  <c r="H26" i="277"/>
  <c r="C26" i="277" s="1"/>
  <c r="H25" i="277"/>
  <c r="C25" i="277" s="1"/>
  <c r="H24" i="277"/>
  <c r="C24" i="277" s="1"/>
  <c r="H23" i="277"/>
  <c r="C23" i="277" s="1"/>
  <c r="J17" i="277"/>
  <c r="J16" i="277"/>
  <c r="J15" i="277"/>
  <c r="G13" i="277"/>
  <c r="F13" i="277"/>
  <c r="H12" i="277"/>
  <c r="F12" i="277" s="1"/>
  <c r="F10" i="277" s="1"/>
  <c r="F8" i="277"/>
  <c r="J19" i="277" s="1"/>
  <c r="AG18" i="2" l="1"/>
  <c r="AI18" i="2" s="1"/>
  <c r="AC18" i="2"/>
  <c r="F12" i="279"/>
  <c r="M18" i="2"/>
  <c r="Y18" i="2"/>
  <c r="Z18" i="2" s="1"/>
  <c r="J19" i="279"/>
  <c r="F9" i="279"/>
  <c r="G9" i="279" s="1"/>
  <c r="J18" i="279"/>
  <c r="J12" i="279"/>
  <c r="M19" i="2"/>
  <c r="I19" i="2"/>
  <c r="V19" i="2"/>
  <c r="F9" i="277"/>
  <c r="G9" i="277" s="1"/>
  <c r="J18" i="277"/>
  <c r="J13" i="277"/>
  <c r="J12" i="277"/>
  <c r="AS13" i="248"/>
  <c r="AR13" i="248"/>
  <c r="AQ13" i="248"/>
  <c r="AP13" i="248"/>
  <c r="AO13" i="248"/>
  <c r="AN13" i="248"/>
  <c r="AM13" i="248"/>
  <c r="AL13" i="248"/>
  <c r="AK13" i="248"/>
  <c r="AJ13" i="248"/>
  <c r="AI13" i="248"/>
  <c r="AH13" i="248"/>
  <c r="AG13" i="248"/>
  <c r="AF13" i="248"/>
  <c r="AE13" i="248"/>
  <c r="AD13" i="248"/>
  <c r="AC13" i="248"/>
  <c r="AB13" i="248"/>
  <c r="AA13" i="248"/>
  <c r="Z13" i="248"/>
  <c r="Y13" i="248"/>
  <c r="X13" i="248"/>
  <c r="W13" i="248"/>
  <c r="V13" i="248"/>
  <c r="U13" i="248"/>
  <c r="AS12" i="248"/>
  <c r="AR12" i="248"/>
  <c r="AQ12" i="248"/>
  <c r="AP12" i="248"/>
  <c r="AO12" i="248"/>
  <c r="AN12" i="248"/>
  <c r="AM12" i="248"/>
  <c r="AL12" i="248"/>
  <c r="AK12" i="248"/>
  <c r="AJ12" i="248"/>
  <c r="AI12" i="248"/>
  <c r="AH12" i="248"/>
  <c r="AG12" i="248"/>
  <c r="AF12" i="248"/>
  <c r="AE12" i="248"/>
  <c r="AD12" i="248"/>
  <c r="AC12" i="248"/>
  <c r="AB12" i="248"/>
  <c r="AA12" i="248"/>
  <c r="Z12" i="248"/>
  <c r="Y12" i="248"/>
  <c r="X12" i="248"/>
  <c r="W12" i="248"/>
  <c r="V12" i="248"/>
  <c r="U12" i="248"/>
  <c r="V18" i="2" l="1"/>
  <c r="W18" i="2" s="1"/>
  <c r="W17" i="2"/>
  <c r="J13" i="279"/>
  <c r="F11" i="279" s="1"/>
  <c r="L18" i="2" s="1"/>
  <c r="I9" i="279"/>
  <c r="K18" i="2"/>
  <c r="F10" i="279"/>
  <c r="M13" i="248"/>
  <c r="I9" i="277"/>
  <c r="K19" i="2"/>
  <c r="F11" i="277"/>
  <c r="L19" i="2" s="1"/>
  <c r="M12" i="248"/>
  <c r="I12" i="248"/>
  <c r="K12" i="248" s="1"/>
  <c r="I13" i="248"/>
  <c r="K13" i="248" s="1"/>
  <c r="H20" i="2"/>
  <c r="G20" i="2"/>
  <c r="F20" i="2"/>
  <c r="E20" i="2"/>
  <c r="D20" i="2"/>
  <c r="E43" i="276"/>
  <c r="C43" i="276"/>
  <c r="E42" i="276"/>
  <c r="C42" i="276"/>
  <c r="E41" i="276"/>
  <c r="C41" i="276"/>
  <c r="E40" i="276"/>
  <c r="C40" i="276"/>
  <c r="E39" i="276"/>
  <c r="C39" i="276"/>
  <c r="E38" i="276"/>
  <c r="C38" i="276"/>
  <c r="E37" i="276"/>
  <c r="C37" i="276"/>
  <c r="E36" i="276"/>
  <c r="C36" i="276"/>
  <c r="C35" i="276"/>
  <c r="C34" i="276"/>
  <c r="C33" i="276"/>
  <c r="C32" i="276"/>
  <c r="C31" i="276"/>
  <c r="C30" i="276"/>
  <c r="C29" i="276"/>
  <c r="H28" i="276"/>
  <c r="C28" i="276" s="1"/>
  <c r="H27" i="276"/>
  <c r="C27" i="276" s="1"/>
  <c r="H26" i="276"/>
  <c r="C26" i="276" s="1"/>
  <c r="H25" i="276"/>
  <c r="C25" i="276" s="1"/>
  <c r="H24" i="276"/>
  <c r="C24" i="276" s="1"/>
  <c r="H23" i="276"/>
  <c r="C23" i="276" s="1"/>
  <c r="J17" i="276"/>
  <c r="J16" i="276"/>
  <c r="J15" i="276"/>
  <c r="G13" i="276"/>
  <c r="F13" i="276"/>
  <c r="H12" i="276"/>
  <c r="F12" i="276" s="1"/>
  <c r="J13" i="276" s="1"/>
  <c r="F8" i="276"/>
  <c r="J18" i="276" s="1"/>
  <c r="T20" i="2"/>
  <c r="AG20" i="2" l="1"/>
  <c r="AC20" i="2"/>
  <c r="I20" i="2"/>
  <c r="V20" i="2"/>
  <c r="M20" i="2"/>
  <c r="F10" i="276"/>
  <c r="J12" i="276"/>
  <c r="F11" i="276" s="1"/>
  <c r="L20" i="2" s="1"/>
  <c r="J19" i="276"/>
  <c r="F9" i="276"/>
  <c r="G9" i="276" s="1"/>
  <c r="I9" i="276" l="1"/>
  <c r="K20" i="2"/>
  <c r="AS14" i="248"/>
  <c r="AR14" i="248"/>
  <c r="AQ14" i="248"/>
  <c r="AP14" i="248"/>
  <c r="AO14" i="248"/>
  <c r="AN14" i="248"/>
  <c r="AM14" i="248"/>
  <c r="AL14" i="248"/>
  <c r="AK14" i="248"/>
  <c r="AJ14" i="248"/>
  <c r="AI14" i="248"/>
  <c r="AH14" i="248"/>
  <c r="AG14" i="248"/>
  <c r="AF14" i="248"/>
  <c r="AE14" i="248"/>
  <c r="AD14" i="248"/>
  <c r="AC14" i="248"/>
  <c r="AB14" i="248"/>
  <c r="AA14" i="248"/>
  <c r="Z14" i="248"/>
  <c r="Y14" i="248"/>
  <c r="X14" i="248"/>
  <c r="W14" i="248"/>
  <c r="V14" i="248"/>
  <c r="U14" i="248"/>
  <c r="M14" i="248" l="1"/>
  <c r="I14" i="248"/>
  <c r="K14" i="248" s="1"/>
  <c r="T22" i="2"/>
  <c r="G22" i="2"/>
  <c r="F22" i="2"/>
  <c r="E22" i="2"/>
  <c r="D22" i="2"/>
  <c r="K26" i="275"/>
  <c r="K27" i="275"/>
  <c r="K28" i="275"/>
  <c r="K29" i="275"/>
  <c r="K30" i="275"/>
  <c r="K31" i="275"/>
  <c r="K32" i="275"/>
  <c r="K33" i="275"/>
  <c r="K34" i="275"/>
  <c r="K35" i="275"/>
  <c r="K36" i="275"/>
  <c r="K25" i="275"/>
  <c r="E42" i="275"/>
  <c r="C42" i="275"/>
  <c r="E41" i="275"/>
  <c r="C41" i="275"/>
  <c r="E40" i="275"/>
  <c r="C40" i="275"/>
  <c r="E39" i="275"/>
  <c r="C39" i="275"/>
  <c r="E38" i="275"/>
  <c r="C38" i="275"/>
  <c r="C37" i="275"/>
  <c r="K24" i="275"/>
  <c r="K23" i="275"/>
  <c r="J16" i="275"/>
  <c r="J15" i="275"/>
  <c r="F7" i="275"/>
  <c r="H22" i="2" l="1"/>
  <c r="P8" i="275"/>
  <c r="H27" i="275"/>
  <c r="C27" i="275" s="1"/>
  <c r="H35" i="275"/>
  <c r="C35" i="275" s="1"/>
  <c r="H28" i="275"/>
  <c r="C28" i="275" s="1"/>
  <c r="H29" i="275"/>
  <c r="C29" i="275" s="1"/>
  <c r="H31" i="275"/>
  <c r="C31" i="275" s="1"/>
  <c r="H36" i="275"/>
  <c r="C36" i="275" s="1"/>
  <c r="H32" i="275"/>
  <c r="C32" i="275" s="1"/>
  <c r="H34" i="275"/>
  <c r="C34" i="275" s="1"/>
  <c r="H30" i="275"/>
  <c r="C30" i="275" s="1"/>
  <c r="H26" i="275"/>
  <c r="C26" i="275" s="1"/>
  <c r="H33" i="275"/>
  <c r="C33" i="275" s="1"/>
  <c r="H23" i="275"/>
  <c r="C23" i="275" s="1"/>
  <c r="H24" i="275"/>
  <c r="C24" i="275" s="1"/>
  <c r="G13" i="275"/>
  <c r="F8" i="275"/>
  <c r="H12" i="275"/>
  <c r="F13" i="275"/>
  <c r="H25" i="275"/>
  <c r="C25" i="275" s="1"/>
  <c r="F18" i="275"/>
  <c r="J17" i="275" s="1"/>
  <c r="AS15" i="248"/>
  <c r="AR15" i="248"/>
  <c r="AQ15" i="248"/>
  <c r="AP15" i="248"/>
  <c r="AO15" i="248"/>
  <c r="AN15" i="248"/>
  <c r="AM15" i="248"/>
  <c r="AL15" i="248"/>
  <c r="AK15" i="248"/>
  <c r="AJ15" i="248"/>
  <c r="AI15" i="248"/>
  <c r="AH15" i="248"/>
  <c r="AG15" i="248"/>
  <c r="AF15" i="248"/>
  <c r="AE15" i="248"/>
  <c r="AD15" i="248"/>
  <c r="AC15" i="248"/>
  <c r="AB15" i="248"/>
  <c r="AA15" i="248"/>
  <c r="Z15" i="248"/>
  <c r="Y15" i="248"/>
  <c r="X15" i="248"/>
  <c r="W15" i="248"/>
  <c r="V15" i="248"/>
  <c r="U15" i="248"/>
  <c r="AG22" i="2" l="1"/>
  <c r="AC22" i="2"/>
  <c r="I15" i="248"/>
  <c r="K15" i="248" s="1"/>
  <c r="Y19" i="2"/>
  <c r="Z19" i="2" s="1"/>
  <c r="W19" i="2"/>
  <c r="AH19" i="2"/>
  <c r="AL20" i="2"/>
  <c r="AG19" i="2"/>
  <c r="AK20" i="2"/>
  <c r="M15" i="248"/>
  <c r="F12" i="275"/>
  <c r="M22" i="2"/>
  <c r="J19" i="275"/>
  <c r="I22" i="2"/>
  <c r="J12" i="275"/>
  <c r="F9" i="275"/>
  <c r="G9" i="275" s="1"/>
  <c r="J18" i="275"/>
  <c r="T23" i="2"/>
  <c r="H23" i="2"/>
  <c r="AC23" i="2" s="1"/>
  <c r="G23" i="2"/>
  <c r="F23" i="2"/>
  <c r="E23" i="2"/>
  <c r="D23" i="2"/>
  <c r="E43" i="274"/>
  <c r="C43" i="274"/>
  <c r="E42" i="274"/>
  <c r="C42" i="274"/>
  <c r="E41" i="274"/>
  <c r="C41" i="274"/>
  <c r="E40" i="274"/>
  <c r="C40" i="274"/>
  <c r="E39" i="274"/>
  <c r="C39" i="274"/>
  <c r="E38" i="274"/>
  <c r="C38" i="274"/>
  <c r="E37" i="274"/>
  <c r="C37" i="274"/>
  <c r="E36" i="274"/>
  <c r="C36" i="274"/>
  <c r="C35" i="274"/>
  <c r="C34" i="274"/>
  <c r="C33" i="274"/>
  <c r="C32" i="274"/>
  <c r="C31" i="274"/>
  <c r="C30" i="274"/>
  <c r="C29" i="274"/>
  <c r="H28" i="274"/>
  <c r="C28" i="274" s="1"/>
  <c r="H27" i="274"/>
  <c r="C27" i="274" s="1"/>
  <c r="H26" i="274"/>
  <c r="C26" i="274" s="1"/>
  <c r="H25" i="274"/>
  <c r="C25" i="274" s="1"/>
  <c r="H24" i="274"/>
  <c r="C24" i="274" s="1"/>
  <c r="H23" i="274"/>
  <c r="C23" i="274" s="1"/>
  <c r="J17" i="274"/>
  <c r="J16" i="274"/>
  <c r="J15" i="274"/>
  <c r="G13" i="274"/>
  <c r="F13" i="274"/>
  <c r="H12" i="274"/>
  <c r="F12" i="274" s="1"/>
  <c r="F10" i="274" s="1"/>
  <c r="F8" i="274"/>
  <c r="F9" i="274" s="1"/>
  <c r="G9" i="274" s="1"/>
  <c r="I9" i="274" s="1"/>
  <c r="AI19" i="2" l="1"/>
  <c r="F10" i="275"/>
  <c r="AM20" i="2"/>
  <c r="I9" i="275"/>
  <c r="K22" i="2"/>
  <c r="AH22" i="2"/>
  <c r="AI22" i="2" s="1"/>
  <c r="Y22" i="2"/>
  <c r="Z22" i="2" s="1"/>
  <c r="I23" i="2"/>
  <c r="AH23" i="2" s="1"/>
  <c r="J13" i="275"/>
  <c r="F11" i="275" s="1"/>
  <c r="V22" i="2"/>
  <c r="W22" i="2" s="1"/>
  <c r="M23" i="2"/>
  <c r="K23" i="2"/>
  <c r="V23" i="2"/>
  <c r="AG23" i="2"/>
  <c r="J13" i="274"/>
  <c r="J18" i="274"/>
  <c r="J12" i="274"/>
  <c r="J19" i="274"/>
  <c r="T24" i="2"/>
  <c r="H24" i="2"/>
  <c r="G24" i="2"/>
  <c r="F24" i="2"/>
  <c r="E24" i="2"/>
  <c r="D24" i="2"/>
  <c r="H31" i="273"/>
  <c r="C31" i="273" s="1"/>
  <c r="E43" i="273"/>
  <c r="C43" i="273"/>
  <c r="E42" i="273"/>
  <c r="C42" i="273"/>
  <c r="E41" i="273"/>
  <c r="C41" i="273"/>
  <c r="E40" i="273"/>
  <c r="C40" i="273"/>
  <c r="E39" i="273"/>
  <c r="C39" i="273"/>
  <c r="E38" i="273"/>
  <c r="C38" i="273"/>
  <c r="E37" i="273"/>
  <c r="C37" i="273"/>
  <c r="E36" i="273"/>
  <c r="C36" i="273"/>
  <c r="C35" i="273"/>
  <c r="C34" i="273"/>
  <c r="C33" i="273"/>
  <c r="C32" i="273"/>
  <c r="H30" i="273"/>
  <c r="C30" i="273" s="1"/>
  <c r="H29" i="273"/>
  <c r="C29" i="273" s="1"/>
  <c r="H28" i="273"/>
  <c r="C28" i="273" s="1"/>
  <c r="H27" i="273"/>
  <c r="C27" i="273" s="1"/>
  <c r="H26" i="273"/>
  <c r="C26" i="273" s="1"/>
  <c r="H25" i="273"/>
  <c r="C25" i="273" s="1"/>
  <c r="H24" i="273"/>
  <c r="C24" i="273" s="1"/>
  <c r="H23" i="273"/>
  <c r="C23" i="273" s="1"/>
  <c r="J17" i="273"/>
  <c r="J16" i="273"/>
  <c r="J15" i="273"/>
  <c r="G13" i="273"/>
  <c r="F13" i="273"/>
  <c r="H12" i="273"/>
  <c r="F12" i="273" s="1"/>
  <c r="F10" i="273" s="1"/>
  <c r="F8" i="273"/>
  <c r="J19" i="273" s="1"/>
  <c r="AG24" i="2" l="1"/>
  <c r="AC24" i="2"/>
  <c r="L22" i="2"/>
  <c r="AI23" i="2"/>
  <c r="W23" i="2"/>
  <c r="Y23" i="2"/>
  <c r="Z23" i="2" s="1"/>
  <c r="F11" i="274"/>
  <c r="L23" i="2" s="1"/>
  <c r="V24" i="2"/>
  <c r="M24" i="2"/>
  <c r="I24" i="2"/>
  <c r="AH24" i="2" s="1"/>
  <c r="AI24" i="2" s="1"/>
  <c r="F9" i="273"/>
  <c r="G9" i="273" s="1"/>
  <c r="J13" i="273"/>
  <c r="J18" i="273"/>
  <c r="J12" i="273"/>
  <c r="AS16" i="248"/>
  <c r="AR16" i="248"/>
  <c r="AQ16" i="248"/>
  <c r="AP16" i="248"/>
  <c r="AO16" i="248"/>
  <c r="AN16" i="248"/>
  <c r="AM16" i="248"/>
  <c r="AL16" i="248"/>
  <c r="AK16" i="248"/>
  <c r="AJ16" i="248"/>
  <c r="AI16" i="248"/>
  <c r="AH16" i="248"/>
  <c r="AG16" i="248"/>
  <c r="AF16" i="248"/>
  <c r="AE16" i="248"/>
  <c r="AD16" i="248"/>
  <c r="AC16" i="248"/>
  <c r="AB16" i="248"/>
  <c r="AA16" i="248"/>
  <c r="Z16" i="248"/>
  <c r="Y16" i="248"/>
  <c r="X16" i="248"/>
  <c r="W16" i="248"/>
  <c r="V16" i="248"/>
  <c r="U16" i="248"/>
  <c r="T25" i="2"/>
  <c r="G25" i="2"/>
  <c r="F25" i="2"/>
  <c r="E25" i="2"/>
  <c r="D25" i="2"/>
  <c r="E42" i="272"/>
  <c r="C42" i="272"/>
  <c r="E41" i="272"/>
  <c r="C41" i="272"/>
  <c r="E40" i="272"/>
  <c r="C40" i="272"/>
  <c r="E39" i="272"/>
  <c r="C39" i="272"/>
  <c r="E38" i="272"/>
  <c r="C38" i="272"/>
  <c r="C37" i="272"/>
  <c r="C36" i="272"/>
  <c r="C35" i="272"/>
  <c r="C34" i="272"/>
  <c r="C33" i="272"/>
  <c r="C32" i="272"/>
  <c r="C31" i="272"/>
  <c r="C30" i="272"/>
  <c r="C29" i="272"/>
  <c r="C28" i="272"/>
  <c r="K25" i="272"/>
  <c r="K24" i="272"/>
  <c r="K23" i="272"/>
  <c r="J16" i="272"/>
  <c r="J15" i="272"/>
  <c r="F7" i="272"/>
  <c r="H25" i="2" s="1"/>
  <c r="AG25" i="2" l="1"/>
  <c r="AC25" i="2"/>
  <c r="W24" i="2"/>
  <c r="M16" i="248"/>
  <c r="Y24" i="2"/>
  <c r="Z24" i="2" s="1"/>
  <c r="I9" i="273"/>
  <c r="K24" i="2"/>
  <c r="F13" i="272"/>
  <c r="F18" i="272"/>
  <c r="J17" i="272" s="1"/>
  <c r="F11" i="273"/>
  <c r="L24" i="2" s="1"/>
  <c r="I16" i="248"/>
  <c r="K16" i="248" s="1"/>
  <c r="H12" i="272"/>
  <c r="H25" i="272"/>
  <c r="C25" i="272" s="1"/>
  <c r="C26" i="272"/>
  <c r="H24" i="272"/>
  <c r="C24" i="272" s="1"/>
  <c r="F8" i="272"/>
  <c r="J12" i="272" s="1"/>
  <c r="G13" i="272"/>
  <c r="H23" i="272"/>
  <c r="C23" i="272" s="1"/>
  <c r="C27" i="272"/>
  <c r="P8" i="272"/>
  <c r="AS17" i="248"/>
  <c r="AR17" i="248"/>
  <c r="AQ17" i="248"/>
  <c r="AP17" i="248"/>
  <c r="AO17" i="248"/>
  <c r="AN17" i="248"/>
  <c r="AM17" i="248"/>
  <c r="AL17" i="248"/>
  <c r="AK17" i="248"/>
  <c r="AJ17" i="248"/>
  <c r="AI17" i="248"/>
  <c r="AH17" i="248"/>
  <c r="AG17" i="248"/>
  <c r="AF17" i="248"/>
  <c r="AE17" i="248"/>
  <c r="AD17" i="248"/>
  <c r="AC17" i="248"/>
  <c r="AB17" i="248"/>
  <c r="AA17" i="248"/>
  <c r="Z17" i="248"/>
  <c r="Y17" i="248"/>
  <c r="X17" i="248"/>
  <c r="W17" i="248"/>
  <c r="V17" i="248"/>
  <c r="U17" i="248"/>
  <c r="M17" i="248" l="1"/>
  <c r="J19" i="272"/>
  <c r="I25" i="2"/>
  <c r="F12" i="272"/>
  <c r="M25" i="2"/>
  <c r="J18" i="272"/>
  <c r="F9" i="272"/>
  <c r="G9" i="272" s="1"/>
  <c r="I17" i="248"/>
  <c r="K17" i="248" s="1"/>
  <c r="AS18" i="248"/>
  <c r="AR18" i="248"/>
  <c r="AQ18" i="248"/>
  <c r="AP18" i="248"/>
  <c r="AO18" i="248"/>
  <c r="AN18" i="248"/>
  <c r="AM18" i="248"/>
  <c r="AL18" i="248"/>
  <c r="AK18" i="248"/>
  <c r="AJ18" i="248"/>
  <c r="AI18" i="248"/>
  <c r="AH18" i="248"/>
  <c r="AG18" i="248"/>
  <c r="AF18" i="248"/>
  <c r="AE18" i="248"/>
  <c r="AD18" i="248"/>
  <c r="AC18" i="248"/>
  <c r="AB18" i="248"/>
  <c r="AA18" i="248"/>
  <c r="Z18" i="248"/>
  <c r="Y18" i="248"/>
  <c r="X18" i="248"/>
  <c r="W18" i="248"/>
  <c r="V18" i="248"/>
  <c r="U18" i="248"/>
  <c r="I9" i="272" l="1"/>
  <c r="K25" i="2"/>
  <c r="J13" i="272"/>
  <c r="F11" i="272" s="1"/>
  <c r="L25" i="2" s="1"/>
  <c r="V25" i="2"/>
  <c r="W25" i="2" s="1"/>
  <c r="I18" i="248"/>
  <c r="K18" i="248" s="1"/>
  <c r="AH25" i="2"/>
  <c r="AI25" i="2" s="1"/>
  <c r="Y25" i="2"/>
  <c r="Z25" i="2" s="1"/>
  <c r="F10" i="272"/>
  <c r="M18" i="248"/>
  <c r="AS19" i="248"/>
  <c r="AR19" i="248"/>
  <c r="AQ19" i="248"/>
  <c r="AP19" i="248"/>
  <c r="AO19" i="248"/>
  <c r="AN19" i="248"/>
  <c r="AM19" i="248"/>
  <c r="AL19" i="248"/>
  <c r="AK19" i="248"/>
  <c r="AJ19" i="248"/>
  <c r="AI19" i="248"/>
  <c r="AH19" i="248"/>
  <c r="AG19" i="248"/>
  <c r="AF19" i="248"/>
  <c r="AE19" i="248"/>
  <c r="AD19" i="248"/>
  <c r="AC19" i="248"/>
  <c r="AB19" i="248"/>
  <c r="AA19" i="248"/>
  <c r="Z19" i="248"/>
  <c r="Y19" i="248"/>
  <c r="X19" i="248"/>
  <c r="W19" i="248"/>
  <c r="V19" i="248"/>
  <c r="U19" i="248"/>
  <c r="AS20" i="248"/>
  <c r="AR20" i="248"/>
  <c r="AQ20" i="248"/>
  <c r="AP20" i="248"/>
  <c r="AO20" i="248"/>
  <c r="AN20" i="248"/>
  <c r="AM20" i="248"/>
  <c r="AL20" i="248"/>
  <c r="AK20" i="248"/>
  <c r="AJ20" i="248"/>
  <c r="AI20" i="248"/>
  <c r="AH20" i="248"/>
  <c r="AG20" i="248"/>
  <c r="AF20" i="248"/>
  <c r="AE20" i="248"/>
  <c r="AD20" i="248"/>
  <c r="AC20" i="248"/>
  <c r="AB20" i="248"/>
  <c r="AA20" i="248"/>
  <c r="Z20" i="248"/>
  <c r="Y20" i="248"/>
  <c r="X20" i="248"/>
  <c r="W20" i="248"/>
  <c r="V20" i="248"/>
  <c r="U20" i="248"/>
  <c r="I19" i="248" l="1"/>
  <c r="K19" i="248" s="1"/>
  <c r="I20" i="248"/>
  <c r="K20" i="248" s="1"/>
  <c r="M19" i="248"/>
  <c r="M20" i="248"/>
  <c r="AS21" i="248"/>
  <c r="AR21" i="248"/>
  <c r="AQ21" i="248"/>
  <c r="AP21" i="248"/>
  <c r="AO21" i="248"/>
  <c r="AN21" i="248"/>
  <c r="AM21" i="248"/>
  <c r="AL21" i="248"/>
  <c r="AK21" i="248"/>
  <c r="AJ21" i="248"/>
  <c r="AI21" i="248"/>
  <c r="AH21" i="248"/>
  <c r="AG21" i="248"/>
  <c r="AF21" i="248"/>
  <c r="AE21" i="248"/>
  <c r="AD21" i="248"/>
  <c r="AC21" i="248"/>
  <c r="AB21" i="248"/>
  <c r="AA21" i="248"/>
  <c r="Z21" i="248"/>
  <c r="Y21" i="248"/>
  <c r="X21" i="248"/>
  <c r="W21" i="248"/>
  <c r="V21" i="248"/>
  <c r="U21" i="248"/>
  <c r="M21" i="248" l="1"/>
  <c r="I21" i="248"/>
  <c r="K21" i="248" s="1"/>
  <c r="T26" i="2"/>
  <c r="H26" i="2"/>
  <c r="AC26" i="2" s="1"/>
  <c r="G26" i="2"/>
  <c r="F26" i="2"/>
  <c r="E26" i="2"/>
  <c r="D26" i="2"/>
  <c r="H30" i="271"/>
  <c r="C30" i="271" s="1"/>
  <c r="H31" i="271"/>
  <c r="C31" i="271" s="1"/>
  <c r="H32" i="271"/>
  <c r="C32" i="271" s="1"/>
  <c r="H33" i="271"/>
  <c r="C33" i="271" s="1"/>
  <c r="E43" i="271"/>
  <c r="C43" i="271"/>
  <c r="E42" i="271"/>
  <c r="C42" i="271"/>
  <c r="E41" i="271"/>
  <c r="C41" i="271"/>
  <c r="E40" i="271"/>
  <c r="C40" i="271"/>
  <c r="E39" i="271"/>
  <c r="C39" i="271"/>
  <c r="E38" i="271"/>
  <c r="C38" i="271"/>
  <c r="E37" i="271"/>
  <c r="C37" i="271"/>
  <c r="E36" i="271"/>
  <c r="C36" i="271"/>
  <c r="C35" i="271"/>
  <c r="C34" i="271"/>
  <c r="H29" i="271"/>
  <c r="C29" i="271" s="1"/>
  <c r="H28" i="271"/>
  <c r="C28" i="271" s="1"/>
  <c r="H27" i="271"/>
  <c r="C27" i="271" s="1"/>
  <c r="H26" i="271"/>
  <c r="C26" i="271" s="1"/>
  <c r="H25" i="271"/>
  <c r="C25" i="271" s="1"/>
  <c r="H24" i="271"/>
  <c r="C24" i="271" s="1"/>
  <c r="H23" i="271"/>
  <c r="C23" i="271" s="1"/>
  <c r="J17" i="271"/>
  <c r="J16" i="271"/>
  <c r="J15" i="271"/>
  <c r="G13" i="271"/>
  <c r="F13" i="271"/>
  <c r="H12" i="271"/>
  <c r="F12" i="271" s="1"/>
  <c r="J13" i="271" s="1"/>
  <c r="F8" i="271"/>
  <c r="J18" i="271" s="1"/>
  <c r="AG26" i="2" l="1"/>
  <c r="M26" i="2"/>
  <c r="I26" i="2"/>
  <c r="AH26" i="2" s="1"/>
  <c r="V26" i="2"/>
  <c r="F10" i="271"/>
  <c r="J12" i="271"/>
  <c r="F11" i="271" s="1"/>
  <c r="L26" i="2" s="1"/>
  <c r="J19" i="271"/>
  <c r="F9" i="271"/>
  <c r="G9" i="271" s="1"/>
  <c r="T27" i="2"/>
  <c r="G27" i="2"/>
  <c r="F27" i="2"/>
  <c r="E27" i="2"/>
  <c r="D27" i="2"/>
  <c r="AI26" i="2" l="1"/>
  <c r="W26" i="2"/>
  <c r="Y26" i="2"/>
  <c r="Z26" i="2" s="1"/>
  <c r="I9" i="271"/>
  <c r="K26" i="2"/>
  <c r="C29" i="270"/>
  <c r="E42" i="270"/>
  <c r="C42" i="270"/>
  <c r="E41" i="270"/>
  <c r="C41" i="270"/>
  <c r="E40" i="270"/>
  <c r="C40" i="270"/>
  <c r="E39" i="270"/>
  <c r="C39" i="270"/>
  <c r="E38" i="270"/>
  <c r="C38" i="270"/>
  <c r="C37" i="270"/>
  <c r="C36" i="270"/>
  <c r="C35" i="270"/>
  <c r="C34" i="270"/>
  <c r="C33" i="270"/>
  <c r="C32" i="270"/>
  <c r="C31" i="270"/>
  <c r="C30" i="270"/>
  <c r="C28" i="270"/>
  <c r="K27" i="270"/>
  <c r="K26" i="270"/>
  <c r="K25" i="270"/>
  <c r="K24" i="270"/>
  <c r="K23" i="270"/>
  <c r="J16" i="270"/>
  <c r="J15" i="270"/>
  <c r="F7" i="270"/>
  <c r="H27" i="2" s="1"/>
  <c r="AC27" i="2" s="1"/>
  <c r="H25" i="270" l="1"/>
  <c r="C25" i="270" s="1"/>
  <c r="H27" i="270"/>
  <c r="C27" i="270" s="1"/>
  <c r="H26" i="270"/>
  <c r="C26" i="270" s="1"/>
  <c r="H23" i="270"/>
  <c r="C23" i="270" s="1"/>
  <c r="H24" i="270"/>
  <c r="C24" i="270" s="1"/>
  <c r="F13" i="270"/>
  <c r="F8" i="270"/>
  <c r="J12" i="270" s="1"/>
  <c r="H12" i="270"/>
  <c r="F18" i="270"/>
  <c r="J17" i="270" s="1"/>
  <c r="P8" i="270"/>
  <c r="G13" i="270"/>
  <c r="AG27" i="2"/>
  <c r="T28" i="2"/>
  <c r="H28" i="2"/>
  <c r="G28" i="2"/>
  <c r="F28" i="2"/>
  <c r="E28" i="2"/>
  <c r="D28" i="2"/>
  <c r="H27" i="268"/>
  <c r="C27" i="268" s="1"/>
  <c r="H28" i="268"/>
  <c r="C28" i="268" s="1"/>
  <c r="H29" i="268"/>
  <c r="C29" i="268" s="1"/>
  <c r="E43" i="268"/>
  <c r="C43" i="268"/>
  <c r="E42" i="268"/>
  <c r="C42" i="268"/>
  <c r="E41" i="268"/>
  <c r="C41" i="268"/>
  <c r="E40" i="268"/>
  <c r="C40" i="268"/>
  <c r="E39" i="268"/>
  <c r="C39" i="268"/>
  <c r="E38" i="268"/>
  <c r="C38" i="268"/>
  <c r="E37" i="268"/>
  <c r="C37" i="268"/>
  <c r="E36" i="268"/>
  <c r="C36" i="268"/>
  <c r="C35" i="268"/>
  <c r="C34" i="268"/>
  <c r="C33" i="268"/>
  <c r="C32" i="268"/>
  <c r="C31" i="268"/>
  <c r="C30" i="268"/>
  <c r="H26" i="268"/>
  <c r="C26" i="268" s="1"/>
  <c r="H25" i="268"/>
  <c r="C25" i="268" s="1"/>
  <c r="H24" i="268"/>
  <c r="C24" i="268" s="1"/>
  <c r="H23" i="268"/>
  <c r="C23" i="268" s="1"/>
  <c r="J17" i="268"/>
  <c r="J16" i="268"/>
  <c r="J15" i="268"/>
  <c r="G13" i="268"/>
  <c r="F13" i="268"/>
  <c r="H12" i="268"/>
  <c r="F12" i="268" s="1"/>
  <c r="V28" i="2" s="1"/>
  <c r="F8" i="268"/>
  <c r="J19" i="268" s="1"/>
  <c r="AG28" i="2" l="1"/>
  <c r="AC28" i="2"/>
  <c r="F12" i="270"/>
  <c r="F10" i="270" s="1"/>
  <c r="M27" i="2"/>
  <c r="J19" i="270"/>
  <c r="I27" i="2"/>
  <c r="F9" i="270"/>
  <c r="G9" i="270" s="1"/>
  <c r="J18" i="270"/>
  <c r="I28" i="2"/>
  <c r="Y28" i="2" s="1"/>
  <c r="Z28" i="2" s="1"/>
  <c r="M28" i="2"/>
  <c r="J13" i="268"/>
  <c r="F10" i="268"/>
  <c r="F9" i="268"/>
  <c r="G9" i="268" s="1"/>
  <c r="J18" i="268"/>
  <c r="J12" i="268"/>
  <c r="T29" i="2"/>
  <c r="G29" i="2"/>
  <c r="F29" i="2"/>
  <c r="E29" i="2"/>
  <c r="D29" i="2"/>
  <c r="E43" i="267"/>
  <c r="C43" i="267"/>
  <c r="E42" i="267"/>
  <c r="C42" i="267"/>
  <c r="E41" i="267"/>
  <c r="C41" i="267"/>
  <c r="E40" i="267"/>
  <c r="C40" i="267"/>
  <c r="E39" i="267"/>
  <c r="C39" i="267"/>
  <c r="C38" i="267"/>
  <c r="C37" i="267"/>
  <c r="C36" i="267"/>
  <c r="C35" i="267"/>
  <c r="C34" i="267"/>
  <c r="C33" i="267"/>
  <c r="C32" i="267"/>
  <c r="C31" i="267"/>
  <c r="C30" i="267"/>
  <c r="K28" i="267"/>
  <c r="K27" i="267"/>
  <c r="K26" i="267"/>
  <c r="C29" i="267" s="1"/>
  <c r="K25" i="267"/>
  <c r="K24" i="267"/>
  <c r="K23" i="267"/>
  <c r="J16" i="267"/>
  <c r="J15" i="267"/>
  <c r="F7" i="267"/>
  <c r="F11" i="268" l="1"/>
  <c r="L28" i="2" s="1"/>
  <c r="AH27" i="2"/>
  <c r="AI27" i="2" s="1"/>
  <c r="Y27" i="2"/>
  <c r="Z27" i="2" s="1"/>
  <c r="I9" i="270"/>
  <c r="K27" i="2"/>
  <c r="J13" i="270"/>
  <c r="F11" i="270" s="1"/>
  <c r="L27" i="2" s="1"/>
  <c r="V27" i="2"/>
  <c r="W27" i="2" s="1"/>
  <c r="W28" i="2"/>
  <c r="AH28" i="2"/>
  <c r="AI28" i="2" s="1"/>
  <c r="I9" i="268"/>
  <c r="K28" i="2"/>
  <c r="F8" i="267"/>
  <c r="J12" i="267" s="1"/>
  <c r="H29" i="2"/>
  <c r="H25" i="267"/>
  <c r="C25" i="267" s="1"/>
  <c r="F13" i="267"/>
  <c r="G13" i="267"/>
  <c r="H24" i="267"/>
  <c r="C24" i="267" s="1"/>
  <c r="H28" i="267"/>
  <c r="C28" i="267" s="1"/>
  <c r="H12" i="267"/>
  <c r="F18" i="267"/>
  <c r="J17" i="267" s="1"/>
  <c r="H23" i="267"/>
  <c r="C23" i="267" s="1"/>
  <c r="H27" i="267"/>
  <c r="C27" i="267" s="1"/>
  <c r="P8" i="267"/>
  <c r="H26" i="267"/>
  <c r="C26" i="267" s="1"/>
  <c r="AS22" i="248"/>
  <c r="AR22" i="248"/>
  <c r="AQ22" i="248"/>
  <c r="AP22" i="248"/>
  <c r="AO22" i="248"/>
  <c r="AN22" i="248"/>
  <c r="AM22" i="248"/>
  <c r="AL22" i="248"/>
  <c r="AK22" i="248"/>
  <c r="AJ22" i="248"/>
  <c r="AI22" i="248"/>
  <c r="AH22" i="248"/>
  <c r="AG22" i="248"/>
  <c r="AF22" i="248"/>
  <c r="AE22" i="248"/>
  <c r="AD22" i="248"/>
  <c r="AC22" i="248"/>
  <c r="AB22" i="248"/>
  <c r="AA22" i="248"/>
  <c r="Z22" i="248"/>
  <c r="Y22" i="248"/>
  <c r="X22" i="248"/>
  <c r="W22" i="248"/>
  <c r="V22" i="248"/>
  <c r="U22" i="248"/>
  <c r="AG29" i="2" l="1"/>
  <c r="AC29" i="2"/>
  <c r="F9" i="267"/>
  <c r="G9" i="267" s="1"/>
  <c r="K29" i="2" s="1"/>
  <c r="I22" i="248"/>
  <c r="K22" i="248" s="1"/>
  <c r="I29" i="2"/>
  <c r="J19" i="267"/>
  <c r="F12" i="267"/>
  <c r="F10" i="267" s="1"/>
  <c r="M29" i="2"/>
  <c r="F11" i="267"/>
  <c r="J18" i="267"/>
  <c r="M22" i="248"/>
  <c r="T30" i="2"/>
  <c r="G30" i="2"/>
  <c r="F30" i="2"/>
  <c r="E30" i="2"/>
  <c r="D30" i="2"/>
  <c r="E43" i="266"/>
  <c r="C43" i="266"/>
  <c r="E42" i="266"/>
  <c r="C42" i="266"/>
  <c r="E41" i="266"/>
  <c r="C41" i="266"/>
  <c r="E40" i="266"/>
  <c r="C40" i="266"/>
  <c r="E39" i="266"/>
  <c r="C39" i="266"/>
  <c r="C38" i="266"/>
  <c r="C37" i="266"/>
  <c r="C36" i="266"/>
  <c r="C35" i="266"/>
  <c r="C34" i="266"/>
  <c r="C33" i="266"/>
  <c r="C32" i="266"/>
  <c r="C31" i="266"/>
  <c r="C30" i="266"/>
  <c r="C27" i="266"/>
  <c r="K26" i="266"/>
  <c r="K25" i="266"/>
  <c r="K24" i="266"/>
  <c r="K23" i="266"/>
  <c r="C29" i="266" s="1"/>
  <c r="J16" i="266"/>
  <c r="J15" i="266"/>
  <c r="F7" i="266"/>
  <c r="H30" i="2" s="1"/>
  <c r="T31" i="2"/>
  <c r="G31" i="2"/>
  <c r="F31" i="2"/>
  <c r="E31" i="2"/>
  <c r="D31" i="2"/>
  <c r="M24" i="265"/>
  <c r="M23" i="265"/>
  <c r="M27" i="265"/>
  <c r="M25" i="265"/>
  <c r="M26" i="265"/>
  <c r="M28" i="265"/>
  <c r="M29" i="265"/>
  <c r="E43" i="265"/>
  <c r="C43" i="265"/>
  <c r="E42" i="265"/>
  <c r="C42" i="265"/>
  <c r="E41" i="265"/>
  <c r="C41" i="265"/>
  <c r="E40" i="265"/>
  <c r="C40" i="265"/>
  <c r="E39" i="265"/>
  <c r="C39" i="265"/>
  <c r="E38" i="265"/>
  <c r="C38" i="265"/>
  <c r="E37" i="265"/>
  <c r="C37" i="265"/>
  <c r="E36" i="265"/>
  <c r="C36" i="265"/>
  <c r="E35" i="265"/>
  <c r="C35" i="265"/>
  <c r="E34" i="265"/>
  <c r="C34" i="265"/>
  <c r="E33" i="265"/>
  <c r="C33" i="265"/>
  <c r="E32" i="265"/>
  <c r="C32" i="265"/>
  <c r="E31" i="265"/>
  <c r="C31" i="265"/>
  <c r="O24" i="265"/>
  <c r="O23" i="265"/>
  <c r="J17" i="265"/>
  <c r="J16" i="265"/>
  <c r="J15" i="265"/>
  <c r="O11" i="265"/>
  <c r="O10" i="265"/>
  <c r="F7" i="265"/>
  <c r="H31" i="2" s="1"/>
  <c r="AG30" i="2" l="1"/>
  <c r="AC30" i="2"/>
  <c r="AG31" i="2"/>
  <c r="AC31" i="2"/>
  <c r="I9" i="267"/>
  <c r="L29" i="2"/>
  <c r="AH29" i="2"/>
  <c r="AI29" i="2" s="1"/>
  <c r="Y29" i="2"/>
  <c r="Z29" i="2" s="1"/>
  <c r="J13" i="267"/>
  <c r="V29" i="2"/>
  <c r="W29" i="2" s="1"/>
  <c r="P8" i="266"/>
  <c r="G13" i="266"/>
  <c r="H24" i="266"/>
  <c r="C24" i="266" s="1"/>
  <c r="C28" i="266"/>
  <c r="F8" i="266"/>
  <c r="I30" i="2" s="1"/>
  <c r="H12" i="266"/>
  <c r="F18" i="266"/>
  <c r="J17" i="266" s="1"/>
  <c r="H23" i="266"/>
  <c r="C23" i="266" s="1"/>
  <c r="H26" i="266"/>
  <c r="C26" i="266" s="1"/>
  <c r="F13" i="266"/>
  <c r="H25" i="266"/>
  <c r="C25" i="266" s="1"/>
  <c r="H28" i="265"/>
  <c r="C28" i="265" s="1"/>
  <c r="H27" i="265"/>
  <c r="C27" i="265" s="1"/>
  <c r="G13" i="265"/>
  <c r="H23" i="265"/>
  <c r="C23" i="265" s="1"/>
  <c r="H26" i="265"/>
  <c r="C26" i="265" s="1"/>
  <c r="H29" i="265"/>
  <c r="H25" i="265"/>
  <c r="C25" i="265" s="1"/>
  <c r="H12" i="265"/>
  <c r="H24" i="265"/>
  <c r="C24" i="265" s="1"/>
  <c r="F8" i="265"/>
  <c r="I31" i="2" s="1"/>
  <c r="F13" i="265"/>
  <c r="T32" i="2"/>
  <c r="H32" i="2"/>
  <c r="G32" i="2"/>
  <c r="F32" i="2"/>
  <c r="E32" i="2"/>
  <c r="D32" i="2"/>
  <c r="H26" i="264"/>
  <c r="C26" i="264" s="1"/>
  <c r="E43" i="264"/>
  <c r="C43" i="264"/>
  <c r="E42" i="264"/>
  <c r="C42" i="264"/>
  <c r="E41" i="264"/>
  <c r="C41" i="264"/>
  <c r="E40" i="264"/>
  <c r="C40" i="264"/>
  <c r="E39" i="264"/>
  <c r="C39" i="264"/>
  <c r="E38" i="264"/>
  <c r="C38" i="264"/>
  <c r="E37" i="264"/>
  <c r="C37" i="264"/>
  <c r="E36" i="264"/>
  <c r="C36" i="264"/>
  <c r="C35" i="264"/>
  <c r="C34" i="264"/>
  <c r="C33" i="264"/>
  <c r="C32" i="264"/>
  <c r="C31" i="264"/>
  <c r="C30" i="264"/>
  <c r="C29" i="264"/>
  <c r="C28" i="264"/>
  <c r="C27" i="264"/>
  <c r="H25" i="264"/>
  <c r="C25" i="264" s="1"/>
  <c r="H24" i="264"/>
  <c r="C24" i="264" s="1"/>
  <c r="H23" i="264"/>
  <c r="C23" i="264" s="1"/>
  <c r="J17" i="264"/>
  <c r="J16" i="264"/>
  <c r="J15" i="264"/>
  <c r="G13" i="264"/>
  <c r="F13" i="264"/>
  <c r="H12" i="264"/>
  <c r="F12" i="264" s="1"/>
  <c r="F8" i="264"/>
  <c r="AG32" i="2" l="1"/>
  <c r="AC32" i="2"/>
  <c r="F12" i="266"/>
  <c r="V30" i="2" s="1"/>
  <c r="M30" i="2"/>
  <c r="J13" i="264"/>
  <c r="J18" i="264"/>
  <c r="AH31" i="2"/>
  <c r="AI31" i="2" s="1"/>
  <c r="Y31" i="2"/>
  <c r="Z31" i="2" s="1"/>
  <c r="M32" i="2"/>
  <c r="F12" i="265"/>
  <c r="F10" i="265" s="1"/>
  <c r="M31" i="2"/>
  <c r="J19" i="266"/>
  <c r="F9" i="266"/>
  <c r="G9" i="266" s="1"/>
  <c r="J18" i="266"/>
  <c r="J12" i="266"/>
  <c r="F11" i="266" s="1"/>
  <c r="L30" i="2" s="1"/>
  <c r="O12" i="265"/>
  <c r="I32" i="2"/>
  <c r="V32" i="2"/>
  <c r="J19" i="265"/>
  <c r="F9" i="265"/>
  <c r="G9" i="265" s="1"/>
  <c r="J18" i="265"/>
  <c r="J12" i="265"/>
  <c r="F10" i="264"/>
  <c r="J12" i="264"/>
  <c r="J19" i="264"/>
  <c r="F9" i="264"/>
  <c r="G9" i="264" s="1"/>
  <c r="T33" i="2"/>
  <c r="H33" i="2"/>
  <c r="AC33" i="2" s="1"/>
  <c r="G33" i="2"/>
  <c r="F33" i="2"/>
  <c r="E33" i="2"/>
  <c r="D33" i="2"/>
  <c r="E43" i="263"/>
  <c r="C43" i="263"/>
  <c r="E42" i="263"/>
  <c r="C42" i="263"/>
  <c r="E41" i="263"/>
  <c r="C41" i="263"/>
  <c r="E40" i="263"/>
  <c r="C40" i="263"/>
  <c r="E39" i="263"/>
  <c r="C39" i="263"/>
  <c r="E38" i="263"/>
  <c r="C38" i="263"/>
  <c r="E37" i="263"/>
  <c r="C37" i="263"/>
  <c r="E36" i="263"/>
  <c r="C36" i="263"/>
  <c r="C35" i="263"/>
  <c r="C34" i="263"/>
  <c r="C33" i="263"/>
  <c r="C32" i="263"/>
  <c r="C31" i="263"/>
  <c r="C30" i="263"/>
  <c r="C29" i="263"/>
  <c r="C28" i="263"/>
  <c r="C27" i="263"/>
  <c r="C26" i="263"/>
  <c r="H25" i="263"/>
  <c r="C25" i="263" s="1"/>
  <c r="H24" i="263"/>
  <c r="C24" i="263" s="1"/>
  <c r="H23" i="263"/>
  <c r="C23" i="263" s="1"/>
  <c r="J17" i="263"/>
  <c r="J16" i="263"/>
  <c r="J15" i="263"/>
  <c r="G13" i="263"/>
  <c r="F13" i="263"/>
  <c r="H12" i="263"/>
  <c r="F8" i="263"/>
  <c r="AG33" i="2" l="1"/>
  <c r="AK33" i="2"/>
  <c r="F9" i="263"/>
  <c r="G9" i="263" s="1"/>
  <c r="K33" i="2" s="1"/>
  <c r="F12" i="263"/>
  <c r="J13" i="266"/>
  <c r="F11" i="264"/>
  <c r="L32" i="2" s="1"/>
  <c r="I9" i="266"/>
  <c r="K30" i="2"/>
  <c r="F10" i="266"/>
  <c r="AH30" i="2"/>
  <c r="AI30" i="2" s="1"/>
  <c r="W30" i="2"/>
  <c r="Y30" i="2"/>
  <c r="Z30" i="2" s="1"/>
  <c r="I9" i="265"/>
  <c r="K31" i="2"/>
  <c r="J13" i="265"/>
  <c r="F11" i="265" s="1"/>
  <c r="L31" i="2" s="1"/>
  <c r="V31" i="2"/>
  <c r="W31" i="2" s="1"/>
  <c r="M33" i="2"/>
  <c r="Y32" i="2"/>
  <c r="Z32" i="2" s="1"/>
  <c r="W32" i="2"/>
  <c r="AH32" i="2"/>
  <c r="AI32" i="2" s="1"/>
  <c r="I9" i="264"/>
  <c r="K32" i="2"/>
  <c r="I33" i="2"/>
  <c r="AL33" i="2" s="1"/>
  <c r="J13" i="263"/>
  <c r="J18" i="263"/>
  <c r="J12" i="263"/>
  <c r="J19" i="263"/>
  <c r="F26" i="248"/>
  <c r="AS23" i="248"/>
  <c r="AR23" i="248"/>
  <c r="AQ23" i="248"/>
  <c r="AP23" i="248"/>
  <c r="AO23" i="248"/>
  <c r="AN23" i="248"/>
  <c r="AM23" i="248"/>
  <c r="AL23" i="248"/>
  <c r="AK23" i="248"/>
  <c r="AJ23" i="248"/>
  <c r="AI23" i="248"/>
  <c r="AH23" i="248"/>
  <c r="AG23" i="248"/>
  <c r="AF23" i="248"/>
  <c r="AE23" i="248"/>
  <c r="AD23" i="248"/>
  <c r="AC23" i="248"/>
  <c r="AB23" i="248"/>
  <c r="AA23" i="248"/>
  <c r="Z23" i="248"/>
  <c r="Y23" i="248"/>
  <c r="X23" i="248"/>
  <c r="W23" i="248"/>
  <c r="V23" i="248"/>
  <c r="U23" i="248"/>
  <c r="F10" i="263" l="1"/>
  <c r="AH20" i="2"/>
  <c r="AI20" i="2" s="1"/>
  <c r="W20" i="2"/>
  <c r="Y20" i="2"/>
  <c r="Z20" i="2" s="1"/>
  <c r="V33" i="2"/>
  <c r="I9" i="263"/>
  <c r="F11" i="263"/>
  <c r="I23" i="248"/>
  <c r="K23" i="248" s="1"/>
  <c r="M23" i="248"/>
  <c r="AS24" i="248"/>
  <c r="AR24" i="248"/>
  <c r="AQ24" i="248"/>
  <c r="AP24" i="248"/>
  <c r="AO24" i="248"/>
  <c r="AN24" i="248"/>
  <c r="AM24" i="248"/>
  <c r="AL24" i="248"/>
  <c r="AK24" i="248"/>
  <c r="AJ24" i="248"/>
  <c r="AI24" i="248"/>
  <c r="AH24" i="248"/>
  <c r="AG24" i="248"/>
  <c r="AF24" i="248"/>
  <c r="AE24" i="248"/>
  <c r="AD24" i="248"/>
  <c r="AC24" i="248"/>
  <c r="AB24" i="248"/>
  <c r="AA24" i="248"/>
  <c r="Z24" i="248"/>
  <c r="Y24" i="248"/>
  <c r="X24" i="248"/>
  <c r="W24" i="248"/>
  <c r="V24" i="248"/>
  <c r="U24" i="248"/>
  <c r="L33" i="2" l="1"/>
  <c r="B33" i="2" s="1"/>
  <c r="B20" i="2"/>
  <c r="I24" i="248"/>
  <c r="K24" i="248" s="1"/>
  <c r="M24" i="248"/>
  <c r="T35" i="2"/>
  <c r="H35" i="2"/>
  <c r="G35" i="2"/>
  <c r="F35" i="2"/>
  <c r="E35" i="2"/>
  <c r="D35" i="2"/>
  <c r="E43" i="262"/>
  <c r="C43" i="262"/>
  <c r="E42" i="262"/>
  <c r="C42" i="262"/>
  <c r="E41" i="262"/>
  <c r="C41" i="262"/>
  <c r="E40" i="262"/>
  <c r="C40" i="262"/>
  <c r="E39" i="262"/>
  <c r="C39" i="262"/>
  <c r="E38" i="262"/>
  <c r="C38" i="262"/>
  <c r="E37" i="262"/>
  <c r="C37" i="262"/>
  <c r="E36" i="262"/>
  <c r="C36" i="262"/>
  <c r="C35" i="262"/>
  <c r="C34" i="262"/>
  <c r="C33" i="262"/>
  <c r="C32" i="262"/>
  <c r="C31" i="262"/>
  <c r="C30" i="262"/>
  <c r="C29" i="262"/>
  <c r="C28" i="262"/>
  <c r="C27" i="262"/>
  <c r="H26" i="262"/>
  <c r="C26" i="262" s="1"/>
  <c r="H25" i="262"/>
  <c r="C25" i="262" s="1"/>
  <c r="H24" i="262"/>
  <c r="C24" i="262" s="1"/>
  <c r="H23" i="262"/>
  <c r="C23" i="262" s="1"/>
  <c r="J17" i="262"/>
  <c r="J16" i="262"/>
  <c r="J15" i="262"/>
  <c r="G13" i="262"/>
  <c r="F13" i="262"/>
  <c r="H12" i="262"/>
  <c r="F12" i="262" s="1"/>
  <c r="F10" i="262" s="1"/>
  <c r="F8" i="262"/>
  <c r="F9" i="262" s="1"/>
  <c r="G9" i="262" s="1"/>
  <c r="I9" i="262" s="1"/>
  <c r="AG35" i="2" l="1"/>
  <c r="AC35" i="2"/>
  <c r="M35" i="2"/>
  <c r="I35" i="2"/>
  <c r="AH35" i="2" s="1"/>
  <c r="AI35" i="2" s="1"/>
  <c r="K35" i="2"/>
  <c r="V35" i="2"/>
  <c r="J13" i="262"/>
  <c r="J18" i="262"/>
  <c r="J12" i="262"/>
  <c r="J19" i="262"/>
  <c r="T36" i="2"/>
  <c r="H36" i="2"/>
  <c r="G36" i="2"/>
  <c r="F36" i="2"/>
  <c r="E36" i="2"/>
  <c r="D36" i="2"/>
  <c r="H27" i="261"/>
  <c r="C27" i="261" s="1"/>
  <c r="E43" i="261"/>
  <c r="C43" i="261"/>
  <c r="E42" i="261"/>
  <c r="C42" i="261"/>
  <c r="E41" i="261"/>
  <c r="C41" i="261"/>
  <c r="E40" i="261"/>
  <c r="C40" i="261"/>
  <c r="E39" i="261"/>
  <c r="C39" i="261"/>
  <c r="E38" i="261"/>
  <c r="C38" i="261"/>
  <c r="E37" i="261"/>
  <c r="C37" i="261"/>
  <c r="E36" i="261"/>
  <c r="C36" i="261"/>
  <c r="C35" i="261"/>
  <c r="C34" i="261"/>
  <c r="C33" i="261"/>
  <c r="C32" i="261"/>
  <c r="C31" i="261"/>
  <c r="C30" i="261"/>
  <c r="C29" i="261"/>
  <c r="C28" i="261"/>
  <c r="H26" i="261"/>
  <c r="C26" i="261" s="1"/>
  <c r="H25" i="261"/>
  <c r="C25" i="261" s="1"/>
  <c r="H24" i="261"/>
  <c r="C24" i="261" s="1"/>
  <c r="H23" i="261"/>
  <c r="C23" i="261" s="1"/>
  <c r="J17" i="261"/>
  <c r="J16" i="261"/>
  <c r="J15" i="261"/>
  <c r="G13" i="261"/>
  <c r="F13" i="261"/>
  <c r="H12" i="261"/>
  <c r="F12" i="261" s="1"/>
  <c r="F10" i="261" s="1"/>
  <c r="F8" i="261"/>
  <c r="F9" i="261" s="1"/>
  <c r="G9" i="261" s="1"/>
  <c r="I9" i="261" s="1"/>
  <c r="AG36" i="2" l="1"/>
  <c r="AC36" i="2"/>
  <c r="Y35" i="2"/>
  <c r="Z35" i="2" s="1"/>
  <c r="W35" i="2"/>
  <c r="M36" i="2"/>
  <c r="F11" i="262"/>
  <c r="L35" i="2" s="1"/>
  <c r="I36" i="2"/>
  <c r="Y36" i="2" s="1"/>
  <c r="Z36" i="2" s="1"/>
  <c r="K36" i="2"/>
  <c r="V36" i="2"/>
  <c r="J13" i="261"/>
  <c r="J18" i="261"/>
  <c r="J12" i="261"/>
  <c r="J19" i="261"/>
  <c r="J26" i="248"/>
  <c r="AS25" i="248"/>
  <c r="AR25" i="248"/>
  <c r="AQ25" i="248"/>
  <c r="AP25" i="248"/>
  <c r="AO25" i="248"/>
  <c r="AN25" i="248"/>
  <c r="AM25" i="248"/>
  <c r="AL25" i="248"/>
  <c r="AK25" i="248"/>
  <c r="AJ25" i="248"/>
  <c r="AI25" i="248"/>
  <c r="AH25" i="248"/>
  <c r="AG25" i="248"/>
  <c r="AF25" i="248"/>
  <c r="AE25" i="248"/>
  <c r="AD25" i="248"/>
  <c r="AC25" i="248"/>
  <c r="AB25" i="248"/>
  <c r="AA25" i="248"/>
  <c r="Z25" i="248"/>
  <c r="Y25" i="248"/>
  <c r="X25" i="248"/>
  <c r="W25" i="248"/>
  <c r="V25" i="248"/>
  <c r="U25" i="248"/>
  <c r="AS7" i="248"/>
  <c r="AR7" i="248"/>
  <c r="AQ7" i="248"/>
  <c r="AP7" i="248"/>
  <c r="AO7" i="248"/>
  <c r="AN7" i="248"/>
  <c r="AM7" i="248"/>
  <c r="AL7" i="248"/>
  <c r="AK7" i="248"/>
  <c r="AJ7" i="248"/>
  <c r="AI7" i="248"/>
  <c r="AH7" i="248"/>
  <c r="AG7" i="248"/>
  <c r="AF7" i="248"/>
  <c r="AE7" i="248"/>
  <c r="AD7" i="248"/>
  <c r="AC7" i="248"/>
  <c r="AB7" i="248"/>
  <c r="AA7" i="248"/>
  <c r="Z7" i="248"/>
  <c r="Y7" i="248"/>
  <c r="X7" i="248"/>
  <c r="W7" i="248"/>
  <c r="V7" i="248"/>
  <c r="U7" i="248"/>
  <c r="T37" i="2"/>
  <c r="H37" i="2"/>
  <c r="G37" i="2"/>
  <c r="F37" i="2"/>
  <c r="E37" i="2"/>
  <c r="D37" i="2"/>
  <c r="E43" i="260"/>
  <c r="C43" i="260"/>
  <c r="E42" i="260"/>
  <c r="C42" i="260"/>
  <c r="E41" i="260"/>
  <c r="C41" i="260"/>
  <c r="E40" i="260"/>
  <c r="C40" i="260"/>
  <c r="E39" i="260"/>
  <c r="C39" i="260"/>
  <c r="E38" i="260"/>
  <c r="C38" i="260"/>
  <c r="E37" i="260"/>
  <c r="C37" i="260"/>
  <c r="E36" i="260"/>
  <c r="C36" i="260"/>
  <c r="C35" i="260"/>
  <c r="C34" i="260"/>
  <c r="C33" i="260"/>
  <c r="C32" i="260"/>
  <c r="C31" i="260"/>
  <c r="C30" i="260"/>
  <c r="C29" i="260"/>
  <c r="C28" i="260"/>
  <c r="C27" i="260"/>
  <c r="H26" i="260"/>
  <c r="C26" i="260" s="1"/>
  <c r="H25" i="260"/>
  <c r="C25" i="260" s="1"/>
  <c r="H24" i="260"/>
  <c r="C24" i="260" s="1"/>
  <c r="H23" i="260"/>
  <c r="C23" i="260" s="1"/>
  <c r="J17" i="260"/>
  <c r="J16" i="260"/>
  <c r="J15" i="260"/>
  <c r="G13" i="260"/>
  <c r="F13" i="260"/>
  <c r="H12" i="260"/>
  <c r="F12" i="260" s="1"/>
  <c r="V37" i="2" s="1"/>
  <c r="F8" i="260"/>
  <c r="J19" i="260" s="1"/>
  <c r="AG37" i="2" l="1"/>
  <c r="AC37" i="2"/>
  <c r="W36" i="2"/>
  <c r="AH36" i="2"/>
  <c r="AI36" i="2" s="1"/>
  <c r="M37" i="2"/>
  <c r="F11" i="261"/>
  <c r="L36" i="2" s="1"/>
  <c r="I37" i="2"/>
  <c r="I25" i="248"/>
  <c r="K25" i="248" s="1"/>
  <c r="M25" i="248"/>
  <c r="M26" i="248" s="1"/>
  <c r="J13" i="260"/>
  <c r="F10" i="260"/>
  <c r="F9" i="260"/>
  <c r="G9" i="260" s="1"/>
  <c r="J18" i="260"/>
  <c r="J12" i="260"/>
  <c r="T38" i="2"/>
  <c r="G38" i="2"/>
  <c r="F38" i="2"/>
  <c r="E38" i="2"/>
  <c r="D38" i="2"/>
  <c r="E43" i="259"/>
  <c r="C43" i="259"/>
  <c r="E42" i="259"/>
  <c r="C42" i="259"/>
  <c r="E41" i="259"/>
  <c r="C41" i="259"/>
  <c r="E40" i="259"/>
  <c r="C40" i="259"/>
  <c r="E39" i="259"/>
  <c r="C39" i="259"/>
  <c r="E38" i="259"/>
  <c r="C38" i="259"/>
  <c r="E37" i="259"/>
  <c r="C37" i="259"/>
  <c r="E36" i="259"/>
  <c r="C36" i="259"/>
  <c r="E35" i="259"/>
  <c r="C35" i="259"/>
  <c r="E34" i="259"/>
  <c r="C34" i="259"/>
  <c r="E33" i="259"/>
  <c r="C33" i="259"/>
  <c r="E32" i="259"/>
  <c r="C32" i="259"/>
  <c r="E31" i="259"/>
  <c r="C31" i="259"/>
  <c r="C28" i="259"/>
  <c r="C27" i="259"/>
  <c r="C26" i="259"/>
  <c r="C25" i="259"/>
  <c r="O24" i="259"/>
  <c r="M24" i="259"/>
  <c r="O23" i="259"/>
  <c r="M23" i="259"/>
  <c r="J17" i="259"/>
  <c r="J16" i="259"/>
  <c r="J15" i="259"/>
  <c r="O11" i="259"/>
  <c r="O10" i="259"/>
  <c r="F7" i="259"/>
  <c r="H38" i="2" s="1"/>
  <c r="AC38" i="2" s="1"/>
  <c r="F11" i="260" l="1"/>
  <c r="L37" i="2" s="1"/>
  <c r="AG38" i="2"/>
  <c r="H24" i="259"/>
  <c r="C24" i="259" s="1"/>
  <c r="I9" i="260"/>
  <c r="K37" i="2"/>
  <c r="AH37" i="2"/>
  <c r="AI37" i="2" s="1"/>
  <c r="Y37" i="2"/>
  <c r="Z37" i="2" s="1"/>
  <c r="W37" i="2"/>
  <c r="H12" i="259"/>
  <c r="G13" i="259"/>
  <c r="H23" i="259"/>
  <c r="C23" i="259" s="1"/>
  <c r="F13" i="259"/>
  <c r="F8" i="259"/>
  <c r="I38" i="2" s="1"/>
  <c r="T39" i="2"/>
  <c r="G39" i="2"/>
  <c r="F39" i="2"/>
  <c r="E39" i="2"/>
  <c r="D39" i="2"/>
  <c r="K24" i="258"/>
  <c r="K25" i="258"/>
  <c r="K26" i="258"/>
  <c r="K27" i="258"/>
  <c r="K28" i="258"/>
  <c r="K29" i="258"/>
  <c r="E43" i="258"/>
  <c r="C43" i="258"/>
  <c r="E42" i="258"/>
  <c r="C42" i="258"/>
  <c r="E41" i="258"/>
  <c r="C41" i="258"/>
  <c r="E40" i="258"/>
  <c r="C40" i="258"/>
  <c r="E39" i="258"/>
  <c r="C39" i="258"/>
  <c r="C38" i="258"/>
  <c r="C37" i="258"/>
  <c r="C36" i="258"/>
  <c r="C35" i="258"/>
  <c r="C34" i="258"/>
  <c r="C33" i="258"/>
  <c r="C32" i="258"/>
  <c r="C31" i="258"/>
  <c r="C30" i="258"/>
  <c r="K23" i="258"/>
  <c r="J16" i="258"/>
  <c r="J15" i="258"/>
  <c r="F7" i="258"/>
  <c r="F18" i="258" s="1"/>
  <c r="J17" i="258" s="1"/>
  <c r="T40" i="2"/>
  <c r="H40" i="2"/>
  <c r="G40" i="2"/>
  <c r="F40" i="2"/>
  <c r="E40" i="2"/>
  <c r="D40" i="2"/>
  <c r="T41" i="2"/>
  <c r="H41" i="2"/>
  <c r="G41" i="2"/>
  <c r="F41" i="2"/>
  <c r="E41" i="2"/>
  <c r="D41" i="2"/>
  <c r="H29" i="257"/>
  <c r="C29" i="257" s="1"/>
  <c r="E43" i="257"/>
  <c r="C43" i="257"/>
  <c r="E42" i="257"/>
  <c r="C42" i="257"/>
  <c r="E41" i="257"/>
  <c r="C41" i="257"/>
  <c r="E40" i="257"/>
  <c r="C40" i="257"/>
  <c r="E39" i="257"/>
  <c r="C39" i="257"/>
  <c r="E38" i="257"/>
  <c r="C38" i="257"/>
  <c r="E37" i="257"/>
  <c r="C37" i="257"/>
  <c r="E36" i="257"/>
  <c r="C36" i="257"/>
  <c r="C35" i="257"/>
  <c r="C34" i="257"/>
  <c r="C33" i="257"/>
  <c r="C32" i="257"/>
  <c r="C31" i="257"/>
  <c r="C30" i="257"/>
  <c r="H28" i="257"/>
  <c r="C28" i="257" s="1"/>
  <c r="H27" i="257"/>
  <c r="C27" i="257" s="1"/>
  <c r="H26" i="257"/>
  <c r="C26" i="257" s="1"/>
  <c r="H25" i="257"/>
  <c r="C25" i="257" s="1"/>
  <c r="H24" i="257"/>
  <c r="C24" i="257" s="1"/>
  <c r="H23" i="257"/>
  <c r="C23" i="257" s="1"/>
  <c r="J17" i="257"/>
  <c r="J16" i="257"/>
  <c r="J15" i="257"/>
  <c r="G13" i="257"/>
  <c r="F13" i="257"/>
  <c r="H12" i="257"/>
  <c r="F12" i="257" s="1"/>
  <c r="V40" i="2" s="1"/>
  <c r="F8" i="257"/>
  <c r="F9" i="257" s="1"/>
  <c r="G9" i="257" s="1"/>
  <c r="I9" i="257" s="1"/>
  <c r="H25" i="256"/>
  <c r="C25" i="256" s="1"/>
  <c r="H26" i="256"/>
  <c r="C26" i="256" s="1"/>
  <c r="H27" i="256"/>
  <c r="C27" i="256" s="1"/>
  <c r="H28" i="256"/>
  <c r="C28" i="256" s="1"/>
  <c r="E43" i="256"/>
  <c r="C43" i="256"/>
  <c r="E42" i="256"/>
  <c r="C42" i="256"/>
  <c r="E41" i="256"/>
  <c r="C41" i="256"/>
  <c r="E40" i="256"/>
  <c r="C40" i="256"/>
  <c r="E39" i="256"/>
  <c r="C39" i="256"/>
  <c r="E38" i="256"/>
  <c r="C38" i="256"/>
  <c r="E37" i="256"/>
  <c r="C37" i="256"/>
  <c r="E36" i="256"/>
  <c r="C36" i="256"/>
  <c r="C35" i="256"/>
  <c r="C34" i="256"/>
  <c r="C33" i="256"/>
  <c r="C32" i="256"/>
  <c r="C31" i="256"/>
  <c r="C30" i="256"/>
  <c r="C29" i="256"/>
  <c r="H24" i="256"/>
  <c r="C24" i="256" s="1"/>
  <c r="H23" i="256"/>
  <c r="C23" i="256" s="1"/>
  <c r="J17" i="256"/>
  <c r="J16" i="256"/>
  <c r="J15" i="256"/>
  <c r="G13" i="256"/>
  <c r="F13" i="256"/>
  <c r="H12" i="256"/>
  <c r="M41" i="2" s="1"/>
  <c r="F8" i="256"/>
  <c r="J18" i="256" s="1"/>
  <c r="AG41" i="2" l="1"/>
  <c r="AC41" i="2"/>
  <c r="AG40" i="2"/>
  <c r="AC40" i="2"/>
  <c r="Y38" i="2"/>
  <c r="Z38" i="2" s="1"/>
  <c r="AH38" i="2"/>
  <c r="AI38" i="2" s="1"/>
  <c r="F12" i="259"/>
  <c r="M38" i="2"/>
  <c r="F12" i="256"/>
  <c r="J13" i="256" s="1"/>
  <c r="O12" i="259"/>
  <c r="F9" i="259"/>
  <c r="G9" i="259" s="1"/>
  <c r="J19" i="259"/>
  <c r="J18" i="259"/>
  <c r="J12" i="259"/>
  <c r="K40" i="2"/>
  <c r="H39" i="2"/>
  <c r="AC39" i="2" s="1"/>
  <c r="I41" i="2"/>
  <c r="AH41" i="2" s="1"/>
  <c r="AI41" i="2" s="1"/>
  <c r="F13" i="258"/>
  <c r="P8" i="258"/>
  <c r="H29" i="258"/>
  <c r="C29" i="258" s="1"/>
  <c r="H28" i="258"/>
  <c r="C28" i="258" s="1"/>
  <c r="H25" i="258"/>
  <c r="C25" i="258" s="1"/>
  <c r="H26" i="258"/>
  <c r="C26" i="258" s="1"/>
  <c r="G13" i="258"/>
  <c r="H23" i="258"/>
  <c r="C23" i="258" s="1"/>
  <c r="H27" i="258"/>
  <c r="C27" i="258" s="1"/>
  <c r="H24" i="258"/>
  <c r="C24" i="258" s="1"/>
  <c r="F8" i="258"/>
  <c r="H12" i="258"/>
  <c r="I40" i="2"/>
  <c r="Y40" i="2" s="1"/>
  <c r="Z40" i="2" s="1"/>
  <c r="J18" i="257"/>
  <c r="M40" i="2"/>
  <c r="F10" i="257"/>
  <c r="J13" i="257"/>
  <c r="J12" i="257"/>
  <c r="J19" i="257"/>
  <c r="J12" i="256"/>
  <c r="J19" i="256"/>
  <c r="F9" i="256"/>
  <c r="G9" i="256" s="1"/>
  <c r="T42" i="2"/>
  <c r="H42" i="2"/>
  <c r="AC42" i="2" s="1"/>
  <c r="G42" i="2"/>
  <c r="F42" i="2"/>
  <c r="E42" i="2"/>
  <c r="D42" i="2"/>
  <c r="T43" i="2"/>
  <c r="H43" i="2"/>
  <c r="G43" i="2"/>
  <c r="F43" i="2"/>
  <c r="E43" i="2"/>
  <c r="D43" i="2"/>
  <c r="E43" i="255"/>
  <c r="C43" i="255"/>
  <c r="E42" i="255"/>
  <c r="C42" i="255"/>
  <c r="E41" i="255"/>
  <c r="C41" i="255"/>
  <c r="E40" i="255"/>
  <c r="C40" i="255"/>
  <c r="E39" i="255"/>
  <c r="C39" i="255"/>
  <c r="E38" i="255"/>
  <c r="C38" i="255"/>
  <c r="E37" i="255"/>
  <c r="C37" i="255"/>
  <c r="E36" i="255"/>
  <c r="C36" i="255"/>
  <c r="C35" i="255"/>
  <c r="C34" i="255"/>
  <c r="C33" i="255"/>
  <c r="C32" i="255"/>
  <c r="C31" i="255"/>
  <c r="C30" i="255"/>
  <c r="C29" i="255"/>
  <c r="C26" i="255"/>
  <c r="H24" i="255"/>
  <c r="C24" i="255" s="1"/>
  <c r="H23" i="255"/>
  <c r="C23" i="255" s="1"/>
  <c r="J17" i="255"/>
  <c r="J16" i="255"/>
  <c r="J15" i="255"/>
  <c r="G13" i="255"/>
  <c r="F13" i="255"/>
  <c r="H12" i="255"/>
  <c r="F8" i="255"/>
  <c r="H27" i="254"/>
  <c r="E43" i="254"/>
  <c r="C43" i="254"/>
  <c r="E42" i="254"/>
  <c r="C42" i="254"/>
  <c r="E41" i="254"/>
  <c r="C41" i="254"/>
  <c r="E40" i="254"/>
  <c r="C40" i="254"/>
  <c r="E39" i="254"/>
  <c r="C39" i="254"/>
  <c r="E38" i="254"/>
  <c r="C38" i="254"/>
  <c r="E37" i="254"/>
  <c r="C37" i="254"/>
  <c r="E36" i="254"/>
  <c r="C36" i="254"/>
  <c r="C35" i="254"/>
  <c r="C34" i="254"/>
  <c r="C33" i="254"/>
  <c r="C32" i="254"/>
  <c r="C31" i="254"/>
  <c r="C30" i="254"/>
  <c r="C29" i="254"/>
  <c r="H26" i="254"/>
  <c r="C26" i="254" s="1"/>
  <c r="H25" i="254"/>
  <c r="H24" i="254"/>
  <c r="C24" i="254" s="1"/>
  <c r="H23" i="254"/>
  <c r="C23" i="254" s="1"/>
  <c r="J17" i="254"/>
  <c r="J16" i="254"/>
  <c r="J15" i="254"/>
  <c r="G13" i="254"/>
  <c r="F13" i="254"/>
  <c r="H12" i="254"/>
  <c r="F12" i="254" s="1"/>
  <c r="V43" i="2" s="1"/>
  <c r="F8" i="254"/>
  <c r="F9" i="254" s="1"/>
  <c r="G9" i="254" s="1"/>
  <c r="I9" i="254" s="1"/>
  <c r="AG43" i="2" l="1"/>
  <c r="AC43" i="2"/>
  <c r="Y41" i="2"/>
  <c r="Z41" i="2" s="1"/>
  <c r="F11" i="256"/>
  <c r="L41" i="2" s="1"/>
  <c r="AG39" i="2"/>
  <c r="F10" i="256"/>
  <c r="V41" i="2"/>
  <c r="W41" i="2" s="1"/>
  <c r="I9" i="259"/>
  <c r="K38" i="2"/>
  <c r="J13" i="259"/>
  <c r="F11" i="259" s="1"/>
  <c r="L38" i="2" s="1"/>
  <c r="V38" i="2"/>
  <c r="W38" i="2" s="1"/>
  <c r="F10" i="259"/>
  <c r="W40" i="2"/>
  <c r="F12" i="258"/>
  <c r="F10" i="258" s="1"/>
  <c r="M39" i="2"/>
  <c r="J12" i="258"/>
  <c r="F11" i="258" s="1"/>
  <c r="L39" i="2" s="1"/>
  <c r="I39" i="2"/>
  <c r="AH40" i="2"/>
  <c r="AI40" i="2" s="1"/>
  <c r="J18" i="258"/>
  <c r="F9" i="258"/>
  <c r="G9" i="258" s="1"/>
  <c r="J19" i="258"/>
  <c r="M42" i="2"/>
  <c r="I9" i="256"/>
  <c r="K41" i="2"/>
  <c r="J18" i="255"/>
  <c r="F11" i="257"/>
  <c r="L40" i="2" s="1"/>
  <c r="F12" i="255"/>
  <c r="V42" i="2" s="1"/>
  <c r="I42" i="2"/>
  <c r="M43" i="2"/>
  <c r="K43" i="2"/>
  <c r="I43" i="2"/>
  <c r="AG42" i="2"/>
  <c r="F9" i="255"/>
  <c r="G9" i="255" s="1"/>
  <c r="J12" i="255"/>
  <c r="F11" i="255" s="1"/>
  <c r="J19" i="255"/>
  <c r="J18" i="254"/>
  <c r="F10" i="254"/>
  <c r="J13" i="254"/>
  <c r="J12" i="254"/>
  <c r="J19" i="254"/>
  <c r="T44" i="2"/>
  <c r="H44" i="2"/>
  <c r="G44" i="2"/>
  <c r="F44" i="2"/>
  <c r="E44" i="2"/>
  <c r="D44" i="2"/>
  <c r="H25" i="253"/>
  <c r="H26" i="253"/>
  <c r="C26" i="253" s="1"/>
  <c r="E43" i="253"/>
  <c r="C43" i="253"/>
  <c r="E42" i="253"/>
  <c r="C42" i="253"/>
  <c r="E41" i="253"/>
  <c r="C41" i="253"/>
  <c r="E40" i="253"/>
  <c r="C40" i="253"/>
  <c r="E39" i="253"/>
  <c r="C39" i="253"/>
  <c r="E38" i="253"/>
  <c r="C38" i="253"/>
  <c r="E37" i="253"/>
  <c r="C37" i="253"/>
  <c r="E36" i="253"/>
  <c r="C36" i="253"/>
  <c r="C35" i="253"/>
  <c r="C34" i="253"/>
  <c r="C33" i="253"/>
  <c r="C32" i="253"/>
  <c r="C31" i="253"/>
  <c r="C30" i="253"/>
  <c r="C29" i="253"/>
  <c r="H24" i="253"/>
  <c r="C24" i="253" s="1"/>
  <c r="H23" i="253"/>
  <c r="C23" i="253" s="1"/>
  <c r="J17" i="253"/>
  <c r="J16" i="253"/>
  <c r="J15" i="253"/>
  <c r="G13" i="253"/>
  <c r="F13" i="253"/>
  <c r="H12" i="253"/>
  <c r="F12" i="253" s="1"/>
  <c r="F8" i="253"/>
  <c r="J18" i="253" s="1"/>
  <c r="AG44" i="2" l="1"/>
  <c r="AC44" i="2"/>
  <c r="F10" i="255"/>
  <c r="I9" i="258"/>
  <c r="K39" i="2"/>
  <c r="J13" i="258"/>
  <c r="V39" i="2"/>
  <c r="W39" i="2" s="1"/>
  <c r="L42" i="2"/>
  <c r="AH39" i="2"/>
  <c r="AI39" i="2" s="1"/>
  <c r="Y39" i="2"/>
  <c r="Z39" i="2" s="1"/>
  <c r="J13" i="255"/>
  <c r="W42" i="2"/>
  <c r="I9" i="255"/>
  <c r="K42" i="2"/>
  <c r="AH42" i="2"/>
  <c r="AI42" i="2" s="1"/>
  <c r="Y42" i="2"/>
  <c r="Z42" i="2" s="1"/>
  <c r="W43" i="2"/>
  <c r="Y43" i="2"/>
  <c r="Z43" i="2" s="1"/>
  <c r="AH43" i="2"/>
  <c r="AI43" i="2" s="1"/>
  <c r="F11" i="254"/>
  <c r="L43" i="2" s="1"/>
  <c r="J13" i="253"/>
  <c r="V44" i="2"/>
  <c r="M44" i="2"/>
  <c r="I44" i="2"/>
  <c r="F10" i="253"/>
  <c r="J12" i="253"/>
  <c r="J19" i="253"/>
  <c r="F9" i="253"/>
  <c r="G9" i="253" s="1"/>
  <c r="T45" i="2"/>
  <c r="G45" i="2"/>
  <c r="F45" i="2"/>
  <c r="E45" i="2"/>
  <c r="D45" i="2"/>
  <c r="E43" i="252"/>
  <c r="C43" i="252"/>
  <c r="E42" i="252"/>
  <c r="C42" i="252"/>
  <c r="E41" i="252"/>
  <c r="C41" i="252"/>
  <c r="E40" i="252"/>
  <c r="C40" i="252"/>
  <c r="E39" i="252"/>
  <c r="C39" i="252"/>
  <c r="E38" i="252"/>
  <c r="C38" i="252"/>
  <c r="E37" i="252"/>
  <c r="C37" i="252"/>
  <c r="E36" i="252"/>
  <c r="C36" i="252"/>
  <c r="E35" i="252"/>
  <c r="C35" i="252"/>
  <c r="E34" i="252"/>
  <c r="C34" i="252"/>
  <c r="E33" i="252"/>
  <c r="C33" i="252"/>
  <c r="E32" i="252"/>
  <c r="C32" i="252"/>
  <c r="E31" i="252"/>
  <c r="C31" i="252"/>
  <c r="C27" i="252"/>
  <c r="C26" i="252"/>
  <c r="O25" i="252"/>
  <c r="M25" i="252"/>
  <c r="C28" i="252" s="1"/>
  <c r="O24" i="252"/>
  <c r="M24" i="252"/>
  <c r="O23" i="252"/>
  <c r="M23" i="252"/>
  <c r="J17" i="252"/>
  <c r="J16" i="252"/>
  <c r="J15" i="252"/>
  <c r="O11" i="252"/>
  <c r="O10" i="252"/>
  <c r="F7" i="252"/>
  <c r="H45" i="2" s="1"/>
  <c r="AG45" i="2" l="1"/>
  <c r="AC45" i="2"/>
  <c r="F13" i="252"/>
  <c r="F11" i="253"/>
  <c r="L44" i="2" s="1"/>
  <c r="H23" i="252"/>
  <c r="C23" i="252" s="1"/>
  <c r="W44" i="2"/>
  <c r="Y44" i="2"/>
  <c r="Z44" i="2" s="1"/>
  <c r="AH44" i="2"/>
  <c r="AI44" i="2" s="1"/>
  <c r="I9" i="253"/>
  <c r="K44" i="2"/>
  <c r="H24" i="252"/>
  <c r="C24" i="252" s="1"/>
  <c r="G13" i="252"/>
  <c r="F8" i="252"/>
  <c r="H12" i="252"/>
  <c r="H25" i="252"/>
  <c r="C25" i="252" s="1"/>
  <c r="T46" i="2"/>
  <c r="G46" i="2"/>
  <c r="F46" i="2"/>
  <c r="E46" i="2"/>
  <c r="D46" i="2"/>
  <c r="E43" i="251"/>
  <c r="C43" i="251"/>
  <c r="E42" i="251"/>
  <c r="C42" i="251"/>
  <c r="E41" i="251"/>
  <c r="C41" i="251"/>
  <c r="E40" i="251"/>
  <c r="C40" i="251"/>
  <c r="E39" i="251"/>
  <c r="C39" i="251"/>
  <c r="C38" i="251"/>
  <c r="C37" i="251"/>
  <c r="C36" i="251"/>
  <c r="C35" i="251"/>
  <c r="C34" i="251"/>
  <c r="C33" i="251"/>
  <c r="C32" i="251"/>
  <c r="C31" i="251"/>
  <c r="C30" i="251"/>
  <c r="C29" i="251"/>
  <c r="K24" i="251"/>
  <c r="K23" i="251"/>
  <c r="C25" i="251" s="1"/>
  <c r="J16" i="251"/>
  <c r="J15" i="251"/>
  <c r="F7" i="251"/>
  <c r="F18" i="251" s="1"/>
  <c r="J17" i="251" s="1"/>
  <c r="F12" i="252" l="1"/>
  <c r="F10" i="252" s="1"/>
  <c r="M45" i="2"/>
  <c r="J19" i="252"/>
  <c r="I45" i="2"/>
  <c r="J12" i="252"/>
  <c r="F9" i="252"/>
  <c r="G9" i="252" s="1"/>
  <c r="O12" i="252"/>
  <c r="J18" i="252"/>
  <c r="H46" i="2"/>
  <c r="C27" i="251"/>
  <c r="F13" i="251"/>
  <c r="H24" i="251"/>
  <c r="C24" i="251" s="1"/>
  <c r="F8" i="251"/>
  <c r="I46" i="2" s="1"/>
  <c r="C28" i="251"/>
  <c r="H23" i="251"/>
  <c r="C23" i="251" s="1"/>
  <c r="P8" i="251"/>
  <c r="C26" i="251"/>
  <c r="G13" i="251"/>
  <c r="H12" i="251"/>
  <c r="T47" i="2"/>
  <c r="G47" i="2"/>
  <c r="F47" i="2"/>
  <c r="E47" i="2"/>
  <c r="D47" i="2"/>
  <c r="M27" i="250"/>
  <c r="O28" i="250"/>
  <c r="M28" i="250"/>
  <c r="O27" i="250"/>
  <c r="O26" i="250"/>
  <c r="M26" i="250"/>
  <c r="O25" i="250"/>
  <c r="M25" i="250"/>
  <c r="E43" i="250"/>
  <c r="C43" i="250"/>
  <c r="E42" i="250"/>
  <c r="C42" i="250"/>
  <c r="E41" i="250"/>
  <c r="C41" i="250"/>
  <c r="E40" i="250"/>
  <c r="C40" i="250"/>
  <c r="E39" i="250"/>
  <c r="C39" i="250"/>
  <c r="E38" i="250"/>
  <c r="C38" i="250"/>
  <c r="E37" i="250"/>
  <c r="C37" i="250"/>
  <c r="E36" i="250"/>
  <c r="C36" i="250"/>
  <c r="E35" i="250"/>
  <c r="C35" i="250"/>
  <c r="E34" i="250"/>
  <c r="C34" i="250"/>
  <c r="E33" i="250"/>
  <c r="C33" i="250"/>
  <c r="E32" i="250"/>
  <c r="C32" i="250"/>
  <c r="E31" i="250"/>
  <c r="C31" i="250"/>
  <c r="O24" i="250"/>
  <c r="M24" i="250"/>
  <c r="O23" i="250"/>
  <c r="M23" i="250"/>
  <c r="J17" i="250"/>
  <c r="J16" i="250"/>
  <c r="J15" i="250"/>
  <c r="O11" i="250"/>
  <c r="O10" i="250"/>
  <c r="F7" i="250"/>
  <c r="H47" i="2" s="1"/>
  <c r="AG47" i="2" l="1"/>
  <c r="AC47" i="2"/>
  <c r="AG46" i="2"/>
  <c r="AC46" i="2"/>
  <c r="J12" i="251"/>
  <c r="I9" i="252"/>
  <c r="K45" i="2"/>
  <c r="J19" i="251"/>
  <c r="AH45" i="2"/>
  <c r="AI45" i="2" s="1"/>
  <c r="Y45" i="2"/>
  <c r="Z45" i="2" s="1"/>
  <c r="J13" i="252"/>
  <c r="F11" i="252" s="1"/>
  <c r="L45" i="2" s="1"/>
  <c r="V45" i="2"/>
  <c r="W45" i="2" s="1"/>
  <c r="F12" i="251"/>
  <c r="F10" i="251" s="1"/>
  <c r="M46" i="2"/>
  <c r="J18" i="251"/>
  <c r="F9" i="251"/>
  <c r="G9" i="251" s="1"/>
  <c r="AH46" i="2"/>
  <c r="AI46" i="2" s="1"/>
  <c r="Y46" i="2"/>
  <c r="Z46" i="2" s="1"/>
  <c r="H26" i="250"/>
  <c r="C26" i="250" s="1"/>
  <c r="H28" i="250"/>
  <c r="C28" i="250" s="1"/>
  <c r="H27" i="250"/>
  <c r="C27" i="250" s="1"/>
  <c r="H25" i="250"/>
  <c r="C25" i="250" s="1"/>
  <c r="G13" i="250"/>
  <c r="H23" i="250"/>
  <c r="C23" i="250" s="1"/>
  <c r="F8" i="250"/>
  <c r="H12" i="250"/>
  <c r="H24" i="250"/>
  <c r="C24" i="250" s="1"/>
  <c r="F13" i="250"/>
  <c r="T48" i="2"/>
  <c r="G48" i="2"/>
  <c r="F48" i="2"/>
  <c r="E48" i="2"/>
  <c r="D48" i="2"/>
  <c r="K28" i="249"/>
  <c r="K27" i="249"/>
  <c r="K26" i="249"/>
  <c r="E43" i="249"/>
  <c r="C43" i="249"/>
  <c r="E42" i="249"/>
  <c r="C42" i="249"/>
  <c r="E41" i="249"/>
  <c r="C41" i="249"/>
  <c r="E40" i="249"/>
  <c r="C40" i="249"/>
  <c r="E39" i="249"/>
  <c r="C39" i="249"/>
  <c r="C38" i="249"/>
  <c r="C37" i="249"/>
  <c r="C36" i="249"/>
  <c r="C35" i="249"/>
  <c r="C34" i="249"/>
  <c r="C33" i="249"/>
  <c r="C32" i="249"/>
  <c r="C31" i="249"/>
  <c r="C30" i="249"/>
  <c r="C29" i="249"/>
  <c r="K25" i="249"/>
  <c r="K24" i="249"/>
  <c r="K23" i="249"/>
  <c r="J16" i="249"/>
  <c r="J15" i="249"/>
  <c r="F7" i="249"/>
  <c r="F18" i="249" s="1"/>
  <c r="J17" i="249" s="1"/>
  <c r="J13" i="251" l="1"/>
  <c r="F11" i="251" s="1"/>
  <c r="L46" i="2" s="1"/>
  <c r="V46" i="2"/>
  <c r="W46" i="2" s="1"/>
  <c r="I9" i="251"/>
  <c r="K46" i="2"/>
  <c r="F12" i="250"/>
  <c r="F10" i="250" s="1"/>
  <c r="M47" i="2"/>
  <c r="J18" i="250"/>
  <c r="I47" i="2"/>
  <c r="O12" i="250"/>
  <c r="J12" i="250"/>
  <c r="J19" i="250"/>
  <c r="F9" i="250"/>
  <c r="G9" i="250" s="1"/>
  <c r="H48" i="2"/>
  <c r="AC48" i="2" s="1"/>
  <c r="H27" i="249"/>
  <c r="C27" i="249" s="1"/>
  <c r="F8" i="249"/>
  <c r="J18" i="249" s="1"/>
  <c r="H28" i="249"/>
  <c r="C28" i="249" s="1"/>
  <c r="H26" i="249"/>
  <c r="C26" i="249" s="1"/>
  <c r="H23" i="249"/>
  <c r="C23" i="249" s="1"/>
  <c r="H12" i="249"/>
  <c r="G13" i="249"/>
  <c r="H24" i="249"/>
  <c r="C24" i="249" s="1"/>
  <c r="P8" i="249"/>
  <c r="F13" i="249"/>
  <c r="H25" i="249"/>
  <c r="C25" i="249" s="1"/>
  <c r="F49" i="248"/>
  <c r="J49" i="248"/>
  <c r="J12" i="249" l="1"/>
  <c r="I9" i="250"/>
  <c r="K47" i="2"/>
  <c r="AH47" i="2"/>
  <c r="AI47" i="2" s="1"/>
  <c r="Y47" i="2"/>
  <c r="Z47" i="2" s="1"/>
  <c r="J13" i="250"/>
  <c r="F11" i="250" s="1"/>
  <c r="L47" i="2" s="1"/>
  <c r="V47" i="2"/>
  <c r="W47" i="2" s="1"/>
  <c r="F12" i="249"/>
  <c r="M48" i="2"/>
  <c r="J19" i="249"/>
  <c r="I48" i="2"/>
  <c r="AG48" i="2"/>
  <c r="F9" i="249"/>
  <c r="G9" i="249" s="1"/>
  <c r="AS32" i="248"/>
  <c r="AR32" i="248"/>
  <c r="AQ32" i="248"/>
  <c r="AP32" i="248"/>
  <c r="AO32" i="248"/>
  <c r="AN32" i="248"/>
  <c r="AM32" i="248"/>
  <c r="AL32" i="248"/>
  <c r="AK32" i="248"/>
  <c r="AJ32" i="248"/>
  <c r="AI32" i="248"/>
  <c r="AH32" i="248"/>
  <c r="AG32" i="248"/>
  <c r="AF32" i="248"/>
  <c r="AE32" i="248"/>
  <c r="AD32" i="248"/>
  <c r="AC32" i="248"/>
  <c r="AB32" i="248"/>
  <c r="AA32" i="248"/>
  <c r="Z32" i="248"/>
  <c r="Y32" i="248"/>
  <c r="X32" i="248"/>
  <c r="W32" i="248"/>
  <c r="V32" i="248"/>
  <c r="U32" i="248"/>
  <c r="AS48" i="248"/>
  <c r="AR48" i="248"/>
  <c r="AQ48" i="248"/>
  <c r="AP48" i="248"/>
  <c r="AO48" i="248"/>
  <c r="AN48" i="248"/>
  <c r="AM48" i="248"/>
  <c r="AL48" i="248"/>
  <c r="AK48" i="248"/>
  <c r="AJ48" i="248"/>
  <c r="AI48" i="248"/>
  <c r="AH48" i="248"/>
  <c r="AG48" i="248"/>
  <c r="AF48" i="248"/>
  <c r="AE48" i="248"/>
  <c r="AD48" i="248"/>
  <c r="AC48" i="248"/>
  <c r="AB48" i="248"/>
  <c r="AA48" i="248"/>
  <c r="Z48" i="248"/>
  <c r="Y48" i="248"/>
  <c r="X48" i="248"/>
  <c r="W48" i="248"/>
  <c r="V48" i="248"/>
  <c r="U48" i="248"/>
  <c r="AS47" i="248"/>
  <c r="AR47" i="248"/>
  <c r="AQ47" i="248"/>
  <c r="AP47" i="248"/>
  <c r="AO47" i="248"/>
  <c r="AN47" i="248"/>
  <c r="AM47" i="248"/>
  <c r="AL47" i="248"/>
  <c r="AK47" i="248"/>
  <c r="AJ47" i="248"/>
  <c r="AI47" i="248"/>
  <c r="AH47" i="248"/>
  <c r="AG47" i="248"/>
  <c r="AF47" i="248"/>
  <c r="AE47" i="248"/>
  <c r="AD47" i="248"/>
  <c r="AC47" i="248"/>
  <c r="AB47" i="248"/>
  <c r="AA47" i="248"/>
  <c r="Z47" i="248"/>
  <c r="Y47" i="248"/>
  <c r="X47" i="248"/>
  <c r="W47" i="248"/>
  <c r="V47" i="248"/>
  <c r="U47" i="248"/>
  <c r="AS46" i="248"/>
  <c r="AR46" i="248"/>
  <c r="AQ46" i="248"/>
  <c r="AP46" i="248"/>
  <c r="AO46" i="248"/>
  <c r="AN46" i="248"/>
  <c r="AM46" i="248"/>
  <c r="AL46" i="248"/>
  <c r="AK46" i="248"/>
  <c r="AJ46" i="248"/>
  <c r="AI46" i="248"/>
  <c r="AH46" i="248"/>
  <c r="AG46" i="248"/>
  <c r="AF46" i="248"/>
  <c r="AE46" i="248"/>
  <c r="AD46" i="248"/>
  <c r="AC46" i="248"/>
  <c r="AB46" i="248"/>
  <c r="AA46" i="248"/>
  <c r="Z46" i="248"/>
  <c r="Y46" i="248"/>
  <c r="X46" i="248"/>
  <c r="W46" i="248"/>
  <c r="V46" i="248"/>
  <c r="U46" i="248"/>
  <c r="AS45" i="248"/>
  <c r="AR45" i="248"/>
  <c r="AQ45" i="248"/>
  <c r="AP45" i="248"/>
  <c r="AO45" i="248"/>
  <c r="AN45" i="248"/>
  <c r="AM45" i="248"/>
  <c r="AL45" i="248"/>
  <c r="AK45" i="248"/>
  <c r="AJ45" i="248"/>
  <c r="AI45" i="248"/>
  <c r="AH45" i="248"/>
  <c r="AG45" i="248"/>
  <c r="AF45" i="248"/>
  <c r="AE45" i="248"/>
  <c r="AD45" i="248"/>
  <c r="AC45" i="248"/>
  <c r="AB45" i="248"/>
  <c r="AA45" i="248"/>
  <c r="Z45" i="248"/>
  <c r="Y45" i="248"/>
  <c r="X45" i="248"/>
  <c r="W45" i="248"/>
  <c r="V45" i="248"/>
  <c r="U45" i="248"/>
  <c r="AS44" i="248"/>
  <c r="AR44" i="248"/>
  <c r="AQ44" i="248"/>
  <c r="AP44" i="248"/>
  <c r="AO44" i="248"/>
  <c r="AN44" i="248"/>
  <c r="AM44" i="248"/>
  <c r="AL44" i="248"/>
  <c r="AK44" i="248"/>
  <c r="AJ44" i="248"/>
  <c r="AI44" i="248"/>
  <c r="AH44" i="248"/>
  <c r="AG44" i="248"/>
  <c r="AF44" i="248"/>
  <c r="AE44" i="248"/>
  <c r="AD44" i="248"/>
  <c r="AC44" i="248"/>
  <c r="AB44" i="248"/>
  <c r="AA44" i="248"/>
  <c r="Z44" i="248"/>
  <c r="Y44" i="248"/>
  <c r="X44" i="248"/>
  <c r="W44" i="248"/>
  <c r="V44" i="248"/>
  <c r="U44" i="248"/>
  <c r="AS43" i="248"/>
  <c r="AR43" i="248"/>
  <c r="AQ43" i="248"/>
  <c r="AP43" i="248"/>
  <c r="AO43" i="248"/>
  <c r="AN43" i="248"/>
  <c r="AM43" i="248"/>
  <c r="AL43" i="248"/>
  <c r="AK43" i="248"/>
  <c r="AJ43" i="248"/>
  <c r="AI43" i="248"/>
  <c r="AH43" i="248"/>
  <c r="AG43" i="248"/>
  <c r="AF43" i="248"/>
  <c r="AE43" i="248"/>
  <c r="AD43" i="248"/>
  <c r="AC43" i="248"/>
  <c r="AB43" i="248"/>
  <c r="AA43" i="248"/>
  <c r="Z43" i="248"/>
  <c r="Y43" i="248"/>
  <c r="X43" i="248"/>
  <c r="W43" i="248"/>
  <c r="V43" i="248"/>
  <c r="U43" i="248"/>
  <c r="AS42" i="248"/>
  <c r="AR42" i="248"/>
  <c r="AQ42" i="248"/>
  <c r="AP42" i="248"/>
  <c r="AO42" i="248"/>
  <c r="AN42" i="248"/>
  <c r="AM42" i="248"/>
  <c r="AL42" i="248"/>
  <c r="AK42" i="248"/>
  <c r="AJ42" i="248"/>
  <c r="AI42" i="248"/>
  <c r="AH42" i="248"/>
  <c r="AG42" i="248"/>
  <c r="AF42" i="248"/>
  <c r="AE42" i="248"/>
  <c r="AD42" i="248"/>
  <c r="AC42" i="248"/>
  <c r="AB42" i="248"/>
  <c r="AA42" i="248"/>
  <c r="Z42" i="248"/>
  <c r="Y42" i="248"/>
  <c r="X42" i="248"/>
  <c r="W42" i="248"/>
  <c r="V42" i="248"/>
  <c r="U42" i="248"/>
  <c r="AS41" i="248"/>
  <c r="AR41" i="248"/>
  <c r="AQ41" i="248"/>
  <c r="AP41" i="248"/>
  <c r="AO41" i="248"/>
  <c r="AN41" i="248"/>
  <c r="AM41" i="248"/>
  <c r="AL41" i="248"/>
  <c r="AK41" i="248"/>
  <c r="AJ41" i="248"/>
  <c r="AI41" i="248"/>
  <c r="AH41" i="248"/>
  <c r="AG41" i="248"/>
  <c r="AF41" i="248"/>
  <c r="AE41" i="248"/>
  <c r="AD41" i="248"/>
  <c r="AC41" i="248"/>
  <c r="AB41" i="248"/>
  <c r="AA41" i="248"/>
  <c r="Z41" i="248"/>
  <c r="Y41" i="248"/>
  <c r="X41" i="248"/>
  <c r="W41" i="248"/>
  <c r="V41" i="248"/>
  <c r="U41" i="248"/>
  <c r="AS40" i="248"/>
  <c r="AR40" i="248"/>
  <c r="AQ40" i="248"/>
  <c r="AP40" i="248"/>
  <c r="AO40" i="248"/>
  <c r="AN40" i="248"/>
  <c r="AM40" i="248"/>
  <c r="AL40" i="248"/>
  <c r="AK40" i="248"/>
  <c r="AJ40" i="248"/>
  <c r="AI40" i="248"/>
  <c r="AH40" i="248"/>
  <c r="AG40" i="248"/>
  <c r="AF40" i="248"/>
  <c r="AE40" i="248"/>
  <c r="AD40" i="248"/>
  <c r="AC40" i="248"/>
  <c r="AB40" i="248"/>
  <c r="AA40" i="248"/>
  <c r="Z40" i="248"/>
  <c r="Y40" i="248"/>
  <c r="X40" i="248"/>
  <c r="W40" i="248"/>
  <c r="V40" i="248"/>
  <c r="U40" i="248"/>
  <c r="AS39" i="248"/>
  <c r="AR39" i="248"/>
  <c r="AQ39" i="248"/>
  <c r="AP39" i="248"/>
  <c r="AO39" i="248"/>
  <c r="AN39" i="248"/>
  <c r="AM39" i="248"/>
  <c r="AL39" i="248"/>
  <c r="AK39" i="248"/>
  <c r="AJ39" i="248"/>
  <c r="AI39" i="248"/>
  <c r="AH39" i="248"/>
  <c r="AG39" i="248"/>
  <c r="AF39" i="248"/>
  <c r="AE39" i="248"/>
  <c r="AD39" i="248"/>
  <c r="AC39" i="248"/>
  <c r="AB39" i="248"/>
  <c r="AA39" i="248"/>
  <c r="Z39" i="248"/>
  <c r="Y39" i="248"/>
  <c r="X39" i="248"/>
  <c r="W39" i="248"/>
  <c r="V39" i="248"/>
  <c r="U39" i="248"/>
  <c r="AS38" i="248"/>
  <c r="AR38" i="248"/>
  <c r="AQ38" i="248"/>
  <c r="AP38" i="248"/>
  <c r="AO38" i="248"/>
  <c r="AN38" i="248"/>
  <c r="AM38" i="248"/>
  <c r="AL38" i="248"/>
  <c r="AK38" i="248"/>
  <c r="AJ38" i="248"/>
  <c r="AI38" i="248"/>
  <c r="AH38" i="248"/>
  <c r="AG38" i="248"/>
  <c r="AF38" i="248"/>
  <c r="AE38" i="248"/>
  <c r="AD38" i="248"/>
  <c r="AC38" i="248"/>
  <c r="AB38" i="248"/>
  <c r="AA38" i="248"/>
  <c r="Z38" i="248"/>
  <c r="Y38" i="248"/>
  <c r="X38" i="248"/>
  <c r="W38" i="248"/>
  <c r="V38" i="248"/>
  <c r="U38" i="248"/>
  <c r="AS37" i="248"/>
  <c r="AR37" i="248"/>
  <c r="AQ37" i="248"/>
  <c r="AP37" i="248"/>
  <c r="AO37" i="248"/>
  <c r="AN37" i="248"/>
  <c r="AM37" i="248"/>
  <c r="AL37" i="248"/>
  <c r="AK37" i="248"/>
  <c r="AJ37" i="248"/>
  <c r="AI37" i="248"/>
  <c r="AH37" i="248"/>
  <c r="AG37" i="248"/>
  <c r="AF37" i="248"/>
  <c r="AE37" i="248"/>
  <c r="AD37" i="248"/>
  <c r="AC37" i="248"/>
  <c r="AB37" i="248"/>
  <c r="AA37" i="248"/>
  <c r="Z37" i="248"/>
  <c r="Y37" i="248"/>
  <c r="X37" i="248"/>
  <c r="W37" i="248"/>
  <c r="V37" i="248"/>
  <c r="U37" i="248"/>
  <c r="AS36" i="248"/>
  <c r="AR36" i="248"/>
  <c r="AQ36" i="248"/>
  <c r="AP36" i="248"/>
  <c r="AO36" i="248"/>
  <c r="AN36" i="248"/>
  <c r="AM36" i="248"/>
  <c r="AL36" i="248"/>
  <c r="AK36" i="248"/>
  <c r="AJ36" i="248"/>
  <c r="AI36" i="248"/>
  <c r="AH36" i="248"/>
  <c r="AG36" i="248"/>
  <c r="AF36" i="248"/>
  <c r="AE36" i="248"/>
  <c r="AD36" i="248"/>
  <c r="AC36" i="248"/>
  <c r="AB36" i="248"/>
  <c r="AA36" i="248"/>
  <c r="Z36" i="248"/>
  <c r="Y36" i="248"/>
  <c r="X36" i="248"/>
  <c r="W36" i="248"/>
  <c r="V36" i="248"/>
  <c r="U36" i="248"/>
  <c r="AS35" i="248"/>
  <c r="AR35" i="248"/>
  <c r="AQ35" i="248"/>
  <c r="AP35" i="248"/>
  <c r="AO35" i="248"/>
  <c r="AN35" i="248"/>
  <c r="AM35" i="248"/>
  <c r="AL35" i="248"/>
  <c r="AK35" i="248"/>
  <c r="AJ35" i="248"/>
  <c r="AI35" i="248"/>
  <c r="AH35" i="248"/>
  <c r="AG35" i="248"/>
  <c r="AF35" i="248"/>
  <c r="AE35" i="248"/>
  <c r="AD35" i="248"/>
  <c r="AC35" i="248"/>
  <c r="AB35" i="248"/>
  <c r="AA35" i="248"/>
  <c r="Z35" i="248"/>
  <c r="Y35" i="248"/>
  <c r="X35" i="248"/>
  <c r="W35" i="248"/>
  <c r="V35" i="248"/>
  <c r="U35" i="248"/>
  <c r="AS34" i="248"/>
  <c r="AR34" i="248"/>
  <c r="AQ34" i="248"/>
  <c r="AP34" i="248"/>
  <c r="AO34" i="248"/>
  <c r="AN34" i="248"/>
  <c r="AM34" i="248"/>
  <c r="AL34" i="248"/>
  <c r="AK34" i="248"/>
  <c r="AJ34" i="248"/>
  <c r="AI34" i="248"/>
  <c r="AH34" i="248"/>
  <c r="AG34" i="248"/>
  <c r="AF34" i="248"/>
  <c r="AE34" i="248"/>
  <c r="AD34" i="248"/>
  <c r="AC34" i="248"/>
  <c r="AB34" i="248"/>
  <c r="AA34" i="248"/>
  <c r="Z34" i="248"/>
  <c r="Y34" i="248"/>
  <c r="X34" i="248"/>
  <c r="W34" i="248"/>
  <c r="V34" i="248"/>
  <c r="U34" i="248"/>
  <c r="AS33" i="248"/>
  <c r="AR33" i="248"/>
  <c r="AQ33" i="248"/>
  <c r="AP33" i="248"/>
  <c r="AO33" i="248"/>
  <c r="AN33" i="248"/>
  <c r="AM33" i="248"/>
  <c r="AL33" i="248"/>
  <c r="AK33" i="248"/>
  <c r="AJ33" i="248"/>
  <c r="AI33" i="248"/>
  <c r="AH33" i="248"/>
  <c r="AG33" i="248"/>
  <c r="AF33" i="248"/>
  <c r="AE33" i="248"/>
  <c r="AD33" i="248"/>
  <c r="AC33" i="248"/>
  <c r="AB33" i="248"/>
  <c r="AA33" i="248"/>
  <c r="Z33" i="248"/>
  <c r="Y33" i="248"/>
  <c r="X33" i="248"/>
  <c r="W33" i="248"/>
  <c r="V33" i="248"/>
  <c r="U33" i="248"/>
  <c r="J13" i="249" l="1"/>
  <c r="F11" i="249" s="1"/>
  <c r="L48" i="2" s="1"/>
  <c r="I9" i="249"/>
  <c r="K48" i="2"/>
  <c r="Y48" i="2"/>
  <c r="Z48" i="2" s="1"/>
  <c r="AH48" i="2"/>
  <c r="AI48" i="2" s="1"/>
  <c r="F10" i="249"/>
  <c r="V48" i="2"/>
  <c r="W48" i="2" s="1"/>
  <c r="M37" i="248"/>
  <c r="M33" i="248"/>
  <c r="M40" i="248"/>
  <c r="M38" i="248"/>
  <c r="I39" i="248"/>
  <c r="K39" i="248" s="1"/>
  <c r="I40" i="248"/>
  <c r="K40" i="248" s="1"/>
  <c r="I33" i="248"/>
  <c r="K33" i="248" s="1"/>
  <c r="I45" i="248"/>
  <c r="K45" i="248" s="1"/>
  <c r="M43" i="248"/>
  <c r="M47" i="248"/>
  <c r="I48" i="248"/>
  <c r="K48" i="248" s="1"/>
  <c r="I32" i="248"/>
  <c r="K32" i="248" s="1"/>
  <c r="M32" i="248"/>
  <c r="I47" i="248"/>
  <c r="K47" i="248" s="1"/>
  <c r="M46" i="248"/>
  <c r="I46" i="248"/>
  <c r="K46" i="248" s="1"/>
  <c r="M48" i="248"/>
  <c r="M44" i="248"/>
  <c r="I44" i="248"/>
  <c r="K44" i="248" s="1"/>
  <c r="I43" i="248"/>
  <c r="K43" i="248" s="1"/>
  <c r="M42" i="248"/>
  <c r="I41" i="248"/>
  <c r="K41" i="248" s="1"/>
  <c r="M41" i="248"/>
  <c r="M45" i="248"/>
  <c r="I42" i="248"/>
  <c r="K42" i="248" s="1"/>
  <c r="I38" i="248"/>
  <c r="K38" i="248" s="1"/>
  <c r="I37" i="248"/>
  <c r="K37" i="248" s="1"/>
  <c r="M36" i="248"/>
  <c r="M35" i="248"/>
  <c r="I35" i="248"/>
  <c r="K35" i="248" s="1"/>
  <c r="I36" i="248"/>
  <c r="K36" i="248" s="1"/>
  <c r="M39" i="248"/>
  <c r="I34" i="248"/>
  <c r="K34" i="248" s="1"/>
  <c r="M34" i="248"/>
  <c r="V5" i="248"/>
  <c r="W5" i="248" s="1"/>
  <c r="X5" i="248" s="1"/>
  <c r="Y5" i="248" s="1"/>
  <c r="Z5" i="248" s="1"/>
  <c r="AA5" i="248" s="1"/>
  <c r="AB5" i="248" s="1"/>
  <c r="AC5" i="248" s="1"/>
  <c r="AD5" i="248" s="1"/>
  <c r="AE5" i="248" s="1"/>
  <c r="AF5" i="248" s="1"/>
  <c r="AG5" i="248" s="1"/>
  <c r="AH5" i="248" s="1"/>
  <c r="AI5" i="248" s="1"/>
  <c r="AJ5" i="248" s="1"/>
  <c r="AK5" i="248" s="1"/>
  <c r="AL5" i="248" s="1"/>
  <c r="AM5" i="248" s="1"/>
  <c r="AN5" i="248" s="1"/>
  <c r="AO5" i="248" s="1"/>
  <c r="AP5" i="248" s="1"/>
  <c r="AQ5" i="248" s="1"/>
  <c r="AR5" i="248" s="1"/>
  <c r="AS5" i="248" s="1"/>
  <c r="G33" i="248"/>
  <c r="M49" i="248" l="1"/>
  <c r="AK49" i="2"/>
  <c r="F49" i="2"/>
  <c r="E49" i="2"/>
  <c r="D49" i="2"/>
  <c r="E43" i="247"/>
  <c r="C43" i="247"/>
  <c r="E42" i="247"/>
  <c r="C42" i="247"/>
  <c r="E41" i="247"/>
  <c r="C41" i="247"/>
  <c r="E40" i="247"/>
  <c r="C40" i="247"/>
  <c r="E39" i="247"/>
  <c r="C39" i="247"/>
  <c r="E38" i="247"/>
  <c r="C38" i="247"/>
  <c r="E37" i="247"/>
  <c r="C37" i="247"/>
  <c r="E36" i="247"/>
  <c r="C36" i="247"/>
  <c r="C35" i="247"/>
  <c r="C34" i="247"/>
  <c r="C33" i="247"/>
  <c r="C32" i="247"/>
  <c r="C31" i="247"/>
  <c r="C30" i="247"/>
  <c r="C29" i="247"/>
  <c r="C26" i="247"/>
  <c r="H24" i="247"/>
  <c r="C24" i="247" s="1"/>
  <c r="H23" i="247"/>
  <c r="C23" i="247" s="1"/>
  <c r="J17" i="247"/>
  <c r="J16" i="247"/>
  <c r="J15" i="247"/>
  <c r="G13" i="247"/>
  <c r="F13" i="247"/>
  <c r="H12" i="247"/>
  <c r="F8" i="247"/>
  <c r="AO33" i="2" l="1"/>
  <c r="AO20" i="2"/>
  <c r="AH33" i="2"/>
  <c r="AI33" i="2" s="1"/>
  <c r="Y33" i="2"/>
  <c r="Z33" i="2" s="1"/>
  <c r="W33" i="2"/>
  <c r="F12" i="247"/>
  <c r="F10" i="247" s="1"/>
  <c r="AO49" i="2"/>
  <c r="F9" i="247"/>
  <c r="G9" i="247" s="1"/>
  <c r="AL49" i="2"/>
  <c r="AP20" i="2" s="1"/>
  <c r="J18" i="247"/>
  <c r="J12" i="247"/>
  <c r="F11" i="247" s="1"/>
  <c r="J19" i="247"/>
  <c r="AQ20" i="2" l="1"/>
  <c r="J13" i="247"/>
  <c r="AP33" i="2"/>
  <c r="AQ33" i="2" s="1"/>
  <c r="AM33" i="2"/>
  <c r="B49" i="2"/>
  <c r="I9" i="247"/>
  <c r="T51" i="2"/>
  <c r="G51" i="2"/>
  <c r="F51" i="2"/>
  <c r="E51" i="2"/>
  <c r="D51" i="2"/>
  <c r="K25" i="246"/>
  <c r="AP49" i="2" l="1"/>
  <c r="AQ49" i="2" s="1"/>
  <c r="AM49" i="2"/>
  <c r="E43" i="246"/>
  <c r="C43" i="246"/>
  <c r="E42" i="246"/>
  <c r="C42" i="246"/>
  <c r="E41" i="246"/>
  <c r="C41" i="246"/>
  <c r="E40" i="246"/>
  <c r="C40" i="246"/>
  <c r="E39" i="246"/>
  <c r="C39" i="246"/>
  <c r="C38" i="246"/>
  <c r="C37" i="246"/>
  <c r="C36" i="246"/>
  <c r="C35" i="246"/>
  <c r="C34" i="246"/>
  <c r="C33" i="246"/>
  <c r="C32" i="246"/>
  <c r="C31" i="246"/>
  <c r="C30" i="246"/>
  <c r="C29" i="246"/>
  <c r="C28" i="246"/>
  <c r="C27" i="246"/>
  <c r="C26" i="246"/>
  <c r="K24" i="246"/>
  <c r="K23" i="246"/>
  <c r="J16" i="246"/>
  <c r="J15" i="246"/>
  <c r="F7" i="246"/>
  <c r="H23" i="246" l="1"/>
  <c r="C23" i="246" s="1"/>
  <c r="H51" i="2"/>
  <c r="H12" i="246"/>
  <c r="F12" i="246" s="1"/>
  <c r="F10" i="246" s="1"/>
  <c r="G13" i="246"/>
  <c r="H24" i="246"/>
  <c r="C24" i="246" s="1"/>
  <c r="H25" i="246"/>
  <c r="C25" i="246" s="1"/>
  <c r="F8" i="246"/>
  <c r="F13" i="246"/>
  <c r="P8" i="246"/>
  <c r="F18" i="246"/>
  <c r="J17" i="246" s="1"/>
  <c r="H115" i="2"/>
  <c r="AC115" i="2" s="1"/>
  <c r="K26" i="245"/>
  <c r="K24" i="245"/>
  <c r="AG51" i="2" l="1"/>
  <c r="AC51" i="2"/>
  <c r="M51" i="2"/>
  <c r="J19" i="246"/>
  <c r="I51" i="2"/>
  <c r="J13" i="246"/>
  <c r="V51" i="2"/>
  <c r="J12" i="246"/>
  <c r="F9" i="246"/>
  <c r="G9" i="246" s="1"/>
  <c r="J18" i="246"/>
  <c r="T52" i="2"/>
  <c r="G52" i="2"/>
  <c r="F52" i="2"/>
  <c r="E52" i="2"/>
  <c r="D52" i="2"/>
  <c r="E43" i="245"/>
  <c r="C43" i="245"/>
  <c r="E42" i="245"/>
  <c r="C42" i="245"/>
  <c r="E41" i="245"/>
  <c r="C41" i="245"/>
  <c r="E40" i="245"/>
  <c r="C40" i="245"/>
  <c r="E39" i="245"/>
  <c r="C39" i="245"/>
  <c r="C38" i="245"/>
  <c r="C37" i="245"/>
  <c r="C36" i="245"/>
  <c r="C35" i="245"/>
  <c r="C34" i="245"/>
  <c r="C33" i="245"/>
  <c r="C32" i="245"/>
  <c r="C31" i="245"/>
  <c r="K25" i="245"/>
  <c r="K23" i="245"/>
  <c r="J16" i="245"/>
  <c r="J15" i="245"/>
  <c r="F7" i="245"/>
  <c r="H52" i="2" l="1"/>
  <c r="F11" i="246"/>
  <c r="I9" i="246"/>
  <c r="K51" i="2"/>
  <c r="AH51" i="2"/>
  <c r="AI51" i="2" s="1"/>
  <c r="W51" i="2"/>
  <c r="Y51" i="2"/>
  <c r="Z51" i="2" s="1"/>
  <c r="H24" i="245"/>
  <c r="C24" i="245" s="1"/>
  <c r="C28" i="245"/>
  <c r="F8" i="245"/>
  <c r="F18" i="245"/>
  <c r="J17" i="245" s="1"/>
  <c r="H12" i="245"/>
  <c r="H23" i="245"/>
  <c r="C23" i="245" s="1"/>
  <c r="H26" i="245"/>
  <c r="C26" i="245" s="1"/>
  <c r="C30" i="245"/>
  <c r="C27" i="245"/>
  <c r="P8" i="245"/>
  <c r="F13" i="245"/>
  <c r="H25" i="245"/>
  <c r="C25" i="245" s="1"/>
  <c r="C29" i="245"/>
  <c r="G13" i="245"/>
  <c r="T53" i="2"/>
  <c r="H53" i="2"/>
  <c r="G53" i="2"/>
  <c r="F53" i="2"/>
  <c r="E53" i="2"/>
  <c r="D53" i="2"/>
  <c r="E43" i="243"/>
  <c r="C43" i="243"/>
  <c r="E42" i="243"/>
  <c r="C42" i="243"/>
  <c r="E41" i="243"/>
  <c r="C41" i="243"/>
  <c r="E40" i="243"/>
  <c r="C40" i="243"/>
  <c r="E39" i="243"/>
  <c r="C39" i="243"/>
  <c r="E38" i="243"/>
  <c r="C38" i="243"/>
  <c r="E37" i="243"/>
  <c r="C37" i="243"/>
  <c r="E36" i="243"/>
  <c r="C36" i="243"/>
  <c r="C35" i="243"/>
  <c r="C34" i="243"/>
  <c r="C33" i="243"/>
  <c r="C32" i="243"/>
  <c r="C31" i="243"/>
  <c r="C30" i="243"/>
  <c r="C29" i="243"/>
  <c r="C26" i="243"/>
  <c r="H25" i="243"/>
  <c r="C25" i="243" s="1"/>
  <c r="H24" i="243"/>
  <c r="C24" i="243" s="1"/>
  <c r="H23" i="243"/>
  <c r="C23" i="243" s="1"/>
  <c r="J17" i="243"/>
  <c r="J16" i="243"/>
  <c r="J15" i="243"/>
  <c r="G13" i="243"/>
  <c r="F13" i="243"/>
  <c r="H12" i="243"/>
  <c r="F8" i="243"/>
  <c r="AG53" i="2" l="1"/>
  <c r="AC53" i="2"/>
  <c r="AG52" i="2"/>
  <c r="AC52" i="2"/>
  <c r="J19" i="243"/>
  <c r="L51" i="2"/>
  <c r="F12" i="243"/>
  <c r="J13" i="243" s="1"/>
  <c r="J19" i="245"/>
  <c r="I52" i="2"/>
  <c r="F12" i="245"/>
  <c r="M52" i="2"/>
  <c r="J12" i="245"/>
  <c r="J18" i="245"/>
  <c r="F9" i="245"/>
  <c r="G9" i="245" s="1"/>
  <c r="M53" i="2"/>
  <c r="I53" i="2"/>
  <c r="Y53" i="2" s="1"/>
  <c r="Z53" i="2" s="1"/>
  <c r="F9" i="243"/>
  <c r="G9" i="243" s="1"/>
  <c r="J18" i="243"/>
  <c r="J12" i="243"/>
  <c r="T54" i="2"/>
  <c r="G54" i="2"/>
  <c r="F54" i="2"/>
  <c r="D54" i="2"/>
  <c r="E54" i="2"/>
  <c r="E43" i="242"/>
  <c r="C43" i="242"/>
  <c r="E42" i="242"/>
  <c r="C42" i="242"/>
  <c r="E41" i="242"/>
  <c r="C41" i="242"/>
  <c r="E40" i="242"/>
  <c r="C40" i="242"/>
  <c r="E39" i="242"/>
  <c r="C39" i="242"/>
  <c r="E38" i="242"/>
  <c r="C38" i="242"/>
  <c r="E37" i="242"/>
  <c r="C37" i="242"/>
  <c r="E36" i="242"/>
  <c r="C36" i="242"/>
  <c r="E35" i="242"/>
  <c r="C35" i="242"/>
  <c r="E34" i="242"/>
  <c r="C34" i="242"/>
  <c r="E33" i="242"/>
  <c r="C33" i="242"/>
  <c r="E32" i="242"/>
  <c r="C32" i="242"/>
  <c r="E31" i="242"/>
  <c r="C31" i="242"/>
  <c r="O24" i="242"/>
  <c r="M24" i="242"/>
  <c r="O23" i="242"/>
  <c r="M23" i="242"/>
  <c r="J17" i="242"/>
  <c r="J16" i="242"/>
  <c r="J15" i="242"/>
  <c r="O11" i="242"/>
  <c r="O10" i="242"/>
  <c r="F7" i="242"/>
  <c r="V53" i="2" l="1"/>
  <c r="W53" i="2" s="1"/>
  <c r="H54" i="2"/>
  <c r="AC54" i="2" s="1"/>
  <c r="F10" i="243"/>
  <c r="I9" i="245"/>
  <c r="K52" i="2"/>
  <c r="J13" i="245"/>
  <c r="F11" i="245" s="1"/>
  <c r="V52" i="2"/>
  <c r="W52" i="2" s="1"/>
  <c r="Y52" i="2"/>
  <c r="Z52" i="2" s="1"/>
  <c r="AH52" i="2"/>
  <c r="AI52" i="2" s="1"/>
  <c r="F10" i="245"/>
  <c r="AH53" i="2"/>
  <c r="AI53" i="2" s="1"/>
  <c r="H24" i="242"/>
  <c r="C24" i="242" s="1"/>
  <c r="I9" i="243"/>
  <c r="K53" i="2"/>
  <c r="F11" i="243"/>
  <c r="H12" i="242"/>
  <c r="G13" i="242"/>
  <c r="H23" i="242"/>
  <c r="C23" i="242" s="1"/>
  <c r="F13" i="242"/>
  <c r="C25" i="242"/>
  <c r="F8" i="242"/>
  <c r="T55" i="2"/>
  <c r="H55" i="2"/>
  <c r="G55" i="2"/>
  <c r="F55" i="2"/>
  <c r="E55" i="2"/>
  <c r="D55" i="2"/>
  <c r="H28" i="241"/>
  <c r="E43" i="241"/>
  <c r="C43" i="241"/>
  <c r="E42" i="241"/>
  <c r="C42" i="241"/>
  <c r="E41" i="241"/>
  <c r="C41" i="241"/>
  <c r="E40" i="241"/>
  <c r="C40" i="241"/>
  <c r="E39" i="241"/>
  <c r="C39" i="241"/>
  <c r="E38" i="241"/>
  <c r="C38" i="241"/>
  <c r="E37" i="241"/>
  <c r="C37" i="241"/>
  <c r="E36" i="241"/>
  <c r="C36" i="241"/>
  <c r="C35" i="241"/>
  <c r="C34" i="241"/>
  <c r="C33" i="241"/>
  <c r="C32" i="241"/>
  <c r="C31" i="241"/>
  <c r="C30" i="241"/>
  <c r="C29" i="241"/>
  <c r="H27" i="241"/>
  <c r="H26" i="241"/>
  <c r="C26" i="241" s="1"/>
  <c r="H25" i="241"/>
  <c r="C25" i="241" s="1"/>
  <c r="H24" i="241"/>
  <c r="C24" i="241" s="1"/>
  <c r="H23" i="241"/>
  <c r="C23" i="241" s="1"/>
  <c r="J17" i="241"/>
  <c r="J16" i="241"/>
  <c r="J15" i="241"/>
  <c r="G13" i="241"/>
  <c r="F13" i="241"/>
  <c r="H12" i="241"/>
  <c r="F8" i="241"/>
  <c r="AG55" i="2" l="1"/>
  <c r="AC55" i="2"/>
  <c r="J19" i="241"/>
  <c r="L53" i="2"/>
  <c r="F12" i="241"/>
  <c r="V55" i="2" s="1"/>
  <c r="L52" i="2"/>
  <c r="J19" i="242"/>
  <c r="I54" i="2"/>
  <c r="F12" i="242"/>
  <c r="M54" i="2"/>
  <c r="O12" i="242"/>
  <c r="J18" i="242"/>
  <c r="F9" i="242"/>
  <c r="G9" i="242" s="1"/>
  <c r="J12" i="242"/>
  <c r="I55" i="2"/>
  <c r="M55" i="2"/>
  <c r="AG54" i="2"/>
  <c r="F9" i="241"/>
  <c r="G9" i="241" s="1"/>
  <c r="J18" i="241"/>
  <c r="J12" i="241"/>
  <c r="T56" i="2"/>
  <c r="H56" i="2"/>
  <c r="G56" i="2"/>
  <c r="F56" i="2"/>
  <c r="E56" i="2"/>
  <c r="D56" i="2"/>
  <c r="H24" i="240"/>
  <c r="C24" i="240" s="1"/>
  <c r="H25" i="240"/>
  <c r="C25" i="240" s="1"/>
  <c r="H26" i="240"/>
  <c r="C26" i="240" s="1"/>
  <c r="H27" i="240"/>
  <c r="E43" i="240"/>
  <c r="C43" i="240"/>
  <c r="E42" i="240"/>
  <c r="C42" i="240"/>
  <c r="E41" i="240"/>
  <c r="C41" i="240"/>
  <c r="E40" i="240"/>
  <c r="C40" i="240"/>
  <c r="E39" i="240"/>
  <c r="C39" i="240"/>
  <c r="E38" i="240"/>
  <c r="C38" i="240"/>
  <c r="E37" i="240"/>
  <c r="C37" i="240"/>
  <c r="E36" i="240"/>
  <c r="C36" i="240"/>
  <c r="C35" i="240"/>
  <c r="C34" i="240"/>
  <c r="C33" i="240"/>
  <c r="C32" i="240"/>
  <c r="C31" i="240"/>
  <c r="C30" i="240"/>
  <c r="C29" i="240"/>
  <c r="H23" i="240"/>
  <c r="C23" i="240" s="1"/>
  <c r="J17" i="240"/>
  <c r="J16" i="240"/>
  <c r="J15" i="240"/>
  <c r="G13" i="240"/>
  <c r="F13" i="240"/>
  <c r="H12" i="240"/>
  <c r="F8" i="240"/>
  <c r="AG56" i="2" l="1"/>
  <c r="AC56" i="2"/>
  <c r="J13" i="241"/>
  <c r="F11" i="241" s="1"/>
  <c r="F10" i="241"/>
  <c r="J13" i="242"/>
  <c r="F11" i="242" s="1"/>
  <c r="V54" i="2"/>
  <c r="F10" i="242"/>
  <c r="I9" i="242"/>
  <c r="K54" i="2"/>
  <c r="J18" i="240"/>
  <c r="F12" i="240"/>
  <c r="I9" i="241"/>
  <c r="K55" i="2"/>
  <c r="W55" i="2"/>
  <c r="Y55" i="2"/>
  <c r="Z55" i="2" s="1"/>
  <c r="AH55" i="2"/>
  <c r="AI55" i="2" s="1"/>
  <c r="M56" i="2"/>
  <c r="I56" i="2"/>
  <c r="J12" i="240"/>
  <c r="F11" i="240" s="1"/>
  <c r="J19" i="240"/>
  <c r="F9" i="240"/>
  <c r="G9" i="240" s="1"/>
  <c r="T57" i="2"/>
  <c r="H57" i="2"/>
  <c r="G57" i="2"/>
  <c r="F57" i="2"/>
  <c r="E57" i="2"/>
  <c r="D57" i="2"/>
  <c r="H26" i="239"/>
  <c r="C26" i="239" s="1"/>
  <c r="E43" i="239"/>
  <c r="C43" i="239"/>
  <c r="E42" i="239"/>
  <c r="C42" i="239"/>
  <c r="E41" i="239"/>
  <c r="C41" i="239"/>
  <c r="E40" i="239"/>
  <c r="C40" i="239"/>
  <c r="E39" i="239"/>
  <c r="C39" i="239"/>
  <c r="E38" i="239"/>
  <c r="C38" i="239"/>
  <c r="E37" i="239"/>
  <c r="C37" i="239"/>
  <c r="E36" i="239"/>
  <c r="C36" i="239"/>
  <c r="C35" i="239"/>
  <c r="C34" i="239"/>
  <c r="C33" i="239"/>
  <c r="C32" i="239"/>
  <c r="C31" i="239"/>
  <c r="C30" i="239"/>
  <c r="C29" i="239"/>
  <c r="H25" i="239"/>
  <c r="C25" i="239" s="1"/>
  <c r="H24" i="239"/>
  <c r="C24" i="239" s="1"/>
  <c r="H23" i="239"/>
  <c r="C23" i="239" s="1"/>
  <c r="J17" i="239"/>
  <c r="J16" i="239"/>
  <c r="J15" i="239"/>
  <c r="G13" i="239"/>
  <c r="F13" i="239"/>
  <c r="H12" i="239"/>
  <c r="F8" i="239"/>
  <c r="AG57" i="2" l="1"/>
  <c r="AC57" i="2"/>
  <c r="L56" i="2"/>
  <c r="V56" i="2"/>
  <c r="W56" i="2" s="1"/>
  <c r="F9" i="239"/>
  <c r="G9" i="239" s="1"/>
  <c r="K57" i="2" s="1"/>
  <c r="F12" i="239"/>
  <c r="J13" i="239" s="1"/>
  <c r="L55" i="2"/>
  <c r="L54" i="2"/>
  <c r="F10" i="240"/>
  <c r="J13" i="240"/>
  <c r="W54" i="2"/>
  <c r="AH54" i="2"/>
  <c r="AI54" i="2" s="1"/>
  <c r="Y54" i="2"/>
  <c r="Z54" i="2" s="1"/>
  <c r="AH56" i="2"/>
  <c r="AI56" i="2" s="1"/>
  <c r="Y56" i="2"/>
  <c r="Z56" i="2" s="1"/>
  <c r="I9" i="240"/>
  <c r="K56" i="2"/>
  <c r="M57" i="2"/>
  <c r="I57" i="2"/>
  <c r="J18" i="239"/>
  <c r="J12" i="239"/>
  <c r="J19" i="239"/>
  <c r="T58" i="2"/>
  <c r="G58" i="2"/>
  <c r="F58" i="2"/>
  <c r="E58" i="2"/>
  <c r="D58" i="2"/>
  <c r="E43" i="238"/>
  <c r="C43" i="238"/>
  <c r="E42" i="238"/>
  <c r="C42" i="238"/>
  <c r="E41" i="238"/>
  <c r="C41" i="238"/>
  <c r="E40" i="238"/>
  <c r="C40" i="238"/>
  <c r="E39" i="238"/>
  <c r="C39" i="238"/>
  <c r="E38" i="238"/>
  <c r="C38" i="238"/>
  <c r="E37" i="238"/>
  <c r="C37" i="238"/>
  <c r="E36" i="238"/>
  <c r="C36" i="238"/>
  <c r="E35" i="238"/>
  <c r="C35" i="238"/>
  <c r="E34" i="238"/>
  <c r="C34" i="238"/>
  <c r="E33" i="238"/>
  <c r="C33" i="238"/>
  <c r="E32" i="238"/>
  <c r="C32" i="238"/>
  <c r="E31" i="238"/>
  <c r="C31" i="238"/>
  <c r="O25" i="238"/>
  <c r="M25" i="238"/>
  <c r="O24" i="238"/>
  <c r="M24" i="238"/>
  <c r="O23" i="238"/>
  <c r="M23" i="238"/>
  <c r="J17" i="238"/>
  <c r="J16" i="238"/>
  <c r="J15" i="238"/>
  <c r="O11" i="238"/>
  <c r="O10" i="238"/>
  <c r="F7" i="238"/>
  <c r="V57" i="2" l="1"/>
  <c r="W57" i="2" s="1"/>
  <c r="F10" i="239"/>
  <c r="H58" i="2"/>
  <c r="I9" i="239"/>
  <c r="F8" i="238"/>
  <c r="J18" i="238" s="1"/>
  <c r="F11" i="239"/>
  <c r="F13" i="238"/>
  <c r="AH57" i="2"/>
  <c r="AI57" i="2" s="1"/>
  <c r="Y57" i="2"/>
  <c r="Z57" i="2" s="1"/>
  <c r="G13" i="238"/>
  <c r="H23" i="238"/>
  <c r="C23" i="238" s="1"/>
  <c r="H25" i="238"/>
  <c r="C25" i="238" s="1"/>
  <c r="H24" i="238"/>
  <c r="C24" i="238" s="1"/>
  <c r="H12" i="238"/>
  <c r="T59" i="2"/>
  <c r="H59" i="2"/>
  <c r="AC59" i="2" s="1"/>
  <c r="G59" i="2"/>
  <c r="F59" i="2"/>
  <c r="E59" i="2"/>
  <c r="D59" i="2"/>
  <c r="T60" i="2"/>
  <c r="H60" i="2"/>
  <c r="G60" i="2"/>
  <c r="F60" i="2"/>
  <c r="E60" i="2"/>
  <c r="D60" i="2"/>
  <c r="E43" i="237"/>
  <c r="C43" i="237"/>
  <c r="E42" i="237"/>
  <c r="C42" i="237"/>
  <c r="E41" i="237"/>
  <c r="C41" i="237"/>
  <c r="E40" i="237"/>
  <c r="C40" i="237"/>
  <c r="E39" i="237"/>
  <c r="C39" i="237"/>
  <c r="E38" i="237"/>
  <c r="C38" i="237"/>
  <c r="E37" i="237"/>
  <c r="C37" i="237"/>
  <c r="E36" i="237"/>
  <c r="C36" i="237"/>
  <c r="C35" i="237"/>
  <c r="C34" i="237"/>
  <c r="C33" i="237"/>
  <c r="C32" i="237"/>
  <c r="C31" i="237"/>
  <c r="C30" i="237"/>
  <c r="C29" i="237"/>
  <c r="C26" i="237"/>
  <c r="H25" i="237"/>
  <c r="C25" i="237" s="1"/>
  <c r="H24" i="237"/>
  <c r="C24" i="237" s="1"/>
  <c r="H23" i="237"/>
  <c r="C23" i="237" s="1"/>
  <c r="J17" i="237"/>
  <c r="J16" i="237"/>
  <c r="J15" i="237"/>
  <c r="G13" i="237"/>
  <c r="F13" i="237"/>
  <c r="H12" i="237"/>
  <c r="F8" i="237"/>
  <c r="H24" i="236"/>
  <c r="C24" i="236" s="1"/>
  <c r="H25" i="236"/>
  <c r="C25" i="236" s="1"/>
  <c r="H26" i="236"/>
  <c r="C26" i="236" s="1"/>
  <c r="E43" i="236"/>
  <c r="C43" i="236"/>
  <c r="E42" i="236"/>
  <c r="C42" i="236"/>
  <c r="E41" i="236"/>
  <c r="C41" i="236"/>
  <c r="E40" i="236"/>
  <c r="C40" i="236"/>
  <c r="E39" i="236"/>
  <c r="C39" i="236"/>
  <c r="E38" i="236"/>
  <c r="C38" i="236"/>
  <c r="E37" i="236"/>
  <c r="C37" i="236"/>
  <c r="E36" i="236"/>
  <c r="C36" i="236"/>
  <c r="C35" i="236"/>
  <c r="C34" i="236"/>
  <c r="C33" i="236"/>
  <c r="C32" i="236"/>
  <c r="C31" i="236"/>
  <c r="C30" i="236"/>
  <c r="C29" i="236"/>
  <c r="H23" i="236"/>
  <c r="C23" i="236" s="1"/>
  <c r="J17" i="236"/>
  <c r="J16" i="236"/>
  <c r="J15" i="236"/>
  <c r="G13" i="236"/>
  <c r="F13" i="236"/>
  <c r="H12" i="236"/>
  <c r="F8" i="236"/>
  <c r="AG58" i="2" l="1"/>
  <c r="AC58" i="2"/>
  <c r="AG60" i="2"/>
  <c r="AC60" i="2"/>
  <c r="J12" i="238"/>
  <c r="J19" i="236"/>
  <c r="J19" i="238"/>
  <c r="F12" i="236"/>
  <c r="V60" i="2" s="1"/>
  <c r="J18" i="237"/>
  <c r="F12" i="237"/>
  <c r="J13" i="237" s="1"/>
  <c r="L57" i="2"/>
  <c r="F9" i="238"/>
  <c r="G9" i="238" s="1"/>
  <c r="K58" i="2" s="1"/>
  <c r="I58" i="2"/>
  <c r="AH58" i="2" s="1"/>
  <c r="AI58" i="2" s="1"/>
  <c r="F12" i="238"/>
  <c r="M58" i="2"/>
  <c r="O12" i="238"/>
  <c r="M59" i="2"/>
  <c r="M60" i="2"/>
  <c r="I59" i="2"/>
  <c r="AH59" i="2" s="1"/>
  <c r="I60" i="2"/>
  <c r="AH60" i="2" s="1"/>
  <c r="AI60" i="2" s="1"/>
  <c r="AG59" i="2"/>
  <c r="J12" i="237"/>
  <c r="F11" i="237" s="1"/>
  <c r="J19" i="237"/>
  <c r="F9" i="237"/>
  <c r="G9" i="237" s="1"/>
  <c r="F9" i="236"/>
  <c r="G9" i="236" s="1"/>
  <c r="J18" i="236"/>
  <c r="J12" i="236"/>
  <c r="K24" i="232"/>
  <c r="D115" i="2"/>
  <c r="E115" i="2"/>
  <c r="F115" i="2"/>
  <c r="G115" i="2"/>
  <c r="T115" i="2"/>
  <c r="V59" i="2" l="1"/>
  <c r="W59" i="2" s="1"/>
  <c r="I9" i="238"/>
  <c r="F10" i="237"/>
  <c r="J13" i="236"/>
  <c r="F11" i="236" s="1"/>
  <c r="L59" i="2"/>
  <c r="V58" i="2"/>
  <c r="W58" i="2" s="1"/>
  <c r="F10" i="236"/>
  <c r="J13" i="238"/>
  <c r="F11" i="238" s="1"/>
  <c r="Y58" i="2"/>
  <c r="Z58" i="2" s="1"/>
  <c r="AI59" i="2"/>
  <c r="Y59" i="2"/>
  <c r="Z59" i="2" s="1"/>
  <c r="F10" i="238"/>
  <c r="W60" i="2"/>
  <c r="Y60" i="2"/>
  <c r="Z60" i="2" s="1"/>
  <c r="I9" i="236"/>
  <c r="K60" i="2"/>
  <c r="I9" i="237"/>
  <c r="K59" i="2"/>
  <c r="F61" i="2"/>
  <c r="E61" i="2"/>
  <c r="D61" i="2"/>
  <c r="E43" i="235"/>
  <c r="C43" i="235"/>
  <c r="E42" i="235"/>
  <c r="C42" i="235"/>
  <c r="E41" i="235"/>
  <c r="C41" i="235"/>
  <c r="E40" i="235"/>
  <c r="C40" i="235"/>
  <c r="E39" i="235"/>
  <c r="C39" i="235"/>
  <c r="E38" i="235"/>
  <c r="C38" i="235"/>
  <c r="E37" i="235"/>
  <c r="C37" i="235"/>
  <c r="E36" i="235"/>
  <c r="C36" i="235"/>
  <c r="C35" i="235"/>
  <c r="C34" i="235"/>
  <c r="C33" i="235"/>
  <c r="C32" i="235"/>
  <c r="C31" i="235"/>
  <c r="C30" i="235"/>
  <c r="C29" i="235"/>
  <c r="C25" i="235"/>
  <c r="H23" i="235"/>
  <c r="C23" i="235" s="1"/>
  <c r="J17" i="235"/>
  <c r="J16" i="235"/>
  <c r="J15" i="235"/>
  <c r="G13" i="235"/>
  <c r="F13" i="235"/>
  <c r="H12" i="235"/>
  <c r="F12" i="235" s="1"/>
  <c r="F10" i="235" s="1"/>
  <c r="F8" i="235"/>
  <c r="L58" i="2" l="1"/>
  <c r="L60" i="2"/>
  <c r="J19" i="235"/>
  <c r="F9" i="235"/>
  <c r="G9" i="235" s="1"/>
  <c r="J13" i="235"/>
  <c r="J18" i="235"/>
  <c r="J12" i="235"/>
  <c r="F11" i="235" s="1"/>
  <c r="T62" i="2"/>
  <c r="H62" i="2"/>
  <c r="G62" i="2"/>
  <c r="F62" i="2"/>
  <c r="E62" i="2"/>
  <c r="D62" i="2"/>
  <c r="H24" i="234"/>
  <c r="C24" i="234" s="1"/>
  <c r="H25" i="234"/>
  <c r="C25" i="234" s="1"/>
  <c r="H26" i="234"/>
  <c r="C26" i="234" s="1"/>
  <c r="E43" i="234"/>
  <c r="C43" i="234"/>
  <c r="E42" i="234"/>
  <c r="C42" i="234"/>
  <c r="E41" i="234"/>
  <c r="C41" i="234"/>
  <c r="E40" i="234"/>
  <c r="C40" i="234"/>
  <c r="E39" i="234"/>
  <c r="C39" i="234"/>
  <c r="E38" i="234"/>
  <c r="C38" i="234"/>
  <c r="E37" i="234"/>
  <c r="C37" i="234"/>
  <c r="E36" i="234"/>
  <c r="C36" i="234"/>
  <c r="C35" i="234"/>
  <c r="C34" i="234"/>
  <c r="C33" i="234"/>
  <c r="C32" i="234"/>
  <c r="C31" i="234"/>
  <c r="C30" i="234"/>
  <c r="C29" i="234"/>
  <c r="H23" i="234"/>
  <c r="C23" i="234" s="1"/>
  <c r="J17" i="234"/>
  <c r="J16" i="234"/>
  <c r="J15" i="234"/>
  <c r="G13" i="234"/>
  <c r="F13" i="234"/>
  <c r="H12" i="234"/>
  <c r="F8" i="234"/>
  <c r="AG62" i="2" l="1"/>
  <c r="AC62" i="2"/>
  <c r="F12" i="234"/>
  <c r="V62" i="2" s="1"/>
  <c r="F9" i="234"/>
  <c r="G9" i="234" s="1"/>
  <c r="K62" i="2" s="1"/>
  <c r="I9" i="235"/>
  <c r="M62" i="2"/>
  <c r="I62" i="2"/>
  <c r="AH62" i="2" s="1"/>
  <c r="J18" i="234"/>
  <c r="J12" i="234"/>
  <c r="J19" i="234"/>
  <c r="T63" i="2"/>
  <c r="H63" i="2"/>
  <c r="G63" i="2"/>
  <c r="F63" i="2"/>
  <c r="E63" i="2"/>
  <c r="D63" i="2"/>
  <c r="T64" i="2"/>
  <c r="G64" i="2"/>
  <c r="F64" i="2"/>
  <c r="E64" i="2"/>
  <c r="D64" i="2"/>
  <c r="E43" i="233"/>
  <c r="C43" i="233"/>
  <c r="E42" i="233"/>
  <c r="C42" i="233"/>
  <c r="E41" i="233"/>
  <c r="C41" i="233"/>
  <c r="E40" i="233"/>
  <c r="C40" i="233"/>
  <c r="E39" i="233"/>
  <c r="C39" i="233"/>
  <c r="E38" i="233"/>
  <c r="C38" i="233"/>
  <c r="E37" i="233"/>
  <c r="C37" i="233"/>
  <c r="E36" i="233"/>
  <c r="C36" i="233"/>
  <c r="C35" i="233"/>
  <c r="C34" i="233"/>
  <c r="C33" i="233"/>
  <c r="C32" i="233"/>
  <c r="C31" i="233"/>
  <c r="C30" i="233"/>
  <c r="C29" i="233"/>
  <c r="C25" i="233"/>
  <c r="H23" i="233"/>
  <c r="C23" i="233" s="1"/>
  <c r="J17" i="233"/>
  <c r="J16" i="233"/>
  <c r="J15" i="233"/>
  <c r="G13" i="233"/>
  <c r="F13" i="233"/>
  <c r="H12" i="233"/>
  <c r="F8" i="233"/>
  <c r="K25" i="232"/>
  <c r="K26" i="232"/>
  <c r="K27" i="232"/>
  <c r="K28" i="232"/>
  <c r="K29" i="232"/>
  <c r="K30" i="232"/>
  <c r="E43" i="232"/>
  <c r="C43" i="232"/>
  <c r="E42" i="232"/>
  <c r="C42" i="232"/>
  <c r="E41" i="232"/>
  <c r="C41" i="232"/>
  <c r="E40" i="232"/>
  <c r="C40" i="232"/>
  <c r="E39" i="232"/>
  <c r="C39" i="232"/>
  <c r="C38" i="232"/>
  <c r="C37" i="232"/>
  <c r="C36" i="232"/>
  <c r="C35" i="232"/>
  <c r="C34" i="232"/>
  <c r="C33" i="232"/>
  <c r="C32" i="232"/>
  <c r="C31" i="232"/>
  <c r="K23" i="232"/>
  <c r="J16" i="232"/>
  <c r="J15" i="232"/>
  <c r="F7" i="232"/>
  <c r="AG63" i="2" l="1"/>
  <c r="AC63" i="2"/>
  <c r="AI62" i="2"/>
  <c r="J13" i="234"/>
  <c r="F11" i="234" s="1"/>
  <c r="H64" i="2"/>
  <c r="J18" i="233"/>
  <c r="F12" i="233"/>
  <c r="J13" i="233" s="1"/>
  <c r="I9" i="234"/>
  <c r="F10" i="234"/>
  <c r="Y62" i="2"/>
  <c r="Z62" i="2" s="1"/>
  <c r="W62" i="2"/>
  <c r="P8" i="232"/>
  <c r="M63" i="2"/>
  <c r="I63" i="2"/>
  <c r="AH63" i="2" s="1"/>
  <c r="AI63" i="2" s="1"/>
  <c r="F9" i="233"/>
  <c r="G9" i="233" s="1"/>
  <c r="J12" i="233"/>
  <c r="J19" i="233"/>
  <c r="H30" i="232"/>
  <c r="C30" i="232" s="1"/>
  <c r="H25" i="232"/>
  <c r="C25" i="232" s="1"/>
  <c r="H26" i="232"/>
  <c r="C26" i="232" s="1"/>
  <c r="H29" i="232"/>
  <c r="C29" i="232" s="1"/>
  <c r="H12" i="232"/>
  <c r="H28" i="232"/>
  <c r="C28" i="232" s="1"/>
  <c r="H24" i="232"/>
  <c r="C24" i="232" s="1"/>
  <c r="H23" i="232"/>
  <c r="C23" i="232" s="1"/>
  <c r="H27" i="232"/>
  <c r="C27" i="232" s="1"/>
  <c r="F13" i="232"/>
  <c r="F8" i="232"/>
  <c r="G13" i="232"/>
  <c r="F18" i="232"/>
  <c r="J17" i="232" s="1"/>
  <c r="F65" i="2"/>
  <c r="E65" i="2"/>
  <c r="D65" i="2"/>
  <c r="T66" i="2"/>
  <c r="H66" i="2"/>
  <c r="G66" i="2"/>
  <c r="F66" i="2"/>
  <c r="E66" i="2"/>
  <c r="D66" i="2"/>
  <c r="E43" i="231"/>
  <c r="C43" i="231"/>
  <c r="E42" i="231"/>
  <c r="C42" i="231"/>
  <c r="E41" i="231"/>
  <c r="C41" i="231"/>
  <c r="E40" i="231"/>
  <c r="C40" i="231"/>
  <c r="E39" i="231"/>
  <c r="C39" i="231"/>
  <c r="C38" i="231"/>
  <c r="C37" i="231"/>
  <c r="C36" i="231"/>
  <c r="C35" i="231"/>
  <c r="C34" i="231"/>
  <c r="C33" i="231"/>
  <c r="C32" i="231"/>
  <c r="C31" i="231"/>
  <c r="C30" i="231"/>
  <c r="C29" i="231"/>
  <c r="C28" i="231"/>
  <c r="C27" i="231"/>
  <c r="K23" i="231"/>
  <c r="C25" i="231" s="1"/>
  <c r="J16" i="231"/>
  <c r="J15" i="231"/>
  <c r="F7" i="231"/>
  <c r="H24" i="230"/>
  <c r="C24" i="230" s="1"/>
  <c r="H23" i="230"/>
  <c r="C23" i="230" s="1"/>
  <c r="E43" i="230"/>
  <c r="C43" i="230"/>
  <c r="E42" i="230"/>
  <c r="C42" i="230"/>
  <c r="E41" i="230"/>
  <c r="C41" i="230"/>
  <c r="E40" i="230"/>
  <c r="C40" i="230"/>
  <c r="E39" i="230"/>
  <c r="C39" i="230"/>
  <c r="E38" i="230"/>
  <c r="C38" i="230"/>
  <c r="E37" i="230"/>
  <c r="C37" i="230"/>
  <c r="E36" i="230"/>
  <c r="C36" i="230"/>
  <c r="C35" i="230"/>
  <c r="C34" i="230"/>
  <c r="C33" i="230"/>
  <c r="C32" i="230"/>
  <c r="C31" i="230"/>
  <c r="C30" i="230"/>
  <c r="C29" i="230"/>
  <c r="C25" i="230"/>
  <c r="J17" i="230"/>
  <c r="J16" i="230"/>
  <c r="J15" i="230"/>
  <c r="G13" i="230"/>
  <c r="F13" i="230"/>
  <c r="H12" i="230"/>
  <c r="F8" i="230"/>
  <c r="AG66" i="2" l="1"/>
  <c r="AC66" i="2"/>
  <c r="AG64" i="2"/>
  <c r="AC64" i="2"/>
  <c r="F9" i="230"/>
  <c r="G9" i="230" s="1"/>
  <c r="K66" i="2" s="1"/>
  <c r="V63" i="2"/>
  <c r="W63" i="2" s="1"/>
  <c r="F12" i="230"/>
  <c r="V66" i="2" s="1"/>
  <c r="L62" i="2"/>
  <c r="F10" i="233"/>
  <c r="Y63" i="2"/>
  <c r="Z63" i="2" s="1"/>
  <c r="J19" i="232"/>
  <c r="I64" i="2"/>
  <c r="I9" i="233"/>
  <c r="K63" i="2"/>
  <c r="F12" i="232"/>
  <c r="M64" i="2"/>
  <c r="F11" i="233"/>
  <c r="J12" i="232"/>
  <c r="F9" i="232"/>
  <c r="G9" i="232" s="1"/>
  <c r="J18" i="232"/>
  <c r="M66" i="2"/>
  <c r="I66" i="2"/>
  <c r="H23" i="231"/>
  <c r="C23" i="231" s="1"/>
  <c r="F13" i="231"/>
  <c r="C24" i="231"/>
  <c r="H12" i="231"/>
  <c r="F18" i="231"/>
  <c r="J17" i="231" s="1"/>
  <c r="F8" i="231"/>
  <c r="C26" i="231"/>
  <c r="G13" i="231"/>
  <c r="J18" i="230"/>
  <c r="J12" i="230"/>
  <c r="J19" i="230"/>
  <c r="T67" i="2"/>
  <c r="G67" i="2"/>
  <c r="F67" i="2"/>
  <c r="E67" i="2"/>
  <c r="D67" i="2"/>
  <c r="E43" i="229"/>
  <c r="C43" i="229"/>
  <c r="E42" i="229"/>
  <c r="C42" i="229"/>
  <c r="E41" i="229"/>
  <c r="C41" i="229"/>
  <c r="E40" i="229"/>
  <c r="C40" i="229"/>
  <c r="E39" i="229"/>
  <c r="C39" i="229"/>
  <c r="C38" i="229"/>
  <c r="C37" i="229"/>
  <c r="C36" i="229"/>
  <c r="C35" i="229"/>
  <c r="C34" i="229"/>
  <c r="C33" i="229"/>
  <c r="C32" i="229"/>
  <c r="C31" i="229"/>
  <c r="K24" i="229"/>
  <c r="K23" i="229"/>
  <c r="J16" i="229"/>
  <c r="J15" i="229"/>
  <c r="F7" i="229"/>
  <c r="F10" i="230" l="1"/>
  <c r="F18" i="229"/>
  <c r="J17" i="229" s="1"/>
  <c r="J13" i="230"/>
  <c r="F11" i="230" s="1"/>
  <c r="F10" i="232"/>
  <c r="L63" i="2"/>
  <c r="I9" i="230"/>
  <c r="Y64" i="2"/>
  <c r="Z64" i="2" s="1"/>
  <c r="AH64" i="2"/>
  <c r="AI64" i="2" s="1"/>
  <c r="I9" i="232"/>
  <c r="K64" i="2"/>
  <c r="J13" i="232"/>
  <c r="F11" i="232" s="1"/>
  <c r="V64" i="2"/>
  <c r="W64" i="2" s="1"/>
  <c r="W66" i="2"/>
  <c r="Y66" i="2"/>
  <c r="Z66" i="2" s="1"/>
  <c r="AH66" i="2"/>
  <c r="AI66" i="2" s="1"/>
  <c r="F12" i="231"/>
  <c r="J19" i="231"/>
  <c r="F9" i="231"/>
  <c r="G9" i="231" s="1"/>
  <c r="J18" i="231"/>
  <c r="J12" i="231"/>
  <c r="F11" i="231" s="1"/>
  <c r="H23" i="229"/>
  <c r="C23" i="229" s="1"/>
  <c r="H67" i="2"/>
  <c r="F8" i="229"/>
  <c r="C27" i="229"/>
  <c r="G13" i="229"/>
  <c r="C25" i="229"/>
  <c r="C29" i="229"/>
  <c r="C26" i="229"/>
  <c r="C30" i="229"/>
  <c r="F13" i="229"/>
  <c r="H24" i="229"/>
  <c r="C24" i="229" s="1"/>
  <c r="C28" i="229"/>
  <c r="H12" i="229"/>
  <c r="T68" i="2"/>
  <c r="G68" i="2"/>
  <c r="F68" i="2"/>
  <c r="E68" i="2"/>
  <c r="D68" i="2"/>
  <c r="F69" i="2"/>
  <c r="E69" i="2"/>
  <c r="D69" i="2"/>
  <c r="T70" i="2"/>
  <c r="G70" i="2"/>
  <c r="F70" i="2"/>
  <c r="E70" i="2"/>
  <c r="D70" i="2"/>
  <c r="F71" i="2"/>
  <c r="E71" i="2"/>
  <c r="D71" i="2"/>
  <c r="K27" i="228"/>
  <c r="K28" i="228"/>
  <c r="K29" i="228"/>
  <c r="K30" i="228"/>
  <c r="E43" i="228"/>
  <c r="C43" i="228"/>
  <c r="E42" i="228"/>
  <c r="C42" i="228"/>
  <c r="E41" i="228"/>
  <c r="C41" i="228"/>
  <c r="E40" i="228"/>
  <c r="C40" i="228"/>
  <c r="E39" i="228"/>
  <c r="C39" i="228"/>
  <c r="C38" i="228"/>
  <c r="C37" i="228"/>
  <c r="C36" i="228"/>
  <c r="C35" i="228"/>
  <c r="C34" i="228"/>
  <c r="C33" i="228"/>
  <c r="C32" i="228"/>
  <c r="C31" i="228"/>
  <c r="K26" i="228"/>
  <c r="K25" i="228"/>
  <c r="K24" i="228"/>
  <c r="K23" i="228"/>
  <c r="J16" i="228"/>
  <c r="J15" i="228"/>
  <c r="F7" i="228"/>
  <c r="E43" i="227"/>
  <c r="C43" i="227"/>
  <c r="E42" i="227"/>
  <c r="C42" i="227"/>
  <c r="E41" i="227"/>
  <c r="C41" i="227"/>
  <c r="E40" i="227"/>
  <c r="C40" i="227"/>
  <c r="E39" i="227"/>
  <c r="C39" i="227"/>
  <c r="E38" i="227"/>
  <c r="C38" i="227"/>
  <c r="E37" i="227"/>
  <c r="C37" i="227"/>
  <c r="E36" i="227"/>
  <c r="C36" i="227"/>
  <c r="C35" i="227"/>
  <c r="C34" i="227"/>
  <c r="C33" i="227"/>
  <c r="C32" i="227"/>
  <c r="C31" i="227"/>
  <c r="C30" i="227"/>
  <c r="C29" i="227"/>
  <c r="C25" i="227"/>
  <c r="C24" i="227"/>
  <c r="H23" i="227"/>
  <c r="C23" i="227" s="1"/>
  <c r="J17" i="227"/>
  <c r="J16" i="227"/>
  <c r="J15" i="227"/>
  <c r="G13" i="227"/>
  <c r="F13" i="227"/>
  <c r="H12" i="227"/>
  <c r="F12" i="227" s="1"/>
  <c r="J13" i="227" s="1"/>
  <c r="F8" i="227"/>
  <c r="F9" i="227" s="1"/>
  <c r="G9" i="227" s="1"/>
  <c r="I9" i="227" s="1"/>
  <c r="K25" i="226"/>
  <c r="K26" i="226"/>
  <c r="E43" i="226"/>
  <c r="C43" i="226"/>
  <c r="E42" i="226"/>
  <c r="C42" i="226"/>
  <c r="E41" i="226"/>
  <c r="C41" i="226"/>
  <c r="E40" i="226"/>
  <c r="C40" i="226"/>
  <c r="E39" i="226"/>
  <c r="C39" i="226"/>
  <c r="C38" i="226"/>
  <c r="C37" i="226"/>
  <c r="C36" i="226"/>
  <c r="C35" i="226"/>
  <c r="C34" i="226"/>
  <c r="C33" i="226"/>
  <c r="C32" i="226"/>
  <c r="C31" i="226"/>
  <c r="C30" i="226"/>
  <c r="C29" i="226"/>
  <c r="C28" i="226"/>
  <c r="C27" i="226"/>
  <c r="K24" i="226"/>
  <c r="K23" i="226"/>
  <c r="J16" i="226"/>
  <c r="J15" i="226"/>
  <c r="F7" i="226"/>
  <c r="E43" i="225"/>
  <c r="C43" i="225"/>
  <c r="E42" i="225"/>
  <c r="C42" i="225"/>
  <c r="E41" i="225"/>
  <c r="C41" i="225"/>
  <c r="E40" i="225"/>
  <c r="C40" i="225"/>
  <c r="E39" i="225"/>
  <c r="C39" i="225"/>
  <c r="E38" i="225"/>
  <c r="C38" i="225"/>
  <c r="E37" i="225"/>
  <c r="C37" i="225"/>
  <c r="E36" i="225"/>
  <c r="C36" i="225"/>
  <c r="C35" i="225"/>
  <c r="C34" i="225"/>
  <c r="C33" i="225"/>
  <c r="C32" i="225"/>
  <c r="C31" i="225"/>
  <c r="C30" i="225"/>
  <c r="C29" i="225"/>
  <c r="H25" i="225"/>
  <c r="C25" i="225" s="1"/>
  <c r="H24" i="225"/>
  <c r="C24" i="225" s="1"/>
  <c r="H23" i="225"/>
  <c r="C23" i="225" s="1"/>
  <c r="J17" i="225"/>
  <c r="J16" i="225"/>
  <c r="J15" i="225"/>
  <c r="G13" i="225"/>
  <c r="F13" i="225"/>
  <c r="H12" i="225"/>
  <c r="F12" i="225" s="1"/>
  <c r="J13" i="225" s="1"/>
  <c r="F8" i="225"/>
  <c r="J18" i="225" s="1"/>
  <c r="AG67" i="2" l="1"/>
  <c r="AC67" i="2"/>
  <c r="L66" i="2"/>
  <c r="F18" i="226"/>
  <c r="J17" i="226" s="1"/>
  <c r="L64" i="2"/>
  <c r="F18" i="228"/>
  <c r="J17" i="228" s="1"/>
  <c r="J13" i="231"/>
  <c r="F10" i="231"/>
  <c r="I9" i="231"/>
  <c r="J19" i="229"/>
  <c r="I67" i="2"/>
  <c r="J18" i="229"/>
  <c r="H70" i="2"/>
  <c r="F12" i="229"/>
  <c r="M67" i="2"/>
  <c r="F9" i="229"/>
  <c r="G9" i="229" s="1"/>
  <c r="J12" i="229"/>
  <c r="H68" i="2"/>
  <c r="H23" i="228"/>
  <c r="C23" i="228" s="1"/>
  <c r="H27" i="228"/>
  <c r="C27" i="228" s="1"/>
  <c r="H28" i="228"/>
  <c r="C28" i="228" s="1"/>
  <c r="H29" i="228"/>
  <c r="C29" i="228" s="1"/>
  <c r="G13" i="228"/>
  <c r="H24" i="228"/>
  <c r="C24" i="228" s="1"/>
  <c r="H30" i="228"/>
  <c r="C30" i="228" s="1"/>
  <c r="H25" i="228"/>
  <c r="C25" i="228" s="1"/>
  <c r="F8" i="228"/>
  <c r="H26" i="228"/>
  <c r="C26" i="228" s="1"/>
  <c r="F10" i="227"/>
  <c r="F13" i="228"/>
  <c r="H26" i="226"/>
  <c r="C26" i="226" s="1"/>
  <c r="H25" i="226"/>
  <c r="C25" i="226" s="1"/>
  <c r="H12" i="228"/>
  <c r="J12" i="227"/>
  <c r="F11" i="227" s="1"/>
  <c r="J19" i="227"/>
  <c r="J18" i="227"/>
  <c r="H23" i="226"/>
  <c r="C23" i="226" s="1"/>
  <c r="F8" i="226"/>
  <c r="H24" i="226"/>
  <c r="C24" i="226" s="1"/>
  <c r="F13" i="226"/>
  <c r="G13" i="226"/>
  <c r="H12" i="226"/>
  <c r="F10" i="225"/>
  <c r="J12" i="225"/>
  <c r="F11" i="225" s="1"/>
  <c r="J19" i="225"/>
  <c r="F9" i="225"/>
  <c r="G9" i="225" s="1"/>
  <c r="E74" i="2"/>
  <c r="AG68" i="2" l="1"/>
  <c r="AC68" i="2"/>
  <c r="AG70" i="2"/>
  <c r="AC70" i="2"/>
  <c r="V67" i="2"/>
  <c r="W67" i="2" s="1"/>
  <c r="I68" i="2"/>
  <c r="AH68" i="2" s="1"/>
  <c r="J13" i="229"/>
  <c r="F11" i="229" s="1"/>
  <c r="I9" i="229"/>
  <c r="K67" i="2"/>
  <c r="F10" i="229"/>
  <c r="AH67" i="2"/>
  <c r="AI67" i="2" s="1"/>
  <c r="Y67" i="2"/>
  <c r="Z67" i="2" s="1"/>
  <c r="I9" i="225"/>
  <c r="F12" i="226"/>
  <c r="M70" i="2"/>
  <c r="J19" i="226"/>
  <c r="I70" i="2"/>
  <c r="F12" i="228"/>
  <c r="M68" i="2"/>
  <c r="J19" i="228"/>
  <c r="F9" i="228"/>
  <c r="G9" i="228" s="1"/>
  <c r="J18" i="228"/>
  <c r="J12" i="228"/>
  <c r="J12" i="226"/>
  <c r="F9" i="226"/>
  <c r="G9" i="226" s="1"/>
  <c r="J18" i="226"/>
  <c r="T72" i="2"/>
  <c r="H72" i="2"/>
  <c r="G72" i="2"/>
  <c r="F72" i="2"/>
  <c r="E72" i="2"/>
  <c r="D72" i="2"/>
  <c r="H26" i="224"/>
  <c r="H27" i="224"/>
  <c r="E43" i="224"/>
  <c r="C43" i="224"/>
  <c r="E42" i="224"/>
  <c r="C42" i="224"/>
  <c r="E41" i="224"/>
  <c r="C41" i="224"/>
  <c r="E40" i="224"/>
  <c r="C40" i="224"/>
  <c r="E39" i="224"/>
  <c r="C39" i="224"/>
  <c r="E38" i="224"/>
  <c r="C38" i="224"/>
  <c r="E37" i="224"/>
  <c r="C37" i="224"/>
  <c r="E36" i="224"/>
  <c r="C36" i="224"/>
  <c r="C35" i="224"/>
  <c r="C34" i="224"/>
  <c r="C33" i="224"/>
  <c r="C32" i="224"/>
  <c r="C31" i="224"/>
  <c r="C30" i="224"/>
  <c r="C29" i="224"/>
  <c r="H25" i="224"/>
  <c r="C25" i="224" s="1"/>
  <c r="H24" i="224"/>
  <c r="C24" i="224" s="1"/>
  <c r="H23" i="224"/>
  <c r="C23" i="224" s="1"/>
  <c r="J17" i="224"/>
  <c r="J16" i="224"/>
  <c r="J15" i="224"/>
  <c r="G13" i="224"/>
  <c r="F13" i="224"/>
  <c r="H12" i="224"/>
  <c r="F8" i="224"/>
  <c r="AK72" i="2" l="1"/>
  <c r="AC72" i="2"/>
  <c r="AI68" i="2"/>
  <c r="F9" i="224"/>
  <c r="G9" i="224" s="1"/>
  <c r="K72" i="2" s="1"/>
  <c r="L67" i="2"/>
  <c r="F12" i="224"/>
  <c r="F10" i="224" s="1"/>
  <c r="V68" i="2"/>
  <c r="W68" i="2" s="1"/>
  <c r="V70" i="2"/>
  <c r="W70" i="2" s="1"/>
  <c r="Y68" i="2"/>
  <c r="Z68" i="2" s="1"/>
  <c r="J13" i="228"/>
  <c r="F11" i="228" s="1"/>
  <c r="I9" i="226"/>
  <c r="K70" i="2"/>
  <c r="I9" i="228"/>
  <c r="K68" i="2"/>
  <c r="AH70" i="2"/>
  <c r="AI70" i="2" s="1"/>
  <c r="Y70" i="2"/>
  <c r="Z70" i="2" s="1"/>
  <c r="F10" i="226"/>
  <c r="J13" i="226"/>
  <c r="F10" i="228"/>
  <c r="F11" i="226"/>
  <c r="M72" i="2"/>
  <c r="I72" i="2"/>
  <c r="AL72" i="2" s="1"/>
  <c r="J18" i="224"/>
  <c r="J12" i="224"/>
  <c r="J19" i="224"/>
  <c r="J85" i="219"/>
  <c r="J13" i="224" l="1"/>
  <c r="F11" i="224" s="1"/>
  <c r="L70" i="2"/>
  <c r="V72" i="2"/>
  <c r="L68" i="2"/>
  <c r="I9" i="224"/>
  <c r="T74" i="2"/>
  <c r="G74" i="2"/>
  <c r="F74" i="2"/>
  <c r="D74" i="2"/>
  <c r="M24" i="223"/>
  <c r="M27" i="223"/>
  <c r="O30" i="223"/>
  <c r="O29" i="223"/>
  <c r="O28" i="223"/>
  <c r="M28" i="223"/>
  <c r="M29" i="223"/>
  <c r="M30" i="223"/>
  <c r="O27" i="223"/>
  <c r="E43" i="223"/>
  <c r="C43" i="223"/>
  <c r="E42" i="223"/>
  <c r="C42" i="223"/>
  <c r="E41" i="223"/>
  <c r="C41" i="223"/>
  <c r="E40" i="223"/>
  <c r="C40" i="223"/>
  <c r="E39" i="223"/>
  <c r="C39" i="223"/>
  <c r="E38" i="223"/>
  <c r="C38" i="223"/>
  <c r="E37" i="223"/>
  <c r="C37" i="223"/>
  <c r="E36" i="223"/>
  <c r="C36" i="223"/>
  <c r="E35" i="223"/>
  <c r="C35" i="223"/>
  <c r="E34" i="223"/>
  <c r="C34" i="223"/>
  <c r="E33" i="223"/>
  <c r="C33" i="223"/>
  <c r="E32" i="223"/>
  <c r="C32" i="223"/>
  <c r="E31" i="223"/>
  <c r="C31" i="223"/>
  <c r="O26" i="223"/>
  <c r="M26" i="223"/>
  <c r="O25" i="223"/>
  <c r="M25" i="223"/>
  <c r="O24" i="223"/>
  <c r="O23" i="223"/>
  <c r="M23" i="223"/>
  <c r="J17" i="223"/>
  <c r="J16" i="223"/>
  <c r="J15" i="223"/>
  <c r="O11" i="223"/>
  <c r="O10" i="223"/>
  <c r="F7" i="223"/>
  <c r="T75" i="2"/>
  <c r="H75" i="2"/>
  <c r="G75" i="2"/>
  <c r="F75" i="2"/>
  <c r="E75" i="2"/>
  <c r="D75" i="2"/>
  <c r="H25" i="222"/>
  <c r="C25" i="222" s="1"/>
  <c r="E43" i="222"/>
  <c r="C43" i="222"/>
  <c r="E42" i="222"/>
  <c r="C42" i="222"/>
  <c r="E41" i="222"/>
  <c r="C41" i="222"/>
  <c r="E40" i="222"/>
  <c r="C40" i="222"/>
  <c r="E39" i="222"/>
  <c r="C39" i="222"/>
  <c r="E38" i="222"/>
  <c r="C38" i="222"/>
  <c r="E37" i="222"/>
  <c r="C37" i="222"/>
  <c r="E36" i="222"/>
  <c r="C36" i="222"/>
  <c r="C35" i="222"/>
  <c r="C34" i="222"/>
  <c r="C33" i="222"/>
  <c r="C32" i="222"/>
  <c r="C31" i="222"/>
  <c r="C30" i="222"/>
  <c r="C29" i="222"/>
  <c r="H24" i="222"/>
  <c r="C24" i="222" s="1"/>
  <c r="H23" i="222"/>
  <c r="C23" i="222" s="1"/>
  <c r="J17" i="222"/>
  <c r="J16" i="222"/>
  <c r="J15" i="222"/>
  <c r="G13" i="222"/>
  <c r="F13" i="222"/>
  <c r="H12" i="222"/>
  <c r="F8" i="222"/>
  <c r="AG75" i="2" l="1"/>
  <c r="AC75" i="2"/>
  <c r="J18" i="222"/>
  <c r="M75" i="2"/>
  <c r="H74" i="2"/>
  <c r="L72" i="2"/>
  <c r="B72" i="2" s="1"/>
  <c r="F12" i="222"/>
  <c r="J13" i="222" s="1"/>
  <c r="H30" i="223"/>
  <c r="C30" i="223" s="1"/>
  <c r="H29" i="223"/>
  <c r="H28" i="223"/>
  <c r="H27" i="223"/>
  <c r="C27" i="223" s="1"/>
  <c r="H24" i="223"/>
  <c r="C24" i="223" s="1"/>
  <c r="H26" i="223"/>
  <c r="C26" i="223" s="1"/>
  <c r="H12" i="223"/>
  <c r="H23" i="223"/>
  <c r="H25" i="223"/>
  <c r="C25" i="223" s="1"/>
  <c r="I75" i="2"/>
  <c r="Y75" i="2" s="1"/>
  <c r="Z75" i="2" s="1"/>
  <c r="F8" i="223"/>
  <c r="F13" i="223"/>
  <c r="G13" i="223"/>
  <c r="J12" i="222"/>
  <c r="F11" i="222" s="1"/>
  <c r="J19" i="222"/>
  <c r="F9" i="222"/>
  <c r="G9" i="222" s="1"/>
  <c r="T76" i="2"/>
  <c r="H76" i="2"/>
  <c r="G76" i="2"/>
  <c r="F76" i="2"/>
  <c r="E76" i="2"/>
  <c r="D76" i="2"/>
  <c r="E43" i="221"/>
  <c r="C43" i="221"/>
  <c r="E42" i="221"/>
  <c r="C42" i="221"/>
  <c r="E41" i="221"/>
  <c r="C41" i="221"/>
  <c r="E40" i="221"/>
  <c r="C40" i="221"/>
  <c r="E39" i="221"/>
  <c r="C39" i="221"/>
  <c r="E38" i="221"/>
  <c r="C38" i="221"/>
  <c r="E37" i="221"/>
  <c r="C37" i="221"/>
  <c r="E36" i="221"/>
  <c r="C36" i="221"/>
  <c r="C35" i="221"/>
  <c r="C34" i="221"/>
  <c r="C33" i="221"/>
  <c r="C32" i="221"/>
  <c r="C31" i="221"/>
  <c r="C30" i="221"/>
  <c r="C29" i="221"/>
  <c r="C25" i="221"/>
  <c r="H24" i="221"/>
  <c r="C24" i="221" s="1"/>
  <c r="H23" i="221"/>
  <c r="C23" i="221" s="1"/>
  <c r="J17" i="221"/>
  <c r="J16" i="221"/>
  <c r="J15" i="221"/>
  <c r="G13" i="221"/>
  <c r="F13" i="221"/>
  <c r="H12" i="221"/>
  <c r="F8" i="221"/>
  <c r="AG76" i="2" l="1"/>
  <c r="AC76" i="2"/>
  <c r="AG74" i="2"/>
  <c r="AC74" i="2"/>
  <c r="I76" i="2"/>
  <c r="AH76" i="2" s="1"/>
  <c r="AI76" i="2" s="1"/>
  <c r="I74" i="2"/>
  <c r="L75" i="2"/>
  <c r="F10" i="222"/>
  <c r="F12" i="223"/>
  <c r="M74" i="2"/>
  <c r="E30" i="223"/>
  <c r="O12" i="223"/>
  <c r="C23" i="223"/>
  <c r="F9" i="223"/>
  <c r="G9" i="223" s="1"/>
  <c r="J19" i="223"/>
  <c r="J18" i="223"/>
  <c r="J12" i="223"/>
  <c r="F9" i="221"/>
  <c r="G9" i="221" s="1"/>
  <c r="F12" i="221"/>
  <c r="I9" i="222"/>
  <c r="K75" i="2"/>
  <c r="AH75" i="2"/>
  <c r="AI75" i="2" s="1"/>
  <c r="M76" i="2"/>
  <c r="J18" i="221"/>
  <c r="J12" i="221"/>
  <c r="J19" i="221"/>
  <c r="T77" i="2"/>
  <c r="H77" i="2"/>
  <c r="G77" i="2"/>
  <c r="F77" i="2"/>
  <c r="E77" i="2"/>
  <c r="D77" i="2"/>
  <c r="H25" i="220"/>
  <c r="C25" i="220" s="1"/>
  <c r="H26" i="220"/>
  <c r="E43" i="220"/>
  <c r="C43" i="220"/>
  <c r="E42" i="220"/>
  <c r="C42" i="220"/>
  <c r="E41" i="220"/>
  <c r="C41" i="220"/>
  <c r="E40" i="220"/>
  <c r="C40" i="220"/>
  <c r="E39" i="220"/>
  <c r="C39" i="220"/>
  <c r="E38" i="220"/>
  <c r="C38" i="220"/>
  <c r="E37" i="220"/>
  <c r="C37" i="220"/>
  <c r="E36" i="220"/>
  <c r="C36" i="220"/>
  <c r="C35" i="220"/>
  <c r="C34" i="220"/>
  <c r="C33" i="220"/>
  <c r="C32" i="220"/>
  <c r="C31" i="220"/>
  <c r="C30" i="220"/>
  <c r="C29" i="220"/>
  <c r="H24" i="220"/>
  <c r="C24" i="220" s="1"/>
  <c r="H23" i="220"/>
  <c r="C23" i="220" s="1"/>
  <c r="J17" i="220"/>
  <c r="J16" i="220"/>
  <c r="J15" i="220"/>
  <c r="G13" i="220"/>
  <c r="F13" i="220"/>
  <c r="H12" i="220"/>
  <c r="F8" i="220"/>
  <c r="AG77" i="2" l="1"/>
  <c r="AC77" i="2"/>
  <c r="Y76" i="2"/>
  <c r="Z76" i="2" s="1"/>
  <c r="J18" i="220"/>
  <c r="F12" i="220"/>
  <c r="V77" i="2" s="1"/>
  <c r="F10" i="223"/>
  <c r="V74" i="2"/>
  <c r="W74" i="2" s="1"/>
  <c r="J13" i="223"/>
  <c r="P30" i="223" s="1"/>
  <c r="I9" i="223"/>
  <c r="K74" i="2"/>
  <c r="F10" i="221"/>
  <c r="V75" i="2"/>
  <c r="W75" i="2" s="1"/>
  <c r="J13" i="221"/>
  <c r="F11" i="221" s="1"/>
  <c r="V76" i="2"/>
  <c r="W76" i="2" s="1"/>
  <c r="AH74" i="2"/>
  <c r="AI74" i="2" s="1"/>
  <c r="Y74" i="2"/>
  <c r="Z74" i="2" s="1"/>
  <c r="I9" i="221"/>
  <c r="K76" i="2"/>
  <c r="M77" i="2"/>
  <c r="I77" i="2"/>
  <c r="J12" i="220"/>
  <c r="F11" i="220" s="1"/>
  <c r="J19" i="220"/>
  <c r="F9" i="220"/>
  <c r="G9" i="220" s="1"/>
  <c r="J28" i="219"/>
  <c r="T78" i="2"/>
  <c r="H78" i="2"/>
  <c r="G78" i="2"/>
  <c r="F78" i="2"/>
  <c r="E78" i="2"/>
  <c r="D78" i="2"/>
  <c r="E43" i="218"/>
  <c r="C43" i="218"/>
  <c r="E42" i="218"/>
  <c r="C42" i="218"/>
  <c r="E41" i="218"/>
  <c r="C41" i="218"/>
  <c r="E40" i="218"/>
  <c r="C40" i="218"/>
  <c r="E39" i="218"/>
  <c r="C39" i="218"/>
  <c r="E38" i="218"/>
  <c r="C38" i="218"/>
  <c r="E37" i="218"/>
  <c r="C37" i="218"/>
  <c r="E36" i="218"/>
  <c r="C36" i="218"/>
  <c r="C35" i="218"/>
  <c r="C34" i="218"/>
  <c r="C33" i="218"/>
  <c r="C32" i="218"/>
  <c r="C31" i="218"/>
  <c r="C30" i="218"/>
  <c r="C29" i="218"/>
  <c r="C25" i="218"/>
  <c r="H24" i="218"/>
  <c r="C24" i="218" s="1"/>
  <c r="H23" i="218"/>
  <c r="C23" i="218" s="1"/>
  <c r="J17" i="218"/>
  <c r="J16" i="218"/>
  <c r="J15" i="218"/>
  <c r="G13" i="218"/>
  <c r="F13" i="218"/>
  <c r="H12" i="218"/>
  <c r="F8" i="218"/>
  <c r="AG78" i="2" l="1"/>
  <c r="AC78" i="2"/>
  <c r="J13" i="220"/>
  <c r="F10" i="220"/>
  <c r="J19" i="218"/>
  <c r="M78" i="2"/>
  <c r="L77" i="2"/>
  <c r="F11" i="223"/>
  <c r="AH77" i="2"/>
  <c r="AI77" i="2" s="1"/>
  <c r="L76" i="2"/>
  <c r="F12" i="218"/>
  <c r="W77" i="2"/>
  <c r="Y77" i="2"/>
  <c r="Z77" i="2" s="1"/>
  <c r="I9" i="220"/>
  <c r="K77" i="2"/>
  <c r="I78" i="2"/>
  <c r="AH78" i="2" s="1"/>
  <c r="AI78" i="2" s="1"/>
  <c r="F9" i="218"/>
  <c r="G9" i="218" s="1"/>
  <c r="J18" i="218"/>
  <c r="J12" i="218"/>
  <c r="T84" i="2"/>
  <c r="L74" i="2" l="1"/>
  <c r="F10" i="218"/>
  <c r="V78" i="2"/>
  <c r="W78" i="2" s="1"/>
  <c r="J13" i="218"/>
  <c r="Y78" i="2"/>
  <c r="Z78" i="2" s="1"/>
  <c r="I9" i="218"/>
  <c r="K78" i="2"/>
  <c r="F11" i="218"/>
  <c r="M23" i="217"/>
  <c r="L78" i="2" l="1"/>
  <c r="G84" i="2"/>
  <c r="F84" i="2"/>
  <c r="E84" i="2"/>
  <c r="D84" i="2"/>
  <c r="M25" i="217"/>
  <c r="E43" i="217"/>
  <c r="C43" i="217"/>
  <c r="E42" i="217"/>
  <c r="C42" i="217"/>
  <c r="E41" i="217"/>
  <c r="C41" i="217"/>
  <c r="E40" i="217"/>
  <c r="C40" i="217"/>
  <c r="E39" i="217"/>
  <c r="C39" i="217"/>
  <c r="E38" i="217"/>
  <c r="C38" i="217"/>
  <c r="E37" i="217"/>
  <c r="C37" i="217"/>
  <c r="E36" i="217"/>
  <c r="C36" i="217"/>
  <c r="E35" i="217"/>
  <c r="C35" i="217"/>
  <c r="E34" i="217"/>
  <c r="C34" i="217"/>
  <c r="E33" i="217"/>
  <c r="C33" i="217"/>
  <c r="E32" i="217"/>
  <c r="C32" i="217"/>
  <c r="E31" i="217"/>
  <c r="C31" i="217"/>
  <c r="E30" i="217"/>
  <c r="C30" i="217"/>
  <c r="C27" i="217"/>
  <c r="C26" i="217"/>
  <c r="O25" i="217"/>
  <c r="O24" i="217"/>
  <c r="M24" i="217"/>
  <c r="O23" i="217"/>
  <c r="J17" i="217"/>
  <c r="J16" i="217"/>
  <c r="J15" i="217"/>
  <c r="O11" i="217"/>
  <c r="O10" i="217"/>
  <c r="F7" i="217"/>
  <c r="H84" i="2" l="1"/>
  <c r="H25" i="217"/>
  <c r="C25" i="217" s="1"/>
  <c r="G13" i="217"/>
  <c r="H23" i="217"/>
  <c r="F8" i="217"/>
  <c r="H12" i="217"/>
  <c r="F13" i="217"/>
  <c r="H24" i="217"/>
  <c r="C24" i="217" s="1"/>
  <c r="AG84" i="2" l="1"/>
  <c r="AC84" i="2"/>
  <c r="I84" i="2"/>
  <c r="F12" i="217"/>
  <c r="M84" i="2"/>
  <c r="J19" i="217"/>
  <c r="O12" i="217"/>
  <c r="C23" i="217"/>
  <c r="J18" i="217"/>
  <c r="J12" i="217"/>
  <c r="F9" i="217"/>
  <c r="G9" i="217" s="1"/>
  <c r="F10" i="217" l="1"/>
  <c r="J13" i="217"/>
  <c r="F11" i="217" s="1"/>
  <c r="V84" i="2"/>
  <c r="W84" i="2" s="1"/>
  <c r="I9" i="217"/>
  <c r="K84" i="2"/>
  <c r="AH84" i="2"/>
  <c r="AI84" i="2" s="1"/>
  <c r="Y84" i="2"/>
  <c r="Z84" i="2" s="1"/>
  <c r="L84" i="2" l="1"/>
  <c r="K24" i="214"/>
  <c r="T79" i="2" l="1"/>
  <c r="H79" i="2"/>
  <c r="AC79" i="2" s="1"/>
  <c r="G79" i="2"/>
  <c r="F79" i="2"/>
  <c r="E79" i="2"/>
  <c r="D79" i="2"/>
  <c r="H25" i="216"/>
  <c r="C25" i="216" s="1"/>
  <c r="E43" i="216"/>
  <c r="C43" i="216"/>
  <c r="E42" i="216"/>
  <c r="C42" i="216"/>
  <c r="E41" i="216"/>
  <c r="C41" i="216"/>
  <c r="E40" i="216"/>
  <c r="C40" i="216"/>
  <c r="E39" i="216"/>
  <c r="C39" i="216"/>
  <c r="E38" i="216"/>
  <c r="C38" i="216"/>
  <c r="E37" i="216"/>
  <c r="C37" i="216"/>
  <c r="E36" i="216"/>
  <c r="C36" i="216"/>
  <c r="C35" i="216"/>
  <c r="C34" i="216"/>
  <c r="C33" i="216"/>
  <c r="C32" i="216"/>
  <c r="C31" i="216"/>
  <c r="C30" i="216"/>
  <c r="C29" i="216"/>
  <c r="H24" i="216"/>
  <c r="C24" i="216" s="1"/>
  <c r="H23" i="216"/>
  <c r="C23" i="216" s="1"/>
  <c r="J17" i="216"/>
  <c r="J16" i="216"/>
  <c r="J15" i="216"/>
  <c r="G13" i="216"/>
  <c r="F13" i="216"/>
  <c r="H12" i="216"/>
  <c r="F8" i="216"/>
  <c r="F12" i="216" l="1"/>
  <c r="J13" i="216" s="1"/>
  <c r="J18" i="216"/>
  <c r="AG79" i="2"/>
  <c r="M79" i="2"/>
  <c r="I79" i="2"/>
  <c r="J12" i="216"/>
  <c r="F11" i="216" s="1"/>
  <c r="J19" i="216"/>
  <c r="F9" i="216"/>
  <c r="G9" i="216" s="1"/>
  <c r="F10" i="216" l="1"/>
  <c r="L79" i="2"/>
  <c r="Y79" i="2"/>
  <c r="Z79" i="2" s="1"/>
  <c r="I9" i="216"/>
  <c r="K79" i="2"/>
  <c r="AH79" i="2"/>
  <c r="AI79" i="2" s="1"/>
  <c r="M24" i="212"/>
  <c r="F80" i="2" l="1"/>
  <c r="E80" i="2"/>
  <c r="D80" i="2"/>
  <c r="E43" i="215"/>
  <c r="C43" i="215"/>
  <c r="E42" i="215"/>
  <c r="C42" i="215"/>
  <c r="E41" i="215"/>
  <c r="C41" i="215"/>
  <c r="E40" i="215"/>
  <c r="C40" i="215"/>
  <c r="E39" i="215"/>
  <c r="C39" i="215"/>
  <c r="E38" i="215"/>
  <c r="C38" i="215"/>
  <c r="E37" i="215"/>
  <c r="C37" i="215"/>
  <c r="E36" i="215"/>
  <c r="C36" i="215"/>
  <c r="C35" i="215"/>
  <c r="C34" i="215"/>
  <c r="C33" i="215"/>
  <c r="C32" i="215"/>
  <c r="C31" i="215"/>
  <c r="C30" i="215"/>
  <c r="C29" i="215"/>
  <c r="C25" i="215"/>
  <c r="H24" i="215"/>
  <c r="C24" i="215" s="1"/>
  <c r="H23" i="215"/>
  <c r="C23" i="215" s="1"/>
  <c r="J17" i="215"/>
  <c r="J16" i="215"/>
  <c r="J15" i="215"/>
  <c r="G13" i="215"/>
  <c r="F13" i="215"/>
  <c r="H12" i="215"/>
  <c r="F8" i="215"/>
  <c r="F9" i="215" l="1"/>
  <c r="G9" i="215" s="1"/>
  <c r="F12" i="215"/>
  <c r="J18" i="215"/>
  <c r="J12" i="215"/>
  <c r="J19" i="215"/>
  <c r="T81" i="2"/>
  <c r="G81" i="2"/>
  <c r="F81" i="2"/>
  <c r="E81" i="2"/>
  <c r="D81" i="2"/>
  <c r="E43" i="214"/>
  <c r="C43" i="214"/>
  <c r="E42" i="214"/>
  <c r="C42" i="214"/>
  <c r="E41" i="214"/>
  <c r="C41" i="214"/>
  <c r="E40" i="214"/>
  <c r="C40" i="214"/>
  <c r="E39" i="214"/>
  <c r="C39" i="214"/>
  <c r="C38" i="214"/>
  <c r="C37" i="214"/>
  <c r="C36" i="214"/>
  <c r="C35" i="214"/>
  <c r="C34" i="214"/>
  <c r="C33" i="214"/>
  <c r="C32" i="214"/>
  <c r="C31" i="214"/>
  <c r="C30" i="214"/>
  <c r="C29" i="214"/>
  <c r="C28" i="214"/>
  <c r="C27" i="214"/>
  <c r="C26" i="214"/>
  <c r="K23" i="214"/>
  <c r="H23" i="214" s="1"/>
  <c r="C23" i="214" s="1"/>
  <c r="J16" i="214"/>
  <c r="J15" i="214"/>
  <c r="F7" i="214"/>
  <c r="H81" i="2" l="1"/>
  <c r="J13" i="215"/>
  <c r="F11" i="215" s="1"/>
  <c r="I9" i="215"/>
  <c r="H12" i="214"/>
  <c r="F10" i="215"/>
  <c r="V79" i="2"/>
  <c r="W79" i="2" s="1"/>
  <c r="F13" i="214"/>
  <c r="C25" i="214"/>
  <c r="G13" i="214"/>
  <c r="H24" i="214"/>
  <c r="C24" i="214" s="1"/>
  <c r="F8" i="214"/>
  <c r="F18" i="214"/>
  <c r="J17" i="214" s="1"/>
  <c r="T82" i="2"/>
  <c r="G82" i="2"/>
  <c r="F82" i="2"/>
  <c r="E82" i="2"/>
  <c r="D82" i="2"/>
  <c r="T83" i="2"/>
  <c r="H83" i="2"/>
  <c r="G83" i="2"/>
  <c r="F83" i="2"/>
  <c r="E83" i="2"/>
  <c r="D83" i="2"/>
  <c r="AG83" i="2" l="1"/>
  <c r="AC83" i="2"/>
  <c r="AG81" i="2"/>
  <c r="AC81" i="2"/>
  <c r="F12" i="214"/>
  <c r="V81" i="2" s="1"/>
  <c r="I81" i="2"/>
  <c r="Y81" i="2" s="1"/>
  <c r="Z81" i="2" s="1"/>
  <c r="M81" i="2"/>
  <c r="J19" i="214"/>
  <c r="F9" i="214"/>
  <c r="G9" i="214" s="1"/>
  <c r="J18" i="214"/>
  <c r="J12" i="214"/>
  <c r="O26" i="212"/>
  <c r="M25" i="212"/>
  <c r="M26" i="212"/>
  <c r="E43" i="212"/>
  <c r="C43" i="212"/>
  <c r="E42" i="212"/>
  <c r="C42" i="212"/>
  <c r="E41" i="212"/>
  <c r="C41" i="212"/>
  <c r="E40" i="212"/>
  <c r="C40" i="212"/>
  <c r="E39" i="212"/>
  <c r="C39" i="212"/>
  <c r="E38" i="212"/>
  <c r="C38" i="212"/>
  <c r="E37" i="212"/>
  <c r="C37" i="212"/>
  <c r="E36" i="212"/>
  <c r="C36" i="212"/>
  <c r="E35" i="212"/>
  <c r="C35" i="212"/>
  <c r="E34" i="212"/>
  <c r="C34" i="212"/>
  <c r="E33" i="212"/>
  <c r="C33" i="212"/>
  <c r="E32" i="212"/>
  <c r="C32" i="212"/>
  <c r="E31" i="212"/>
  <c r="C31" i="212"/>
  <c r="E30" i="212"/>
  <c r="C30" i="212"/>
  <c r="C27" i="212"/>
  <c r="O25" i="212"/>
  <c r="O24" i="212"/>
  <c r="O23" i="212"/>
  <c r="M23" i="212"/>
  <c r="J17" i="212"/>
  <c r="J16" i="212"/>
  <c r="J15" i="212"/>
  <c r="O11" i="212"/>
  <c r="O10" i="212"/>
  <c r="F7" i="212"/>
  <c r="E43" i="211"/>
  <c r="C43" i="211"/>
  <c r="E42" i="211"/>
  <c r="C42" i="211"/>
  <c r="E41" i="211"/>
  <c r="C41" i="211"/>
  <c r="E40" i="211"/>
  <c r="C40" i="211"/>
  <c r="E39" i="211"/>
  <c r="C39" i="211"/>
  <c r="E38" i="211"/>
  <c r="C38" i="211"/>
  <c r="E37" i="211"/>
  <c r="C37" i="211"/>
  <c r="E36" i="211"/>
  <c r="C36" i="211"/>
  <c r="C35" i="211"/>
  <c r="C34" i="211"/>
  <c r="C33" i="211"/>
  <c r="C32" i="211"/>
  <c r="C31" i="211"/>
  <c r="C30" i="211"/>
  <c r="C29" i="211"/>
  <c r="H28" i="211"/>
  <c r="H27" i="211"/>
  <c r="H26" i="211"/>
  <c r="H25" i="211"/>
  <c r="C25" i="211" s="1"/>
  <c r="H24" i="211"/>
  <c r="C24" i="211" s="1"/>
  <c r="H23" i="211"/>
  <c r="C23" i="211" s="1"/>
  <c r="J17" i="211"/>
  <c r="J16" i="211"/>
  <c r="J15" i="211"/>
  <c r="G13" i="211"/>
  <c r="F13" i="211"/>
  <c r="H12" i="211"/>
  <c r="F8" i="211"/>
  <c r="F10" i="214" l="1"/>
  <c r="AH81" i="2"/>
  <c r="AI81" i="2" s="1"/>
  <c r="W81" i="2"/>
  <c r="H82" i="2"/>
  <c r="J13" i="214"/>
  <c r="F11" i="214" s="1"/>
  <c r="I9" i="214"/>
  <c r="K81" i="2"/>
  <c r="H26" i="212"/>
  <c r="C26" i="212" s="1"/>
  <c r="F12" i="211"/>
  <c r="M83" i="2"/>
  <c r="J19" i="211"/>
  <c r="I83" i="2"/>
  <c r="H25" i="212"/>
  <c r="C25" i="212" s="1"/>
  <c r="H24" i="212"/>
  <c r="C24" i="212" s="1"/>
  <c r="H12" i="212"/>
  <c r="F13" i="212"/>
  <c r="H23" i="212"/>
  <c r="G13" i="212"/>
  <c r="F8" i="212"/>
  <c r="F9" i="211"/>
  <c r="G9" i="211" s="1"/>
  <c r="J13" i="211"/>
  <c r="J18" i="211"/>
  <c r="J12" i="211"/>
  <c r="F11" i="211" s="1"/>
  <c r="T85" i="2"/>
  <c r="G85" i="2"/>
  <c r="F85" i="2"/>
  <c r="E85" i="2"/>
  <c r="D85" i="2"/>
  <c r="E43" i="210"/>
  <c r="C43" i="210"/>
  <c r="E42" i="210"/>
  <c r="C42" i="210"/>
  <c r="E41" i="210"/>
  <c r="C41" i="210"/>
  <c r="E40" i="210"/>
  <c r="C40" i="210"/>
  <c r="E39" i="210"/>
  <c r="C39" i="210"/>
  <c r="E38" i="210"/>
  <c r="C38" i="210"/>
  <c r="E37" i="210"/>
  <c r="C37" i="210"/>
  <c r="E36" i="210"/>
  <c r="C36" i="210"/>
  <c r="E35" i="210"/>
  <c r="C35" i="210"/>
  <c r="E34" i="210"/>
  <c r="C34" i="210"/>
  <c r="E33" i="210"/>
  <c r="C33" i="210"/>
  <c r="E32" i="210"/>
  <c r="C32" i="210"/>
  <c r="E31" i="210"/>
  <c r="C31" i="210"/>
  <c r="E30" i="210"/>
  <c r="C30" i="210"/>
  <c r="O25" i="210"/>
  <c r="O24" i="210"/>
  <c r="M24" i="210"/>
  <c r="O23" i="210"/>
  <c r="M23" i="210"/>
  <c r="J17" i="210"/>
  <c r="J16" i="210"/>
  <c r="J15" i="210"/>
  <c r="O11" i="210"/>
  <c r="O10" i="210"/>
  <c r="F7" i="210"/>
  <c r="AG82" i="2" l="1"/>
  <c r="AC82" i="2"/>
  <c r="L81" i="2"/>
  <c r="H85" i="2"/>
  <c r="L83" i="2"/>
  <c r="I82" i="2"/>
  <c r="AH82" i="2" s="1"/>
  <c r="G13" i="210"/>
  <c r="H23" i="210"/>
  <c r="C23" i="210" s="1"/>
  <c r="H12" i="210"/>
  <c r="I9" i="211"/>
  <c r="K83" i="2"/>
  <c r="AH83" i="2"/>
  <c r="AI83" i="2" s="1"/>
  <c r="Y83" i="2"/>
  <c r="Z83" i="2" s="1"/>
  <c r="F12" i="212"/>
  <c r="M82" i="2"/>
  <c r="F10" i="211"/>
  <c r="V83" i="2"/>
  <c r="W83" i="2" s="1"/>
  <c r="J19" i="212"/>
  <c r="J12" i="212"/>
  <c r="O12" i="212"/>
  <c r="J18" i="212"/>
  <c r="C23" i="212"/>
  <c r="F9" i="212"/>
  <c r="G9" i="212" s="1"/>
  <c r="F8" i="210"/>
  <c r="C27" i="210"/>
  <c r="C26" i="210"/>
  <c r="H24" i="210"/>
  <c r="C24" i="210" s="1"/>
  <c r="F13" i="210"/>
  <c r="H25" i="210"/>
  <c r="C25" i="210" s="1"/>
  <c r="T86" i="2"/>
  <c r="H86" i="2"/>
  <c r="G86" i="2"/>
  <c r="F86" i="2"/>
  <c r="E86" i="2"/>
  <c r="D86" i="2"/>
  <c r="H25" i="209"/>
  <c r="C25" i="209" s="1"/>
  <c r="H26" i="209"/>
  <c r="H27" i="209"/>
  <c r="H28" i="209"/>
  <c r="E43" i="209"/>
  <c r="C43" i="209"/>
  <c r="E42" i="209"/>
  <c r="C42" i="209"/>
  <c r="E41" i="209"/>
  <c r="C41" i="209"/>
  <c r="E40" i="209"/>
  <c r="C40" i="209"/>
  <c r="E39" i="209"/>
  <c r="C39" i="209"/>
  <c r="E38" i="209"/>
  <c r="C38" i="209"/>
  <c r="E37" i="209"/>
  <c r="C37" i="209"/>
  <c r="E36" i="209"/>
  <c r="C36" i="209"/>
  <c r="C35" i="209"/>
  <c r="C34" i="209"/>
  <c r="C33" i="209"/>
  <c r="C32" i="209"/>
  <c r="C31" i="209"/>
  <c r="C30" i="209"/>
  <c r="C29" i="209"/>
  <c r="H24" i="209"/>
  <c r="C24" i="209" s="1"/>
  <c r="H23" i="209"/>
  <c r="C23" i="209" s="1"/>
  <c r="J17" i="209"/>
  <c r="J16" i="209"/>
  <c r="J15" i="209"/>
  <c r="G13" i="209"/>
  <c r="F13" i="209"/>
  <c r="H12" i="209"/>
  <c r="F8" i="209"/>
  <c r="AG85" i="2" l="1"/>
  <c r="AC85" i="2"/>
  <c r="AG86" i="2"/>
  <c r="AC86" i="2"/>
  <c r="AI82" i="2"/>
  <c r="Y82" i="2"/>
  <c r="Z82" i="2" s="1"/>
  <c r="F12" i="209"/>
  <c r="V86" i="2" s="1"/>
  <c r="F10" i="212"/>
  <c r="J19" i="209"/>
  <c r="M85" i="2"/>
  <c r="F12" i="210"/>
  <c r="M86" i="2"/>
  <c r="I86" i="2"/>
  <c r="AH86" i="2" s="1"/>
  <c r="AI86" i="2" s="1"/>
  <c r="J13" i="212"/>
  <c r="P30" i="212" s="1"/>
  <c r="V82" i="2"/>
  <c r="W82" i="2" s="1"/>
  <c r="I9" i="212"/>
  <c r="K82" i="2"/>
  <c r="J18" i="210"/>
  <c r="I85" i="2"/>
  <c r="J12" i="210"/>
  <c r="F9" i="210"/>
  <c r="G9" i="210" s="1"/>
  <c r="J19" i="210"/>
  <c r="O12" i="210"/>
  <c r="F9" i="209"/>
  <c r="G9" i="209" s="1"/>
  <c r="J18" i="209"/>
  <c r="J12" i="209"/>
  <c r="M23" i="203"/>
  <c r="J13" i="209" l="1"/>
  <c r="F11" i="209" s="1"/>
  <c r="J13" i="210"/>
  <c r="F11" i="210" s="1"/>
  <c r="F10" i="209"/>
  <c r="V85" i="2"/>
  <c r="W85" i="2" s="1"/>
  <c r="F10" i="210"/>
  <c r="W86" i="2"/>
  <c r="Y86" i="2"/>
  <c r="Z86" i="2" s="1"/>
  <c r="I9" i="209"/>
  <c r="K86" i="2"/>
  <c r="F11" i="212"/>
  <c r="I9" i="210"/>
  <c r="K85" i="2"/>
  <c r="Y85" i="2"/>
  <c r="Z85" i="2" s="1"/>
  <c r="AH85" i="2"/>
  <c r="AI85" i="2" s="1"/>
  <c r="T87" i="2"/>
  <c r="G87" i="2"/>
  <c r="F87" i="2"/>
  <c r="E87" i="2"/>
  <c r="D87" i="2"/>
  <c r="E43" i="208"/>
  <c r="C43" i="208"/>
  <c r="E42" i="208"/>
  <c r="C42" i="208"/>
  <c r="E41" i="208"/>
  <c r="C41" i="208"/>
  <c r="E40" i="208"/>
  <c r="C40" i="208"/>
  <c r="E39" i="208"/>
  <c r="C39" i="208"/>
  <c r="C38" i="208"/>
  <c r="C37" i="208"/>
  <c r="C36" i="208"/>
  <c r="C35" i="208"/>
  <c r="C34" i="208"/>
  <c r="C33" i="208"/>
  <c r="C32" i="208"/>
  <c r="C31" i="208"/>
  <c r="C30" i="208"/>
  <c r="C29" i="208"/>
  <c r="C28" i="208"/>
  <c r="C27" i="208"/>
  <c r="C26" i="208"/>
  <c r="K25" i="208"/>
  <c r="K24" i="208"/>
  <c r="K23" i="208"/>
  <c r="J16" i="208"/>
  <c r="J15" i="208"/>
  <c r="F7" i="208"/>
  <c r="L86" i="2" l="1"/>
  <c r="L85" i="2"/>
  <c r="L82" i="2"/>
  <c r="F18" i="208"/>
  <c r="J17" i="208" s="1"/>
  <c r="F8" i="208"/>
  <c r="F13" i="208"/>
  <c r="H87" i="2"/>
  <c r="AC87" i="2" s="1"/>
  <c r="G13" i="208"/>
  <c r="H24" i="208"/>
  <c r="C24" i="208" s="1"/>
  <c r="H25" i="208"/>
  <c r="C25" i="208" s="1"/>
  <c r="H12" i="208"/>
  <c r="H23" i="208"/>
  <c r="C23" i="208" s="1"/>
  <c r="T89" i="2"/>
  <c r="H89" i="2"/>
  <c r="G89" i="2"/>
  <c r="F89" i="2"/>
  <c r="E89" i="2"/>
  <c r="D89" i="2"/>
  <c r="E43" i="207"/>
  <c r="C43" i="207"/>
  <c r="E42" i="207"/>
  <c r="C42" i="207"/>
  <c r="E41" i="207"/>
  <c r="C41" i="207"/>
  <c r="E40" i="207"/>
  <c r="C40" i="207"/>
  <c r="E39" i="207"/>
  <c r="C39" i="207"/>
  <c r="E38" i="207"/>
  <c r="C38" i="207"/>
  <c r="E37" i="207"/>
  <c r="C37" i="207"/>
  <c r="E36" i="207"/>
  <c r="C36" i="207"/>
  <c r="C35" i="207"/>
  <c r="C34" i="207"/>
  <c r="C33" i="207"/>
  <c r="C32" i="207"/>
  <c r="C31" i="207"/>
  <c r="C30" i="207"/>
  <c r="C29" i="207"/>
  <c r="C25" i="207"/>
  <c r="H24" i="207"/>
  <c r="C24" i="207" s="1"/>
  <c r="H23" i="207"/>
  <c r="C23" i="207" s="1"/>
  <c r="J17" i="207"/>
  <c r="J16" i="207"/>
  <c r="J15" i="207"/>
  <c r="G13" i="207"/>
  <c r="F13" i="207"/>
  <c r="H12" i="207"/>
  <c r="F8" i="207"/>
  <c r="AG89" i="2" l="1"/>
  <c r="AC89" i="2"/>
  <c r="J18" i="207"/>
  <c r="F12" i="207"/>
  <c r="J13" i="207" s="1"/>
  <c r="J18" i="208"/>
  <c r="J12" i="208"/>
  <c r="F11" i="208" s="1"/>
  <c r="J19" i="208"/>
  <c r="AG72" i="2"/>
  <c r="F9" i="208"/>
  <c r="G9" i="208" s="1"/>
  <c r="AG87" i="2"/>
  <c r="AK87" i="2"/>
  <c r="I87" i="2"/>
  <c r="AL87" i="2" s="1"/>
  <c r="F12" i="208"/>
  <c r="M87" i="2"/>
  <c r="M89" i="2"/>
  <c r="I89" i="2"/>
  <c r="AH89" i="2" s="1"/>
  <c r="AI89" i="2" s="1"/>
  <c r="J12" i="207"/>
  <c r="J19" i="207"/>
  <c r="F9" i="207"/>
  <c r="G9" i="207" s="1"/>
  <c r="T90" i="2"/>
  <c r="H90" i="2"/>
  <c r="G90" i="2"/>
  <c r="F90" i="2"/>
  <c r="E90" i="2"/>
  <c r="D90" i="2"/>
  <c r="H28" i="206"/>
  <c r="E43" i="206"/>
  <c r="C43" i="206"/>
  <c r="E42" i="206"/>
  <c r="C42" i="206"/>
  <c r="E41" i="206"/>
  <c r="C41" i="206"/>
  <c r="E40" i="206"/>
  <c r="C40" i="206"/>
  <c r="E39" i="206"/>
  <c r="C39" i="206"/>
  <c r="E38" i="206"/>
  <c r="C38" i="206"/>
  <c r="E37" i="206"/>
  <c r="C37" i="206"/>
  <c r="E36" i="206"/>
  <c r="C36" i="206"/>
  <c r="C35" i="206"/>
  <c r="C34" i="206"/>
  <c r="C33" i="206"/>
  <c r="C32" i="206"/>
  <c r="C31" i="206"/>
  <c r="C30" i="206"/>
  <c r="C29" i="206"/>
  <c r="H27" i="206"/>
  <c r="H26" i="206"/>
  <c r="H25" i="206"/>
  <c r="C25" i="206" s="1"/>
  <c r="H24" i="206"/>
  <c r="C24" i="206" s="1"/>
  <c r="H23" i="206"/>
  <c r="C23" i="206" s="1"/>
  <c r="J17" i="206"/>
  <c r="J16" i="206"/>
  <c r="J15" i="206"/>
  <c r="G13" i="206"/>
  <c r="F13" i="206"/>
  <c r="H12" i="206"/>
  <c r="F8" i="206"/>
  <c r="AG90" i="2" l="1"/>
  <c r="AC90" i="2"/>
  <c r="F10" i="207"/>
  <c r="L87" i="2"/>
  <c r="B87" i="2" s="1"/>
  <c r="J18" i="206"/>
  <c r="F12" i="206"/>
  <c r="F10" i="206" s="1"/>
  <c r="K87" i="2"/>
  <c r="V89" i="2"/>
  <c r="W89" i="2" s="1"/>
  <c r="I9" i="208"/>
  <c r="Y87" i="2"/>
  <c r="Z87" i="2" s="1"/>
  <c r="V87" i="2"/>
  <c r="W87" i="2" s="1"/>
  <c r="AH72" i="2"/>
  <c r="AI72" i="2" s="1"/>
  <c r="W72" i="2"/>
  <c r="Y72" i="2"/>
  <c r="Z72" i="2" s="1"/>
  <c r="AH87" i="2"/>
  <c r="AI87" i="2" s="1"/>
  <c r="I90" i="2"/>
  <c r="AH90" i="2" s="1"/>
  <c r="F11" i="207"/>
  <c r="Y89" i="2"/>
  <c r="Z89" i="2" s="1"/>
  <c r="F10" i="208"/>
  <c r="AM87" i="2"/>
  <c r="M90" i="2"/>
  <c r="I9" i="207"/>
  <c r="K89" i="2"/>
  <c r="J13" i="208"/>
  <c r="J12" i="206"/>
  <c r="J19" i="206"/>
  <c r="F9" i="206"/>
  <c r="G9" i="206" s="1"/>
  <c r="F93" i="2"/>
  <c r="E93" i="2"/>
  <c r="D93" i="2"/>
  <c r="E43" i="205"/>
  <c r="C43" i="205"/>
  <c r="E42" i="205"/>
  <c r="C42" i="205"/>
  <c r="E41" i="205"/>
  <c r="C41" i="205"/>
  <c r="E40" i="205"/>
  <c r="C40" i="205"/>
  <c r="E39" i="205"/>
  <c r="C39" i="205"/>
  <c r="E38" i="205"/>
  <c r="C38" i="205"/>
  <c r="E37" i="205"/>
  <c r="C37" i="205"/>
  <c r="E36" i="205"/>
  <c r="C36" i="205"/>
  <c r="O24" i="205"/>
  <c r="M24" i="205"/>
  <c r="O23" i="205"/>
  <c r="M23" i="205"/>
  <c r="J17" i="205"/>
  <c r="J16" i="205"/>
  <c r="J15" i="205"/>
  <c r="O11" i="205"/>
  <c r="O10" i="205"/>
  <c r="F7" i="205"/>
  <c r="AI90" i="2" l="1"/>
  <c r="V90" i="2"/>
  <c r="W90" i="2" s="1"/>
  <c r="L89" i="2"/>
  <c r="J13" i="206"/>
  <c r="F11" i="206" s="1"/>
  <c r="AM72" i="2"/>
  <c r="Y90" i="2"/>
  <c r="Z90" i="2" s="1"/>
  <c r="F8" i="205"/>
  <c r="J19" i="205" s="1"/>
  <c r="I9" i="206"/>
  <c r="K90" i="2"/>
  <c r="H24" i="205"/>
  <c r="C24" i="205" s="1"/>
  <c r="C26" i="205"/>
  <c r="C34" i="205"/>
  <c r="F13" i="205"/>
  <c r="H23" i="205"/>
  <c r="C25" i="205"/>
  <c r="C27" i="205"/>
  <c r="C33" i="205"/>
  <c r="C31" i="205"/>
  <c r="C35" i="205"/>
  <c r="C32" i="205"/>
  <c r="G13" i="205"/>
  <c r="H12" i="205"/>
  <c r="F12" i="205" s="1"/>
  <c r="J13" i="205" s="1"/>
  <c r="L90" i="2" l="1"/>
  <c r="F9" i="205"/>
  <c r="G9" i="205" s="1"/>
  <c r="I9" i="205" s="1"/>
  <c r="J18" i="205"/>
  <c r="J12" i="205"/>
  <c r="F11" i="205" s="1"/>
  <c r="O12" i="205"/>
  <c r="E23" i="205"/>
  <c r="C23" i="205"/>
  <c r="F10" i="205"/>
  <c r="C30" i="205"/>
  <c r="T91" i="2"/>
  <c r="H91" i="2"/>
  <c r="AC91" i="2" s="1"/>
  <c r="G91" i="2"/>
  <c r="F91" i="2"/>
  <c r="E91" i="2"/>
  <c r="D91" i="2"/>
  <c r="H27" i="204"/>
  <c r="E43" i="204"/>
  <c r="C43" i="204"/>
  <c r="E42" i="204"/>
  <c r="C42" i="204"/>
  <c r="E41" i="204"/>
  <c r="C41" i="204"/>
  <c r="E40" i="204"/>
  <c r="C40" i="204"/>
  <c r="E39" i="204"/>
  <c r="C39" i="204"/>
  <c r="E38" i="204"/>
  <c r="C38" i="204"/>
  <c r="E37" i="204"/>
  <c r="C37" i="204"/>
  <c r="E36" i="204"/>
  <c r="C36" i="204"/>
  <c r="C35" i="204"/>
  <c r="C34" i="204"/>
  <c r="C33" i="204"/>
  <c r="C32" i="204"/>
  <c r="C31" i="204"/>
  <c r="C30" i="204"/>
  <c r="C29" i="204"/>
  <c r="H26" i="204"/>
  <c r="H25" i="204"/>
  <c r="C25" i="204" s="1"/>
  <c r="H24" i="204"/>
  <c r="C24" i="204" s="1"/>
  <c r="H23" i="204"/>
  <c r="C23" i="204" s="1"/>
  <c r="J17" i="204"/>
  <c r="J16" i="204"/>
  <c r="J15" i="204"/>
  <c r="G13" i="204"/>
  <c r="F13" i="204"/>
  <c r="H12" i="204"/>
  <c r="F8" i="204"/>
  <c r="M91" i="2" l="1"/>
  <c r="F9" i="204"/>
  <c r="G9" i="204" s="1"/>
  <c r="K91" i="2" s="1"/>
  <c r="F12" i="204"/>
  <c r="I91" i="2"/>
  <c r="Y91" i="2" s="1"/>
  <c r="Z91" i="2" s="1"/>
  <c r="AG91" i="2"/>
  <c r="J18" i="204"/>
  <c r="J12" i="204"/>
  <c r="J19" i="204"/>
  <c r="T92" i="2"/>
  <c r="G92" i="2"/>
  <c r="F92" i="2"/>
  <c r="E92" i="2"/>
  <c r="D92" i="2"/>
  <c r="I9" i="204" l="1"/>
  <c r="F10" i="204"/>
  <c r="J13" i="204"/>
  <c r="F11" i="204" s="1"/>
  <c r="AH91" i="2"/>
  <c r="AI91" i="2" s="1"/>
  <c r="V91" i="2"/>
  <c r="W91" i="2" s="1"/>
  <c r="I7" i="203"/>
  <c r="F7" i="203" s="1"/>
  <c r="M35" i="203"/>
  <c r="O35" i="203"/>
  <c r="M34" i="203"/>
  <c r="O34" i="203"/>
  <c r="M33" i="203"/>
  <c r="O33" i="203"/>
  <c r="M32" i="203"/>
  <c r="O32" i="203"/>
  <c r="M31" i="203"/>
  <c r="O31" i="203"/>
  <c r="M30" i="203"/>
  <c r="O30" i="203"/>
  <c r="M29" i="203"/>
  <c r="O29" i="203"/>
  <c r="E43" i="203"/>
  <c r="C43" i="203"/>
  <c r="E42" i="203"/>
  <c r="C42" i="203"/>
  <c r="E41" i="203"/>
  <c r="C41" i="203"/>
  <c r="E40" i="203"/>
  <c r="C40" i="203"/>
  <c r="E39" i="203"/>
  <c r="C39" i="203"/>
  <c r="E38" i="203"/>
  <c r="C38" i="203"/>
  <c r="E37" i="203"/>
  <c r="C37" i="203"/>
  <c r="E36" i="203"/>
  <c r="C36" i="203"/>
  <c r="O28" i="203"/>
  <c r="M28" i="203"/>
  <c r="O27" i="203"/>
  <c r="M27" i="203"/>
  <c r="O26" i="203"/>
  <c r="M26" i="203"/>
  <c r="O25" i="203"/>
  <c r="M25" i="203"/>
  <c r="O24" i="203"/>
  <c r="M24" i="203"/>
  <c r="O23" i="203"/>
  <c r="J17" i="203"/>
  <c r="J16" i="203"/>
  <c r="J15" i="203"/>
  <c r="O11" i="203"/>
  <c r="O10" i="203"/>
  <c r="H92" i="2" l="1"/>
  <c r="L91" i="2"/>
  <c r="H34" i="203"/>
  <c r="C34" i="203" s="1"/>
  <c r="H35" i="203"/>
  <c r="E35" i="203" s="1"/>
  <c r="H32" i="203"/>
  <c r="E32" i="203" s="1"/>
  <c r="H31" i="203"/>
  <c r="E31" i="203" s="1"/>
  <c r="H33" i="203"/>
  <c r="E33" i="203" s="1"/>
  <c r="H30" i="203"/>
  <c r="E30" i="203" s="1"/>
  <c r="H29" i="203"/>
  <c r="H27" i="203"/>
  <c r="C27" i="203" s="1"/>
  <c r="H26" i="203"/>
  <c r="C26" i="203" s="1"/>
  <c r="H24" i="203"/>
  <c r="C24" i="203" s="1"/>
  <c r="F13" i="203"/>
  <c r="H23" i="203"/>
  <c r="C23" i="203" s="1"/>
  <c r="G13" i="203"/>
  <c r="F8" i="203"/>
  <c r="H12" i="203"/>
  <c r="H25" i="203"/>
  <c r="C25" i="203" s="1"/>
  <c r="H28" i="203"/>
  <c r="T94" i="2"/>
  <c r="H94" i="2"/>
  <c r="G94" i="2"/>
  <c r="F94" i="2"/>
  <c r="E94" i="2"/>
  <c r="D94" i="2"/>
  <c r="E43" i="202"/>
  <c r="C43" i="202"/>
  <c r="E42" i="202"/>
  <c r="C42" i="202"/>
  <c r="E41" i="202"/>
  <c r="C41" i="202"/>
  <c r="E40" i="202"/>
  <c r="C40" i="202"/>
  <c r="E39" i="202"/>
  <c r="C39" i="202"/>
  <c r="E38" i="202"/>
  <c r="C38" i="202"/>
  <c r="E37" i="202"/>
  <c r="C37" i="202"/>
  <c r="E36" i="202"/>
  <c r="C36" i="202"/>
  <c r="C35" i="202"/>
  <c r="C34" i="202"/>
  <c r="C33" i="202"/>
  <c r="C32" i="202"/>
  <c r="C31" i="202"/>
  <c r="C30" i="202"/>
  <c r="C29" i="202"/>
  <c r="H26" i="202"/>
  <c r="H25" i="202"/>
  <c r="C25" i="202" s="1"/>
  <c r="H24" i="202"/>
  <c r="C24" i="202" s="1"/>
  <c r="H23" i="202"/>
  <c r="C23" i="202" s="1"/>
  <c r="J17" i="202"/>
  <c r="J16" i="202"/>
  <c r="J15" i="202"/>
  <c r="G13" i="202"/>
  <c r="F13" i="202"/>
  <c r="H12" i="202"/>
  <c r="F8" i="202"/>
  <c r="AG94" i="2" l="1"/>
  <c r="AC94" i="2"/>
  <c r="AG92" i="2"/>
  <c r="AC92" i="2"/>
  <c r="F9" i="202"/>
  <c r="G9" i="202" s="1"/>
  <c r="K94" i="2" s="1"/>
  <c r="F12" i="202"/>
  <c r="F10" i="202" s="1"/>
  <c r="E34" i="203"/>
  <c r="I94" i="2"/>
  <c r="AH94" i="2" s="1"/>
  <c r="AI94" i="2" s="1"/>
  <c r="C35" i="203"/>
  <c r="M94" i="2"/>
  <c r="F12" i="203"/>
  <c r="M92" i="2"/>
  <c r="J12" i="203"/>
  <c r="I92" i="2"/>
  <c r="C32" i="203"/>
  <c r="C30" i="203"/>
  <c r="C33" i="203"/>
  <c r="C31" i="203"/>
  <c r="O12" i="203"/>
  <c r="J19" i="203"/>
  <c r="J18" i="203"/>
  <c r="F9" i="203"/>
  <c r="G9" i="203" s="1"/>
  <c r="J18" i="202"/>
  <c r="J12" i="202"/>
  <c r="J19" i="202"/>
  <c r="S12" i="201"/>
  <c r="G12" i="201"/>
  <c r="F12" i="201"/>
  <c r="E12" i="201"/>
  <c r="D12" i="201"/>
  <c r="C12" i="201"/>
  <c r="S11" i="201"/>
  <c r="G11" i="201"/>
  <c r="F11" i="201"/>
  <c r="E11" i="201"/>
  <c r="D11" i="201"/>
  <c r="C11" i="201"/>
  <c r="S10" i="201"/>
  <c r="G10" i="201"/>
  <c r="F10" i="201"/>
  <c r="E10" i="201"/>
  <c r="D10" i="201"/>
  <c r="C10" i="201"/>
  <c r="S9" i="201"/>
  <c r="G9" i="201"/>
  <c r="F9" i="201"/>
  <c r="E9" i="201"/>
  <c r="D9" i="201"/>
  <c r="C9" i="201"/>
  <c r="S8" i="201"/>
  <c r="G8" i="201"/>
  <c r="F8" i="201"/>
  <c r="E8" i="201"/>
  <c r="D8" i="201"/>
  <c r="C8" i="201"/>
  <c r="F10" i="203" l="1"/>
  <c r="J13" i="202"/>
  <c r="F11" i="202" s="1"/>
  <c r="I9" i="202"/>
  <c r="V94" i="2"/>
  <c r="W94" i="2" s="1"/>
  <c r="Y94" i="2"/>
  <c r="Z94" i="2" s="1"/>
  <c r="AH92" i="2"/>
  <c r="AI92" i="2" s="1"/>
  <c r="Y92" i="2"/>
  <c r="Z92" i="2" s="1"/>
  <c r="I9" i="203"/>
  <c r="K92" i="2"/>
  <c r="J13" i="203"/>
  <c r="F11" i="203" s="1"/>
  <c r="V92" i="2"/>
  <c r="W92" i="2" s="1"/>
  <c r="T95" i="2"/>
  <c r="H95" i="2"/>
  <c r="G95" i="2"/>
  <c r="F95" i="2"/>
  <c r="E95" i="2"/>
  <c r="D95" i="2"/>
  <c r="H27" i="200"/>
  <c r="E43" i="200"/>
  <c r="C43" i="200"/>
  <c r="E42" i="200"/>
  <c r="C42" i="200"/>
  <c r="E41" i="200"/>
  <c r="C41" i="200"/>
  <c r="E40" i="200"/>
  <c r="C40" i="200"/>
  <c r="E39" i="200"/>
  <c r="C39" i="200"/>
  <c r="E38" i="200"/>
  <c r="C38" i="200"/>
  <c r="E37" i="200"/>
  <c r="C37" i="200"/>
  <c r="E36" i="200"/>
  <c r="C36" i="200"/>
  <c r="C35" i="200"/>
  <c r="C34" i="200"/>
  <c r="C33" i="200"/>
  <c r="C32" i="200"/>
  <c r="C31" i="200"/>
  <c r="C30" i="200"/>
  <c r="C29" i="200"/>
  <c r="H26" i="200"/>
  <c r="H25" i="200"/>
  <c r="C25" i="200" s="1"/>
  <c r="H24" i="200"/>
  <c r="C24" i="200" s="1"/>
  <c r="H23" i="200"/>
  <c r="C23" i="200" s="1"/>
  <c r="J17" i="200"/>
  <c r="J16" i="200"/>
  <c r="J15" i="200"/>
  <c r="G13" i="200"/>
  <c r="F13" i="200"/>
  <c r="H12" i="200"/>
  <c r="F8" i="200"/>
  <c r="AG95" i="2" l="1"/>
  <c r="AC95" i="2"/>
  <c r="L94" i="2"/>
  <c r="F9" i="200"/>
  <c r="G9" i="200" s="1"/>
  <c r="K95" i="2" s="1"/>
  <c r="F12" i="200"/>
  <c r="J13" i="200" s="1"/>
  <c r="L92" i="2"/>
  <c r="M95" i="2"/>
  <c r="I95" i="2"/>
  <c r="J18" i="200"/>
  <c r="J12" i="200"/>
  <c r="J19" i="200"/>
  <c r="V95" i="2" l="1"/>
  <c r="W95" i="2" s="1"/>
  <c r="F11" i="200"/>
  <c r="L95" i="2" s="1"/>
  <c r="I9" i="200"/>
  <c r="F10" i="200"/>
  <c r="AH95" i="2"/>
  <c r="AI95" i="2" s="1"/>
  <c r="Y95" i="2"/>
  <c r="Z95" i="2" s="1"/>
  <c r="F96" i="2" l="1"/>
  <c r="E96" i="2"/>
  <c r="D96" i="2"/>
  <c r="E43" i="199"/>
  <c r="C43" i="199"/>
  <c r="E42" i="199"/>
  <c r="C42" i="199"/>
  <c r="E41" i="199"/>
  <c r="C41" i="199"/>
  <c r="E40" i="199"/>
  <c r="C40" i="199"/>
  <c r="E39" i="199"/>
  <c r="C39" i="199"/>
  <c r="C38" i="199"/>
  <c r="C37" i="199"/>
  <c r="C36" i="199"/>
  <c r="C35" i="199"/>
  <c r="C34" i="199"/>
  <c r="C33" i="199"/>
  <c r="C32" i="199"/>
  <c r="C31" i="199"/>
  <c r="C30" i="199"/>
  <c r="C29" i="199"/>
  <c r="C28" i="199"/>
  <c r="C27" i="199"/>
  <c r="C26" i="199"/>
  <c r="K25" i="199"/>
  <c r="K24" i="199"/>
  <c r="K23" i="199"/>
  <c r="J16" i="199"/>
  <c r="J15" i="199"/>
  <c r="F7" i="199"/>
  <c r="H23" i="199" l="1"/>
  <c r="C23" i="199" s="1"/>
  <c r="H25" i="199"/>
  <c r="C25" i="199" s="1"/>
  <c r="H12" i="199"/>
  <c r="F12" i="199" s="1"/>
  <c r="J13" i="199" s="1"/>
  <c r="F8" i="199"/>
  <c r="J12" i="199" s="1"/>
  <c r="F13" i="199"/>
  <c r="G13" i="199"/>
  <c r="H24" i="199"/>
  <c r="C24" i="199" s="1"/>
  <c r="F18" i="199"/>
  <c r="J17" i="199" s="1"/>
  <c r="F11" i="199" l="1"/>
  <c r="F10" i="199"/>
  <c r="F9" i="199"/>
  <c r="G9" i="199" s="1"/>
  <c r="I9" i="199" s="1"/>
  <c r="J19" i="199"/>
  <c r="J18" i="199"/>
  <c r="T97" i="2" l="1"/>
  <c r="H97" i="2"/>
  <c r="AC97" i="2" s="1"/>
  <c r="G97" i="2"/>
  <c r="F97" i="2"/>
  <c r="E97" i="2"/>
  <c r="D97" i="2"/>
  <c r="E43" i="197"/>
  <c r="C43" i="197"/>
  <c r="E42" i="197"/>
  <c r="C42" i="197"/>
  <c r="E41" i="197"/>
  <c r="C41" i="197"/>
  <c r="E40" i="197"/>
  <c r="C40" i="197"/>
  <c r="E39" i="197"/>
  <c r="C39" i="197"/>
  <c r="E38" i="197"/>
  <c r="C38" i="197"/>
  <c r="E37" i="197"/>
  <c r="C37" i="197"/>
  <c r="E36" i="197"/>
  <c r="C36" i="197"/>
  <c r="C35" i="197"/>
  <c r="C34" i="197"/>
  <c r="C33" i="197"/>
  <c r="C32" i="197"/>
  <c r="C31" i="197"/>
  <c r="C30" i="197"/>
  <c r="C29" i="197"/>
  <c r="H26" i="197"/>
  <c r="H25" i="197"/>
  <c r="C25" i="197" s="1"/>
  <c r="H24" i="197"/>
  <c r="C24" i="197" s="1"/>
  <c r="H23" i="197"/>
  <c r="C23" i="197" s="1"/>
  <c r="J17" i="197"/>
  <c r="J16" i="197"/>
  <c r="J15" i="197"/>
  <c r="G13" i="197"/>
  <c r="F13" i="197"/>
  <c r="H12" i="197"/>
  <c r="F8" i="197"/>
  <c r="J18" i="197" l="1"/>
  <c r="F12" i="197"/>
  <c r="F10" i="197" s="1"/>
  <c r="M97" i="2"/>
  <c r="I97" i="2"/>
  <c r="Y97" i="2" s="1"/>
  <c r="Z97" i="2" s="1"/>
  <c r="AG97" i="2"/>
  <c r="F9" i="197"/>
  <c r="G9" i="197" s="1"/>
  <c r="J12" i="197"/>
  <c r="J19" i="197"/>
  <c r="T98" i="2"/>
  <c r="H98" i="2"/>
  <c r="AC98" i="2" s="1"/>
  <c r="G98" i="2"/>
  <c r="F98" i="2"/>
  <c r="E98" i="2"/>
  <c r="D98" i="2"/>
  <c r="H27" i="196"/>
  <c r="H26" i="196"/>
  <c r="H25" i="196"/>
  <c r="C25" i="196" s="1"/>
  <c r="C30" i="196"/>
  <c r="C32" i="196"/>
  <c r="H24" i="196"/>
  <c r="C24" i="196" s="1"/>
  <c r="E43" i="196"/>
  <c r="C43" i="196"/>
  <c r="E42" i="196"/>
  <c r="C42" i="196"/>
  <c r="E41" i="196"/>
  <c r="C41" i="196"/>
  <c r="E40" i="196"/>
  <c r="C40" i="196"/>
  <c r="E39" i="196"/>
  <c r="C39" i="196"/>
  <c r="E38" i="196"/>
  <c r="C38" i="196"/>
  <c r="E37" i="196"/>
  <c r="C37" i="196"/>
  <c r="E36" i="196"/>
  <c r="C36" i="196"/>
  <c r="C35" i="196"/>
  <c r="C34" i="196"/>
  <c r="C33" i="196"/>
  <c r="C31" i="196"/>
  <c r="C29" i="196"/>
  <c r="H23" i="196"/>
  <c r="C23" i="196" s="1"/>
  <c r="J17" i="196"/>
  <c r="J16" i="196"/>
  <c r="J15" i="196"/>
  <c r="G13" i="196"/>
  <c r="F13" i="196"/>
  <c r="H12" i="196"/>
  <c r="F8" i="196"/>
  <c r="V97" i="2" l="1"/>
  <c r="W97" i="2" s="1"/>
  <c r="J18" i="196"/>
  <c r="F12" i="196"/>
  <c r="V98" i="2" s="1"/>
  <c r="J13" i="197"/>
  <c r="F11" i="197" s="1"/>
  <c r="AH97" i="2"/>
  <c r="AI97" i="2" s="1"/>
  <c r="I98" i="2"/>
  <c r="AH98" i="2" s="1"/>
  <c r="I9" i="197"/>
  <c r="K97" i="2"/>
  <c r="M98" i="2"/>
  <c r="AG98" i="2"/>
  <c r="J12" i="196"/>
  <c r="J19" i="196"/>
  <c r="F9" i="196"/>
  <c r="G9" i="196" s="1"/>
  <c r="T99" i="2"/>
  <c r="G99" i="2"/>
  <c r="F99" i="2"/>
  <c r="E99" i="2"/>
  <c r="D99" i="2"/>
  <c r="E43" i="195"/>
  <c r="C43" i="195"/>
  <c r="E42" i="195"/>
  <c r="C42" i="195"/>
  <c r="E41" i="195"/>
  <c r="C41" i="195"/>
  <c r="E40" i="195"/>
  <c r="C40" i="195"/>
  <c r="E39" i="195"/>
  <c r="C39" i="195"/>
  <c r="C38" i="195"/>
  <c r="C37" i="195"/>
  <c r="C36" i="195"/>
  <c r="C35" i="195"/>
  <c r="C34" i="195"/>
  <c r="C33" i="195"/>
  <c r="C32" i="195"/>
  <c r="C31" i="195"/>
  <c r="C30" i="195"/>
  <c r="K25" i="195"/>
  <c r="K24" i="195"/>
  <c r="K23" i="195"/>
  <c r="J16" i="195"/>
  <c r="J15" i="195"/>
  <c r="F7" i="195"/>
  <c r="L97" i="2" l="1"/>
  <c r="H99" i="2"/>
  <c r="F10" i="196"/>
  <c r="J13" i="196"/>
  <c r="F11" i="196" s="1"/>
  <c r="H25" i="195"/>
  <c r="C25" i="195" s="1"/>
  <c r="Y98" i="2"/>
  <c r="Z98" i="2" s="1"/>
  <c r="I9" i="196"/>
  <c r="K98" i="2"/>
  <c r="W98" i="2"/>
  <c r="AI98" i="2"/>
  <c r="C29" i="195"/>
  <c r="F13" i="195"/>
  <c r="F8" i="195"/>
  <c r="C28" i="195"/>
  <c r="G13" i="195"/>
  <c r="H24" i="195"/>
  <c r="C24" i="195" s="1"/>
  <c r="H12" i="195"/>
  <c r="F18" i="195"/>
  <c r="J17" i="195" s="1"/>
  <c r="H23" i="195"/>
  <c r="C23" i="195" s="1"/>
  <c r="C27" i="195"/>
  <c r="C26" i="195"/>
  <c r="T101" i="2"/>
  <c r="G101" i="2"/>
  <c r="F101" i="2"/>
  <c r="E101" i="2"/>
  <c r="D101" i="2"/>
  <c r="T102" i="2"/>
  <c r="H102" i="2"/>
  <c r="G102" i="2"/>
  <c r="F102" i="2"/>
  <c r="E102" i="2"/>
  <c r="D102" i="2"/>
  <c r="E43" i="194"/>
  <c r="C43" i="194"/>
  <c r="E42" i="194"/>
  <c r="C42" i="194"/>
  <c r="E41" i="194"/>
  <c r="C41" i="194"/>
  <c r="E40" i="194"/>
  <c r="C40" i="194"/>
  <c r="E39" i="194"/>
  <c r="C39" i="194"/>
  <c r="C38" i="194"/>
  <c r="C37" i="194"/>
  <c r="C36" i="194"/>
  <c r="C35" i="194"/>
  <c r="C34" i="194"/>
  <c r="C31" i="194"/>
  <c r="C30" i="194"/>
  <c r="K29" i="194"/>
  <c r="K28" i="194"/>
  <c r="K27" i="194"/>
  <c r="K26" i="194"/>
  <c r="K25" i="194"/>
  <c r="C33" i="194" s="1"/>
  <c r="K24" i="194"/>
  <c r="K23" i="194"/>
  <c r="J16" i="194"/>
  <c r="J15" i="194"/>
  <c r="F7" i="194"/>
  <c r="H29" i="193"/>
  <c r="C29" i="193" s="1"/>
  <c r="H30" i="193"/>
  <c r="C30" i="193" s="1"/>
  <c r="H31" i="193"/>
  <c r="C31" i="193" s="1"/>
  <c r="H32" i="193"/>
  <c r="C32" i="193" s="1"/>
  <c r="E43" i="193"/>
  <c r="C43" i="193"/>
  <c r="E42" i="193"/>
  <c r="C42" i="193"/>
  <c r="E41" i="193"/>
  <c r="C41" i="193"/>
  <c r="E40" i="193"/>
  <c r="C40" i="193"/>
  <c r="E39" i="193"/>
  <c r="C39" i="193"/>
  <c r="E38" i="193"/>
  <c r="C38" i="193"/>
  <c r="E37" i="193"/>
  <c r="C37" i="193"/>
  <c r="E36" i="193"/>
  <c r="C36" i="193"/>
  <c r="C35" i="193"/>
  <c r="C34" i="193"/>
  <c r="C33" i="193"/>
  <c r="H28" i="193"/>
  <c r="H27" i="193"/>
  <c r="H26" i="193"/>
  <c r="H25" i="193"/>
  <c r="C25" i="193" s="1"/>
  <c r="H24" i="193"/>
  <c r="C24" i="193" s="1"/>
  <c r="H23" i="193"/>
  <c r="C23" i="193" s="1"/>
  <c r="J17" i="193"/>
  <c r="J16" i="193"/>
  <c r="J15" i="193"/>
  <c r="G13" i="193"/>
  <c r="F13" i="193"/>
  <c r="H12" i="193"/>
  <c r="F8" i="193"/>
  <c r="AG102" i="2" l="1"/>
  <c r="AC102" i="2"/>
  <c r="AK99" i="2"/>
  <c r="AC99" i="2"/>
  <c r="AG99" i="2"/>
  <c r="J19" i="193"/>
  <c r="L98" i="2"/>
  <c r="F12" i="193"/>
  <c r="J13" i="193" s="1"/>
  <c r="F18" i="194"/>
  <c r="J17" i="194" s="1"/>
  <c r="I102" i="2"/>
  <c r="F12" i="195"/>
  <c r="F10" i="195" s="1"/>
  <c r="M99" i="2"/>
  <c r="J19" i="195"/>
  <c r="I99" i="2"/>
  <c r="AL99" i="2" s="1"/>
  <c r="H101" i="2"/>
  <c r="AC101" i="2" s="1"/>
  <c r="M102" i="2"/>
  <c r="J12" i="195"/>
  <c r="J18" i="195"/>
  <c r="F9" i="195"/>
  <c r="G9" i="195" s="1"/>
  <c r="H29" i="194"/>
  <c r="C29" i="194" s="1"/>
  <c r="H23" i="194"/>
  <c r="C23" i="194" s="1"/>
  <c r="F8" i="194"/>
  <c r="H26" i="194"/>
  <c r="C26" i="194" s="1"/>
  <c r="F13" i="194"/>
  <c r="H27" i="194"/>
  <c r="C27" i="194" s="1"/>
  <c r="H25" i="194"/>
  <c r="C25" i="194" s="1"/>
  <c r="H28" i="194"/>
  <c r="C28" i="194" s="1"/>
  <c r="G13" i="194"/>
  <c r="H24" i="194"/>
  <c r="C24" i="194" s="1"/>
  <c r="C32" i="194"/>
  <c r="H12" i="194"/>
  <c r="F9" i="193"/>
  <c r="G9" i="193" s="1"/>
  <c r="J18" i="193"/>
  <c r="J12" i="193"/>
  <c r="T103" i="2"/>
  <c r="H103" i="2"/>
  <c r="G103" i="2"/>
  <c r="F103" i="2"/>
  <c r="E103" i="2"/>
  <c r="D103" i="2"/>
  <c r="H28" i="192"/>
  <c r="H26" i="192"/>
  <c r="H27" i="192"/>
  <c r="E43" i="192"/>
  <c r="C43" i="192"/>
  <c r="E42" i="192"/>
  <c r="C42" i="192"/>
  <c r="E41" i="192"/>
  <c r="C41" i="192"/>
  <c r="E40" i="192"/>
  <c r="C40" i="192"/>
  <c r="E39" i="192"/>
  <c r="C39" i="192"/>
  <c r="E38" i="192"/>
  <c r="C38" i="192"/>
  <c r="E37" i="192"/>
  <c r="C37" i="192"/>
  <c r="E36" i="192"/>
  <c r="C36" i="192"/>
  <c r="C35" i="192"/>
  <c r="C34" i="192"/>
  <c r="C33" i="192"/>
  <c r="C32" i="192"/>
  <c r="C31" i="192"/>
  <c r="C30" i="192"/>
  <c r="C29" i="192"/>
  <c r="H25" i="192"/>
  <c r="C25" i="192" s="1"/>
  <c r="H24" i="192"/>
  <c r="C24" i="192" s="1"/>
  <c r="H23" i="192"/>
  <c r="C23" i="192" s="1"/>
  <c r="J17" i="192"/>
  <c r="J16" i="192"/>
  <c r="J15" i="192"/>
  <c r="G13" i="192"/>
  <c r="F13" i="192"/>
  <c r="H12" i="192"/>
  <c r="F8" i="192"/>
  <c r="AG103" i="2" l="1"/>
  <c r="AC103" i="2"/>
  <c r="F10" i="193"/>
  <c r="F11" i="193"/>
  <c r="L102" i="2" s="1"/>
  <c r="F9" i="192"/>
  <c r="G9" i="192" s="1"/>
  <c r="K103" i="2" s="1"/>
  <c r="F12" i="192"/>
  <c r="F10" i="192" s="1"/>
  <c r="V102" i="2"/>
  <c r="W102" i="2" s="1"/>
  <c r="I103" i="2"/>
  <c r="Y103" i="2" s="1"/>
  <c r="Z103" i="2" s="1"/>
  <c r="J13" i="195"/>
  <c r="F11" i="195" s="1"/>
  <c r="V99" i="2"/>
  <c r="W99" i="2" s="1"/>
  <c r="Y102" i="2"/>
  <c r="Z102" i="2" s="1"/>
  <c r="AG101" i="2"/>
  <c r="AM99" i="2"/>
  <c r="AH102" i="2"/>
  <c r="AI102" i="2" s="1"/>
  <c r="M103" i="2"/>
  <c r="I9" i="193"/>
  <c r="K102" i="2"/>
  <c r="J19" i="194"/>
  <c r="I101" i="2"/>
  <c r="F12" i="194"/>
  <c r="M101" i="2"/>
  <c r="I9" i="195"/>
  <c r="K99" i="2"/>
  <c r="Y99" i="2"/>
  <c r="Z99" i="2" s="1"/>
  <c r="AA99" i="2" s="1"/>
  <c r="AH99" i="2"/>
  <c r="AI99" i="2" s="1"/>
  <c r="F9" i="194"/>
  <c r="G9" i="194" s="1"/>
  <c r="J18" i="194"/>
  <c r="J12" i="194"/>
  <c r="F11" i="194" s="1"/>
  <c r="J18" i="192"/>
  <c r="J12" i="192"/>
  <c r="J19" i="192"/>
  <c r="J13" i="192" l="1"/>
  <c r="F11" i="192" s="1"/>
  <c r="V103" i="2"/>
  <c r="W103" i="2" s="1"/>
  <c r="L101" i="2"/>
  <c r="J13" i="194"/>
  <c r="L99" i="2"/>
  <c r="B99" i="2" s="1"/>
  <c r="I9" i="192"/>
  <c r="AH103" i="2"/>
  <c r="AI103" i="2" s="1"/>
  <c r="F10" i="194"/>
  <c r="V101" i="2"/>
  <c r="W101" i="2" s="1"/>
  <c r="I9" i="194"/>
  <c r="K101" i="2"/>
  <c r="Y101" i="2"/>
  <c r="Z101" i="2" s="1"/>
  <c r="AH101" i="2"/>
  <c r="AI101" i="2" s="1"/>
  <c r="T104" i="2"/>
  <c r="H104" i="2"/>
  <c r="AC104" i="2" s="1"/>
  <c r="G104" i="2"/>
  <c r="F104" i="2"/>
  <c r="E104" i="2"/>
  <c r="D104" i="2"/>
  <c r="H25" i="191"/>
  <c r="C25" i="191" s="1"/>
  <c r="E43" i="191"/>
  <c r="C43" i="191"/>
  <c r="E42" i="191"/>
  <c r="C42" i="191"/>
  <c r="E41" i="191"/>
  <c r="C41" i="191"/>
  <c r="E40" i="191"/>
  <c r="C40" i="191"/>
  <c r="E39" i="191"/>
  <c r="C39" i="191"/>
  <c r="E38" i="191"/>
  <c r="C38" i="191"/>
  <c r="E37" i="191"/>
  <c r="C37" i="191"/>
  <c r="E36" i="191"/>
  <c r="C36" i="191"/>
  <c r="C35" i="191"/>
  <c r="C34" i="191"/>
  <c r="C33" i="191"/>
  <c r="C32" i="191"/>
  <c r="C31" i="191"/>
  <c r="C30" i="191"/>
  <c r="C29" i="191"/>
  <c r="H24" i="191"/>
  <c r="C24" i="191" s="1"/>
  <c r="H23" i="191"/>
  <c r="C23" i="191" s="1"/>
  <c r="J17" i="191"/>
  <c r="J16" i="191"/>
  <c r="J15" i="191"/>
  <c r="G13" i="191"/>
  <c r="F13" i="191"/>
  <c r="H12" i="191"/>
  <c r="F8" i="191"/>
  <c r="F12" i="191" l="1"/>
  <c r="V104" i="2" s="1"/>
  <c r="L103" i="2"/>
  <c r="J19" i="191"/>
  <c r="I104" i="2"/>
  <c r="Y104" i="2" s="1"/>
  <c r="Z104" i="2" s="1"/>
  <c r="AG104" i="2"/>
  <c r="M104" i="2"/>
  <c r="F9" i="191"/>
  <c r="G9" i="191" s="1"/>
  <c r="J18" i="191"/>
  <c r="J12" i="191"/>
  <c r="F11" i="191" s="1"/>
  <c r="T105" i="2"/>
  <c r="G105" i="2"/>
  <c r="F105" i="2"/>
  <c r="E105" i="2"/>
  <c r="D105" i="2"/>
  <c r="K33" i="190"/>
  <c r="K32" i="190"/>
  <c r="K31" i="190"/>
  <c r="K30" i="190"/>
  <c r="K29" i="190"/>
  <c r="E43" i="190"/>
  <c r="C43" i="190"/>
  <c r="E42" i="190"/>
  <c r="C42" i="190"/>
  <c r="E41" i="190"/>
  <c r="C41" i="190"/>
  <c r="E40" i="190"/>
  <c r="C40" i="190"/>
  <c r="E39" i="190"/>
  <c r="C39" i="190"/>
  <c r="C38" i="190"/>
  <c r="C37" i="190"/>
  <c r="C36" i="190"/>
  <c r="C35" i="190"/>
  <c r="C34" i="190"/>
  <c r="K28" i="190"/>
  <c r="K27" i="190"/>
  <c r="K26" i="190"/>
  <c r="K25" i="190"/>
  <c r="K24" i="190"/>
  <c r="K23" i="190"/>
  <c r="J16" i="190"/>
  <c r="J15" i="190"/>
  <c r="F7" i="190"/>
  <c r="F10" i="191" l="1"/>
  <c r="J13" i="191"/>
  <c r="H105" i="2"/>
  <c r="L104" i="2"/>
  <c r="AH104" i="2"/>
  <c r="AI104" i="2" s="1"/>
  <c r="W104" i="2"/>
  <c r="H32" i="190"/>
  <c r="C32" i="190" s="1"/>
  <c r="H33" i="190"/>
  <c r="C33" i="190" s="1"/>
  <c r="I9" i="191"/>
  <c r="K104" i="2"/>
  <c r="H29" i="190"/>
  <c r="C29" i="190" s="1"/>
  <c r="H31" i="190"/>
  <c r="C31" i="190" s="1"/>
  <c r="H30" i="190"/>
  <c r="C30" i="190" s="1"/>
  <c r="H27" i="190"/>
  <c r="C27" i="190" s="1"/>
  <c r="G13" i="190"/>
  <c r="H24" i="190"/>
  <c r="C24" i="190" s="1"/>
  <c r="H12" i="190"/>
  <c r="H23" i="190"/>
  <c r="C23" i="190" s="1"/>
  <c r="H28" i="190"/>
  <c r="C28" i="190" s="1"/>
  <c r="F18" i="190"/>
  <c r="J17" i="190" s="1"/>
  <c r="F8" i="190"/>
  <c r="H26" i="190"/>
  <c r="C26" i="190" s="1"/>
  <c r="F13" i="190"/>
  <c r="H25" i="190"/>
  <c r="C25" i="190" s="1"/>
  <c r="T106" i="2"/>
  <c r="H106" i="2"/>
  <c r="G106" i="2"/>
  <c r="F106" i="2"/>
  <c r="E106" i="2"/>
  <c r="D106" i="2"/>
  <c r="E43" i="189"/>
  <c r="C43" i="189"/>
  <c r="E42" i="189"/>
  <c r="C42" i="189"/>
  <c r="E41" i="189"/>
  <c r="C41" i="189"/>
  <c r="E40" i="189"/>
  <c r="C40" i="189"/>
  <c r="E39" i="189"/>
  <c r="C39" i="189"/>
  <c r="E38" i="189"/>
  <c r="C38" i="189"/>
  <c r="E37" i="189"/>
  <c r="C37" i="189"/>
  <c r="E36" i="189"/>
  <c r="C36" i="189"/>
  <c r="C35" i="189"/>
  <c r="C34" i="189"/>
  <c r="C33" i="189"/>
  <c r="C32" i="189"/>
  <c r="C31" i="189"/>
  <c r="C30" i="189"/>
  <c r="C29" i="189"/>
  <c r="C25" i="189"/>
  <c r="H24" i="189"/>
  <c r="C24" i="189" s="1"/>
  <c r="H23" i="189"/>
  <c r="C23" i="189" s="1"/>
  <c r="J17" i="189"/>
  <c r="J16" i="189"/>
  <c r="J15" i="189"/>
  <c r="G13" i="189"/>
  <c r="F13" i="189"/>
  <c r="H12" i="189"/>
  <c r="F8" i="189"/>
  <c r="AG105" i="2" l="1"/>
  <c r="AC105" i="2"/>
  <c r="AG106" i="2"/>
  <c r="AC106" i="2"/>
  <c r="F12" i="189"/>
  <c r="F10" i="189" s="1"/>
  <c r="I106" i="2"/>
  <c r="AH106" i="2" s="1"/>
  <c r="AI106" i="2" s="1"/>
  <c r="I105" i="2"/>
  <c r="Y105" i="2" s="1"/>
  <c r="Z105" i="2" s="1"/>
  <c r="F9" i="189"/>
  <c r="G9" i="189" s="1"/>
  <c r="H8" i="201"/>
  <c r="M106" i="2"/>
  <c r="L8" i="201"/>
  <c r="F12" i="190"/>
  <c r="M105" i="2"/>
  <c r="J19" i="190"/>
  <c r="F9" i="190"/>
  <c r="G9" i="190" s="1"/>
  <c r="J18" i="190"/>
  <c r="J12" i="190"/>
  <c r="J18" i="189"/>
  <c r="J12" i="189"/>
  <c r="F11" i="189" s="1"/>
  <c r="J19" i="189"/>
  <c r="T107" i="2"/>
  <c r="G107" i="2"/>
  <c r="F107" i="2"/>
  <c r="E107" i="2"/>
  <c r="D107" i="2"/>
  <c r="E43" i="188"/>
  <c r="C43" i="188"/>
  <c r="E42" i="188"/>
  <c r="C42" i="188"/>
  <c r="E41" i="188"/>
  <c r="C41" i="188"/>
  <c r="E40" i="188"/>
  <c r="C40" i="188"/>
  <c r="E39" i="188"/>
  <c r="C39" i="188"/>
  <c r="C38" i="188"/>
  <c r="C37" i="188"/>
  <c r="C36" i="188"/>
  <c r="C34" i="188"/>
  <c r="C32" i="188"/>
  <c r="C31" i="188"/>
  <c r="C30" i="188"/>
  <c r="K28" i="188"/>
  <c r="K27" i="188"/>
  <c r="K26" i="188"/>
  <c r="K25" i="188"/>
  <c r="K24" i="188"/>
  <c r="C33" i="188" s="1"/>
  <c r="K23" i="188"/>
  <c r="J16" i="188"/>
  <c r="J15" i="188"/>
  <c r="F7" i="188"/>
  <c r="J13" i="189" l="1"/>
  <c r="V106" i="2"/>
  <c r="W106" i="2" s="1"/>
  <c r="AH105" i="2"/>
  <c r="AI105" i="2" s="1"/>
  <c r="Y106" i="2"/>
  <c r="Z106" i="2" s="1"/>
  <c r="H107" i="2"/>
  <c r="K106" i="2"/>
  <c r="F10" i="190"/>
  <c r="V105" i="2"/>
  <c r="W105" i="2" s="1"/>
  <c r="I9" i="189"/>
  <c r="J8" i="201"/>
  <c r="L106" i="2"/>
  <c r="K8" i="201"/>
  <c r="J13" i="190"/>
  <c r="F11" i="190" s="1"/>
  <c r="H12" i="188"/>
  <c r="I9" i="190"/>
  <c r="K105" i="2"/>
  <c r="H28" i="188"/>
  <c r="C28" i="188" s="1"/>
  <c r="H26" i="188"/>
  <c r="C26" i="188" s="1"/>
  <c r="F18" i="188"/>
  <c r="J17" i="188" s="1"/>
  <c r="H27" i="188"/>
  <c r="C27" i="188" s="1"/>
  <c r="F13" i="188"/>
  <c r="H25" i="188"/>
  <c r="C25" i="188" s="1"/>
  <c r="G13" i="188"/>
  <c r="H24" i="188"/>
  <c r="C24" i="188" s="1"/>
  <c r="C35" i="188"/>
  <c r="F8" i="188"/>
  <c r="H23" i="188"/>
  <c r="C23" i="188" s="1"/>
  <c r="C29" i="188"/>
  <c r="AG107" i="2" l="1"/>
  <c r="AC107" i="2"/>
  <c r="L105" i="2"/>
  <c r="I107" i="2"/>
  <c r="Y107" i="2" s="1"/>
  <c r="Z107" i="2" s="1"/>
  <c r="F12" i="188"/>
  <c r="M107" i="2"/>
  <c r="J19" i="188"/>
  <c r="F9" i="188"/>
  <c r="G9" i="188" s="1"/>
  <c r="J18" i="188"/>
  <c r="J12" i="188"/>
  <c r="H28" i="170"/>
  <c r="AH107" i="2" l="1"/>
  <c r="AI107" i="2" s="1"/>
  <c r="V107" i="2"/>
  <c r="W107" i="2" s="1"/>
  <c r="I9" i="188"/>
  <c r="K107" i="2"/>
  <c r="J13" i="188"/>
  <c r="F11" i="188" s="1"/>
  <c r="F10" i="188"/>
  <c r="M24" i="187"/>
  <c r="M27" i="187"/>
  <c r="M28" i="187"/>
  <c r="T108" i="2"/>
  <c r="F108" i="2"/>
  <c r="G108" i="2"/>
  <c r="E108" i="2"/>
  <c r="D108" i="2"/>
  <c r="F7" i="187"/>
  <c r="O28" i="187"/>
  <c r="O27" i="187"/>
  <c r="E43" i="187"/>
  <c r="C43" i="187"/>
  <c r="E42" i="187"/>
  <c r="C42" i="187"/>
  <c r="E41" i="187"/>
  <c r="C41" i="187"/>
  <c r="E40" i="187"/>
  <c r="C40" i="187"/>
  <c r="E39" i="187"/>
  <c r="C39" i="187"/>
  <c r="E38" i="187"/>
  <c r="C38" i="187"/>
  <c r="E37" i="187"/>
  <c r="C37" i="187"/>
  <c r="E36" i="187"/>
  <c r="C36" i="187"/>
  <c r="E35" i="187"/>
  <c r="C35" i="187"/>
  <c r="E34" i="187"/>
  <c r="C34" i="187"/>
  <c r="E33" i="187"/>
  <c r="C33" i="187"/>
  <c r="E32" i="187"/>
  <c r="C32" i="187"/>
  <c r="E31" i="187"/>
  <c r="C31" i="187"/>
  <c r="E30" i="187"/>
  <c r="C30" i="187"/>
  <c r="O26" i="187"/>
  <c r="M26" i="187"/>
  <c r="O25" i="187"/>
  <c r="M25" i="187"/>
  <c r="O24" i="187"/>
  <c r="O23" i="187"/>
  <c r="M23" i="187"/>
  <c r="J17" i="187"/>
  <c r="J16" i="187"/>
  <c r="J15" i="187"/>
  <c r="O11" i="187"/>
  <c r="O10" i="187"/>
  <c r="L107" i="2" l="1"/>
  <c r="H28" i="187"/>
  <c r="H108" i="2"/>
  <c r="H27" i="187"/>
  <c r="C27" i="187" s="1"/>
  <c r="G13" i="187"/>
  <c r="F13" i="187"/>
  <c r="H26" i="187"/>
  <c r="C26" i="187" s="1"/>
  <c r="H25" i="187"/>
  <c r="C25" i="187" s="1"/>
  <c r="H24" i="187"/>
  <c r="C24" i="187" s="1"/>
  <c r="H23" i="187"/>
  <c r="H12" i="187"/>
  <c r="F8" i="187"/>
  <c r="T109" i="2"/>
  <c r="H109" i="2"/>
  <c r="G109" i="2"/>
  <c r="F109" i="2"/>
  <c r="E109" i="2"/>
  <c r="D109" i="2"/>
  <c r="T110" i="2"/>
  <c r="H110" i="2"/>
  <c r="G110" i="2"/>
  <c r="F110" i="2"/>
  <c r="E110" i="2"/>
  <c r="D110" i="2"/>
  <c r="E43" i="186"/>
  <c r="C43" i="186"/>
  <c r="E42" i="186"/>
  <c r="C42" i="186"/>
  <c r="E41" i="186"/>
  <c r="C41" i="186"/>
  <c r="E40" i="186"/>
  <c r="C40" i="186"/>
  <c r="E39" i="186"/>
  <c r="C39" i="186"/>
  <c r="E38" i="186"/>
  <c r="C38" i="186"/>
  <c r="E37" i="186"/>
  <c r="C37" i="186"/>
  <c r="E36" i="186"/>
  <c r="C36" i="186"/>
  <c r="C35" i="186"/>
  <c r="C34" i="186"/>
  <c r="C33" i="186"/>
  <c r="C32" i="186"/>
  <c r="C31" i="186"/>
  <c r="C30" i="186"/>
  <c r="C29" i="186"/>
  <c r="C25" i="186"/>
  <c r="H24" i="186"/>
  <c r="C24" i="186" s="1"/>
  <c r="H23" i="186"/>
  <c r="C23" i="186" s="1"/>
  <c r="J17" i="186"/>
  <c r="J16" i="186"/>
  <c r="J15" i="186"/>
  <c r="G13" i="186"/>
  <c r="F13" i="186"/>
  <c r="H12" i="186"/>
  <c r="F8" i="186"/>
  <c r="E43" i="185"/>
  <c r="C43" i="185"/>
  <c r="E42" i="185"/>
  <c r="C42" i="185"/>
  <c r="E41" i="185"/>
  <c r="C41" i="185"/>
  <c r="E40" i="185"/>
  <c r="C40" i="185"/>
  <c r="E39" i="185"/>
  <c r="C39" i="185"/>
  <c r="E38" i="185"/>
  <c r="C38" i="185"/>
  <c r="E37" i="185"/>
  <c r="C37" i="185"/>
  <c r="E36" i="185"/>
  <c r="C36" i="185"/>
  <c r="C35" i="185"/>
  <c r="C34" i="185"/>
  <c r="C33" i="185"/>
  <c r="C32" i="185"/>
  <c r="C31" i="185"/>
  <c r="C30" i="185"/>
  <c r="C29" i="185"/>
  <c r="H28" i="185"/>
  <c r="H27" i="185"/>
  <c r="H26" i="185"/>
  <c r="H25" i="185"/>
  <c r="C25" i="185" s="1"/>
  <c r="H24" i="185"/>
  <c r="C24" i="185" s="1"/>
  <c r="H23" i="185"/>
  <c r="C23" i="185" s="1"/>
  <c r="J17" i="185"/>
  <c r="J16" i="185"/>
  <c r="J15" i="185"/>
  <c r="G13" i="185"/>
  <c r="F13" i="185"/>
  <c r="H12" i="185"/>
  <c r="F8" i="185"/>
  <c r="AG110" i="2" l="1"/>
  <c r="AC110" i="2"/>
  <c r="AG108" i="2"/>
  <c r="AC108" i="2"/>
  <c r="AG109" i="2"/>
  <c r="AC109" i="2"/>
  <c r="J18" i="185"/>
  <c r="J19" i="186"/>
  <c r="F12" i="185"/>
  <c r="J13" i="185" s="1"/>
  <c r="F12" i="186"/>
  <c r="V109" i="2" s="1"/>
  <c r="J12" i="187"/>
  <c r="I110" i="2"/>
  <c r="M110" i="2"/>
  <c r="M109" i="2"/>
  <c r="I109" i="2"/>
  <c r="F12" i="187"/>
  <c r="M108" i="2"/>
  <c r="J19" i="187"/>
  <c r="I108" i="2"/>
  <c r="O12" i="187"/>
  <c r="C23" i="187"/>
  <c r="F9" i="187"/>
  <c r="G9" i="187" s="1"/>
  <c r="J18" i="187"/>
  <c r="F9" i="186"/>
  <c r="G9" i="186" s="1"/>
  <c r="J18" i="186"/>
  <c r="J12" i="186"/>
  <c r="J12" i="185"/>
  <c r="J19" i="185"/>
  <c r="F9" i="185"/>
  <c r="G9" i="185" s="1"/>
  <c r="T111" i="2"/>
  <c r="H111" i="2"/>
  <c r="G111" i="2"/>
  <c r="F111" i="2"/>
  <c r="E111" i="2"/>
  <c r="D111" i="2"/>
  <c r="H31" i="184"/>
  <c r="C31" i="184" s="1"/>
  <c r="H25" i="184"/>
  <c r="C25" i="184" s="1"/>
  <c r="H26" i="184"/>
  <c r="H27" i="184"/>
  <c r="H28" i="184"/>
  <c r="H29" i="184"/>
  <c r="C29" i="184" s="1"/>
  <c r="H30" i="184"/>
  <c r="C30" i="184" s="1"/>
  <c r="C32" i="184"/>
  <c r="C33" i="184"/>
  <c r="C34" i="184"/>
  <c r="C35" i="184"/>
  <c r="E43" i="184"/>
  <c r="C43" i="184"/>
  <c r="E42" i="184"/>
  <c r="C42" i="184"/>
  <c r="E41" i="184"/>
  <c r="C41" i="184"/>
  <c r="E40" i="184"/>
  <c r="C40" i="184"/>
  <c r="E39" i="184"/>
  <c r="C39" i="184"/>
  <c r="E38" i="184"/>
  <c r="C38" i="184"/>
  <c r="E37" i="184"/>
  <c r="C37" i="184"/>
  <c r="E36" i="184"/>
  <c r="C36" i="184"/>
  <c r="H24" i="184"/>
  <c r="C24" i="184" s="1"/>
  <c r="H23" i="184"/>
  <c r="C23" i="184" s="1"/>
  <c r="J17" i="184"/>
  <c r="J16" i="184"/>
  <c r="J15" i="184"/>
  <c r="G13" i="184"/>
  <c r="F13" i="184"/>
  <c r="H12" i="184"/>
  <c r="F8" i="184"/>
  <c r="AG111" i="2" l="1"/>
  <c r="AC111" i="2"/>
  <c r="F10" i="185"/>
  <c r="F10" i="186"/>
  <c r="V110" i="2"/>
  <c r="W110" i="2" s="1"/>
  <c r="J13" i="186"/>
  <c r="J18" i="184"/>
  <c r="H9" i="201"/>
  <c r="AH110" i="2"/>
  <c r="AI110" i="2" s="1"/>
  <c r="F12" i="184"/>
  <c r="F10" i="184" s="1"/>
  <c r="L9" i="201"/>
  <c r="M111" i="2"/>
  <c r="F11" i="185"/>
  <c r="J13" i="187"/>
  <c r="F11" i="187" s="1"/>
  <c r="V108" i="2"/>
  <c r="W108" i="2" s="1"/>
  <c r="Y110" i="2"/>
  <c r="Z110" i="2" s="1"/>
  <c r="AH109" i="2"/>
  <c r="AI109" i="2" s="1"/>
  <c r="W109" i="2"/>
  <c r="Y109" i="2"/>
  <c r="Z109" i="2" s="1"/>
  <c r="I111" i="2"/>
  <c r="AH111" i="2" s="1"/>
  <c r="AI111" i="2" s="1"/>
  <c r="I9" i="186"/>
  <c r="K109" i="2"/>
  <c r="I9" i="185"/>
  <c r="K110" i="2"/>
  <c r="AH108" i="2"/>
  <c r="AI108" i="2" s="1"/>
  <c r="Y108" i="2"/>
  <c r="Z108" i="2" s="1"/>
  <c r="F10" i="187"/>
  <c r="I9" i="187"/>
  <c r="K108" i="2"/>
  <c r="F11" i="186"/>
  <c r="J12" i="184"/>
  <c r="J19" i="184"/>
  <c r="F9" i="184"/>
  <c r="G9" i="184" s="1"/>
  <c r="T112" i="2"/>
  <c r="G112" i="2"/>
  <c r="F112" i="2"/>
  <c r="E112" i="2"/>
  <c r="D112" i="2"/>
  <c r="K35" i="183"/>
  <c r="K34" i="183"/>
  <c r="K33" i="183"/>
  <c r="K32" i="183"/>
  <c r="K31" i="183"/>
  <c r="K30" i="183"/>
  <c r="K29" i="183"/>
  <c r="K28" i="183"/>
  <c r="E43" i="183"/>
  <c r="C43" i="183"/>
  <c r="E42" i="183"/>
  <c r="C42" i="183"/>
  <c r="E41" i="183"/>
  <c r="C41" i="183"/>
  <c r="E40" i="183"/>
  <c r="C40" i="183"/>
  <c r="E39" i="183"/>
  <c r="C39" i="183"/>
  <c r="C38" i="183"/>
  <c r="C37" i="183"/>
  <c r="C36" i="183"/>
  <c r="K27" i="183"/>
  <c r="K26" i="183"/>
  <c r="K25" i="183"/>
  <c r="K24" i="183"/>
  <c r="K23" i="183"/>
  <c r="J16" i="183"/>
  <c r="J15" i="183"/>
  <c r="F7" i="183"/>
  <c r="L110" i="2" l="1"/>
  <c r="F18" i="183"/>
  <c r="J17" i="183" s="1"/>
  <c r="J9" i="201"/>
  <c r="L109" i="2"/>
  <c r="L108" i="2"/>
  <c r="H35" i="183"/>
  <c r="C35" i="183" s="1"/>
  <c r="J13" i="184"/>
  <c r="F11" i="184" s="1"/>
  <c r="V111" i="2"/>
  <c r="W111" i="2" s="1"/>
  <c r="Y111" i="2"/>
  <c r="Z111" i="2" s="1"/>
  <c r="H30" i="183"/>
  <c r="C30" i="183" s="1"/>
  <c r="H31" i="183"/>
  <c r="C31" i="183" s="1"/>
  <c r="H34" i="183"/>
  <c r="C34" i="183" s="1"/>
  <c r="I9" i="184"/>
  <c r="K111" i="2"/>
  <c r="H32" i="183"/>
  <c r="C32" i="183" s="1"/>
  <c r="H112" i="2"/>
  <c r="H33" i="183"/>
  <c r="C33" i="183" s="1"/>
  <c r="H29" i="183"/>
  <c r="C29" i="183" s="1"/>
  <c r="G13" i="183"/>
  <c r="H28" i="183"/>
  <c r="C28" i="183" s="1"/>
  <c r="H12" i="183"/>
  <c r="H23" i="183"/>
  <c r="C23" i="183" s="1"/>
  <c r="F13" i="183"/>
  <c r="H27" i="183"/>
  <c r="C27" i="183" s="1"/>
  <c r="H24" i="183"/>
  <c r="C24" i="183" s="1"/>
  <c r="H25" i="183"/>
  <c r="C25" i="183" s="1"/>
  <c r="H26" i="183"/>
  <c r="C26" i="183" s="1"/>
  <c r="F8" i="183"/>
  <c r="T113" i="2"/>
  <c r="H113" i="2"/>
  <c r="G113" i="2"/>
  <c r="F113" i="2"/>
  <c r="E113" i="2"/>
  <c r="D113" i="2"/>
  <c r="E43" i="182"/>
  <c r="C43" i="182"/>
  <c r="E42" i="182"/>
  <c r="C42" i="182"/>
  <c r="E41" i="182"/>
  <c r="C41" i="182"/>
  <c r="E40" i="182"/>
  <c r="C40" i="182"/>
  <c r="E39" i="182"/>
  <c r="C39" i="182"/>
  <c r="E38" i="182"/>
  <c r="C38" i="182"/>
  <c r="E37" i="182"/>
  <c r="C37" i="182"/>
  <c r="E36" i="182"/>
  <c r="C36" i="182"/>
  <c r="C35" i="182"/>
  <c r="C34" i="182"/>
  <c r="C33" i="182"/>
  <c r="C32" i="182"/>
  <c r="C31" i="182"/>
  <c r="C30" i="182"/>
  <c r="C29" i="182"/>
  <c r="C25" i="182"/>
  <c r="H24" i="182"/>
  <c r="C24" i="182" s="1"/>
  <c r="H23" i="182"/>
  <c r="C23" i="182" s="1"/>
  <c r="J17" i="182"/>
  <c r="J16" i="182"/>
  <c r="J15" i="182"/>
  <c r="G13" i="182"/>
  <c r="F13" i="182"/>
  <c r="H12" i="182"/>
  <c r="F8" i="182"/>
  <c r="AG112" i="2" l="1"/>
  <c r="AC112" i="2"/>
  <c r="AG113" i="2"/>
  <c r="AC113" i="2"/>
  <c r="J18" i="182"/>
  <c r="M113" i="2"/>
  <c r="I112" i="2"/>
  <c r="AH112" i="2" s="1"/>
  <c r="AI112" i="2" s="1"/>
  <c r="L111" i="2"/>
  <c r="K9" i="201"/>
  <c r="F12" i="182"/>
  <c r="I113" i="2"/>
  <c r="Y113" i="2" s="1"/>
  <c r="Z113" i="2" s="1"/>
  <c r="F12" i="183"/>
  <c r="M112" i="2"/>
  <c r="J19" i="183"/>
  <c r="F9" i="183"/>
  <c r="G9" i="183" s="1"/>
  <c r="J18" i="183"/>
  <c r="J12" i="183"/>
  <c r="J12" i="182"/>
  <c r="J19" i="182"/>
  <c r="F9" i="182"/>
  <c r="G9" i="182" s="1"/>
  <c r="F114" i="2"/>
  <c r="E114" i="2"/>
  <c r="D114" i="2"/>
  <c r="E43" i="181"/>
  <c r="C43" i="181"/>
  <c r="E42" i="181"/>
  <c r="C42" i="181"/>
  <c r="E41" i="181"/>
  <c r="C41" i="181"/>
  <c r="E40" i="181"/>
  <c r="C40" i="181"/>
  <c r="E39" i="181"/>
  <c r="C39" i="181"/>
  <c r="E38" i="181"/>
  <c r="C38" i="181"/>
  <c r="E37" i="181"/>
  <c r="C37" i="181"/>
  <c r="E36" i="181"/>
  <c r="C36" i="181"/>
  <c r="E35" i="181"/>
  <c r="C35" i="181"/>
  <c r="E34" i="181"/>
  <c r="C34" i="181"/>
  <c r="E33" i="181"/>
  <c r="C33" i="181"/>
  <c r="E32" i="181"/>
  <c r="C32" i="181"/>
  <c r="E31" i="181"/>
  <c r="C31" i="181"/>
  <c r="E30" i="181"/>
  <c r="C30" i="181"/>
  <c r="C27" i="181"/>
  <c r="O24" i="181"/>
  <c r="M24" i="181"/>
  <c r="O23" i="181"/>
  <c r="M23" i="181"/>
  <c r="J17" i="181"/>
  <c r="J16" i="181"/>
  <c r="J15" i="181"/>
  <c r="O11" i="181"/>
  <c r="O10" i="181"/>
  <c r="F7" i="181"/>
  <c r="V112" i="2" l="1"/>
  <c r="W112" i="2" s="1"/>
  <c r="Y112" i="2"/>
  <c r="Z112" i="2" s="1"/>
  <c r="F13" i="181"/>
  <c r="J13" i="182"/>
  <c r="F11" i="182" s="1"/>
  <c r="V113" i="2"/>
  <c r="W113" i="2" s="1"/>
  <c r="F10" i="182"/>
  <c r="AH113" i="2"/>
  <c r="AI113" i="2" s="1"/>
  <c r="I9" i="182"/>
  <c r="K113" i="2"/>
  <c r="J13" i="183"/>
  <c r="F11" i="183" s="1"/>
  <c r="F10" i="183"/>
  <c r="I9" i="183"/>
  <c r="K112" i="2"/>
  <c r="H12" i="181"/>
  <c r="F12" i="181" s="1"/>
  <c r="J13" i="181" s="1"/>
  <c r="G13" i="181"/>
  <c r="H24" i="181"/>
  <c r="C24" i="181" s="1"/>
  <c r="H23" i="181"/>
  <c r="C23" i="181" s="1"/>
  <c r="F8" i="181"/>
  <c r="AG115" i="2"/>
  <c r="E43" i="180"/>
  <c r="C43" i="180"/>
  <c r="E42" i="180"/>
  <c r="C42" i="180"/>
  <c r="E41" i="180"/>
  <c r="C41" i="180"/>
  <c r="E40" i="180"/>
  <c r="C40" i="180"/>
  <c r="E39" i="180"/>
  <c r="C39" i="180"/>
  <c r="E38" i="180"/>
  <c r="C38" i="180"/>
  <c r="E37" i="180"/>
  <c r="C37" i="180"/>
  <c r="E36" i="180"/>
  <c r="C36" i="180"/>
  <c r="C35" i="180"/>
  <c r="C34" i="180"/>
  <c r="C33" i="180"/>
  <c r="C32" i="180"/>
  <c r="C31" i="180"/>
  <c r="C30" i="180"/>
  <c r="C29" i="180"/>
  <c r="H27" i="180"/>
  <c r="H26" i="180"/>
  <c r="H25" i="180"/>
  <c r="C25" i="180" s="1"/>
  <c r="H24" i="180"/>
  <c r="C24" i="180" s="1"/>
  <c r="H23" i="180"/>
  <c r="C23" i="180" s="1"/>
  <c r="J17" i="180"/>
  <c r="J16" i="180"/>
  <c r="J15" i="180"/>
  <c r="G13" i="180"/>
  <c r="F13" i="180"/>
  <c r="H12" i="180"/>
  <c r="F8" i="180"/>
  <c r="L113" i="2" l="1"/>
  <c r="I115" i="2"/>
  <c r="Y115" i="2" s="1"/>
  <c r="Z115" i="2" s="1"/>
  <c r="L112" i="2"/>
  <c r="M115" i="2"/>
  <c r="J19" i="180"/>
  <c r="J19" i="181"/>
  <c r="F12" i="180"/>
  <c r="F10" i="181"/>
  <c r="O12" i="181"/>
  <c r="F9" i="181"/>
  <c r="G9" i="181" s="1"/>
  <c r="J18" i="181"/>
  <c r="J12" i="181"/>
  <c r="F11" i="181" s="1"/>
  <c r="F9" i="180"/>
  <c r="G9" i="180" s="1"/>
  <c r="J18" i="180"/>
  <c r="J12" i="180"/>
  <c r="T116" i="2"/>
  <c r="G116" i="2"/>
  <c r="F116" i="2"/>
  <c r="E116" i="2"/>
  <c r="D116" i="2"/>
  <c r="K25" i="179"/>
  <c r="K27" i="179"/>
  <c r="K23" i="179"/>
  <c r="E43" i="179"/>
  <c r="C43" i="179"/>
  <c r="E42" i="179"/>
  <c r="C42" i="179"/>
  <c r="E41" i="179"/>
  <c r="C41" i="179"/>
  <c r="E40" i="179"/>
  <c r="C40" i="179"/>
  <c r="E39" i="179"/>
  <c r="C39" i="179"/>
  <c r="C38" i="179"/>
  <c r="C37" i="179"/>
  <c r="C36" i="179"/>
  <c r="C35" i="179"/>
  <c r="C34" i="179"/>
  <c r="C33" i="179"/>
  <c r="C32" i="179"/>
  <c r="C31" i="179"/>
  <c r="C29" i="179"/>
  <c r="K26" i="179"/>
  <c r="K24" i="179"/>
  <c r="J16" i="179"/>
  <c r="J15" i="179"/>
  <c r="F7" i="179"/>
  <c r="H116" i="2" l="1"/>
  <c r="K115" i="2"/>
  <c r="F10" i="180"/>
  <c r="V115" i="2"/>
  <c r="W115" i="2" s="1"/>
  <c r="AH115" i="2"/>
  <c r="AI115" i="2" s="1"/>
  <c r="I9" i="180"/>
  <c r="J13" i="180"/>
  <c r="F11" i="180" s="1"/>
  <c r="I9" i="181"/>
  <c r="H23" i="179"/>
  <c r="C23" i="179" s="1"/>
  <c r="H24" i="179"/>
  <c r="C24" i="179" s="1"/>
  <c r="F13" i="179"/>
  <c r="G13" i="179"/>
  <c r="F8" i="179"/>
  <c r="H26" i="179"/>
  <c r="C26" i="179" s="1"/>
  <c r="H25" i="179"/>
  <c r="C25" i="179" s="1"/>
  <c r="C28" i="179"/>
  <c r="H27" i="179"/>
  <c r="C27" i="179" s="1"/>
  <c r="H12" i="179"/>
  <c r="F18" i="179"/>
  <c r="J17" i="179" s="1"/>
  <c r="F462" i="173"/>
  <c r="G464" i="173"/>
  <c r="F464" i="173" s="1"/>
  <c r="G465" i="173"/>
  <c r="F465" i="173" s="1"/>
  <c r="G466" i="173"/>
  <c r="F466" i="173" s="1"/>
  <c r="G467" i="173"/>
  <c r="F467" i="173" s="1"/>
  <c r="G468" i="173"/>
  <c r="F468" i="173" s="1"/>
  <c r="G469" i="173"/>
  <c r="F469" i="173" s="1"/>
  <c r="G470" i="173"/>
  <c r="F470" i="173" s="1"/>
  <c r="G463" i="173"/>
  <c r="F463" i="173" s="1"/>
  <c r="S456" i="173"/>
  <c r="H456" i="173"/>
  <c r="V456" i="173" s="1"/>
  <c r="G456" i="173"/>
  <c r="F456" i="173"/>
  <c r="E456" i="173"/>
  <c r="D456" i="173"/>
  <c r="S455" i="173"/>
  <c r="G455" i="173"/>
  <c r="F455" i="173"/>
  <c r="E455" i="173"/>
  <c r="D455" i="173"/>
  <c r="S454" i="173"/>
  <c r="H454" i="173"/>
  <c r="V454" i="173" s="1"/>
  <c r="G454" i="173"/>
  <c r="F454" i="173"/>
  <c r="E454" i="173"/>
  <c r="D454" i="173"/>
  <c r="S453" i="173"/>
  <c r="G453" i="173"/>
  <c r="F453" i="173"/>
  <c r="E453" i="173"/>
  <c r="D453" i="173"/>
  <c r="S452" i="173"/>
  <c r="H452" i="173"/>
  <c r="V452" i="173" s="1"/>
  <c r="G452" i="173"/>
  <c r="F452" i="173"/>
  <c r="E452" i="173"/>
  <c r="D452" i="173"/>
  <c r="S374" i="173"/>
  <c r="G374" i="173"/>
  <c r="F374" i="173"/>
  <c r="E374" i="173"/>
  <c r="D374" i="173"/>
  <c r="AK116" i="2" l="1"/>
  <c r="AO87" i="2" s="1"/>
  <c r="AC116" i="2"/>
  <c r="AO99" i="2"/>
  <c r="AO72" i="2"/>
  <c r="L115" i="2"/>
  <c r="F9" i="179"/>
  <c r="G9" i="179" s="1"/>
  <c r="I116" i="2"/>
  <c r="F12" i="179"/>
  <c r="M116" i="2"/>
  <c r="J19" i="179"/>
  <c r="J12" i="179"/>
  <c r="J18" i="179"/>
  <c r="H685" i="173"/>
  <c r="H684" i="173"/>
  <c r="H683" i="173"/>
  <c r="H605" i="173"/>
  <c r="H300" i="173"/>
  <c r="H662" i="173"/>
  <c r="H635" i="173"/>
  <c r="H607" i="173"/>
  <c r="H672" i="173"/>
  <c r="I672" i="173"/>
  <c r="H679" i="173" s="1"/>
  <c r="L672" i="173"/>
  <c r="M672" i="173" s="1"/>
  <c r="H680" i="173" s="1"/>
  <c r="H674" i="173"/>
  <c r="H651" i="173"/>
  <c r="L649" i="173"/>
  <c r="H652" i="173" s="1"/>
  <c r="H660" i="173" s="1"/>
  <c r="I649" i="173"/>
  <c r="H649" i="173"/>
  <c r="H624" i="173"/>
  <c r="L622" i="173"/>
  <c r="H625" i="173" s="1"/>
  <c r="H633" i="173" s="1"/>
  <c r="I622" i="173"/>
  <c r="H622" i="173"/>
  <c r="H596" i="173"/>
  <c r="L594" i="173"/>
  <c r="H597" i="173" s="1"/>
  <c r="I594" i="173"/>
  <c r="H594" i="173"/>
  <c r="J13" i="179" l="1"/>
  <c r="F11" i="179" s="1"/>
  <c r="V116" i="2"/>
  <c r="W116" i="2" s="1"/>
  <c r="Y116" i="2"/>
  <c r="Z116" i="2" s="1"/>
  <c r="AA116" i="2" s="1"/>
  <c r="AL116" i="2"/>
  <c r="F10" i="179"/>
  <c r="I9" i="179"/>
  <c r="K116" i="2"/>
  <c r="H681" i="173"/>
  <c r="K672" i="173"/>
  <c r="H675" i="173"/>
  <c r="R576" i="173" s="1"/>
  <c r="P672" i="173"/>
  <c r="K649" i="173"/>
  <c r="H656" i="173"/>
  <c r="H665" i="173"/>
  <c r="H653" i="173"/>
  <c r="H661" i="173" s="1"/>
  <c r="M649" i="173"/>
  <c r="H657" i="173" s="1"/>
  <c r="P649" i="173"/>
  <c r="H658" i="173"/>
  <c r="K594" i="173"/>
  <c r="K622" i="173"/>
  <c r="H629" i="173"/>
  <c r="H638" i="173"/>
  <c r="H626" i="173"/>
  <c r="H634" i="173" s="1"/>
  <c r="M622" i="173"/>
  <c r="H630" i="173" s="1"/>
  <c r="P622" i="173"/>
  <c r="H631" i="173"/>
  <c r="H610" i="173"/>
  <c r="H598" i="173"/>
  <c r="H606" i="173" s="1"/>
  <c r="M594" i="173"/>
  <c r="H602" i="173" s="1"/>
  <c r="H603" i="173"/>
  <c r="H601" i="173"/>
  <c r="H571" i="173"/>
  <c r="L116" i="2" l="1"/>
  <c r="AU72" i="2" s="1"/>
  <c r="AP87" i="2"/>
  <c r="AQ87" i="2" s="1"/>
  <c r="AP72" i="2"/>
  <c r="AQ72" i="2" s="1"/>
  <c r="AM116" i="2"/>
  <c r="AP99" i="2"/>
  <c r="AQ99" i="2" s="1"/>
  <c r="H676" i="173"/>
  <c r="H688" i="173"/>
  <c r="L558" i="173"/>
  <c r="L559" i="173"/>
  <c r="L560" i="173"/>
  <c r="L557" i="173"/>
  <c r="G249" i="173"/>
  <c r="F249" i="173"/>
  <c r="G305" i="173"/>
  <c r="F305" i="173"/>
  <c r="G338" i="173"/>
  <c r="F338" i="173"/>
  <c r="G364" i="173"/>
  <c r="F364" i="173"/>
  <c r="B116" i="2" l="1"/>
  <c r="G357" i="173"/>
  <c r="G358" i="173"/>
  <c r="G362" i="173"/>
  <c r="G332" i="173"/>
  <c r="G303" i="173"/>
  <c r="G299" i="173"/>
  <c r="G298" i="173"/>
  <c r="G247" i="173"/>
  <c r="G243" i="173"/>
  <c r="G242" i="173"/>
  <c r="S237" i="99"/>
  <c r="H237" i="99"/>
  <c r="V237" i="99" s="1"/>
  <c r="G237" i="99"/>
  <c r="F237" i="99"/>
  <c r="E237" i="99"/>
  <c r="D237" i="99"/>
  <c r="S236" i="99"/>
  <c r="H236" i="99"/>
  <c r="V236" i="99" s="1"/>
  <c r="G236" i="99"/>
  <c r="F236" i="99"/>
  <c r="E236" i="99"/>
  <c r="D236" i="99"/>
  <c r="S235" i="99"/>
  <c r="H235" i="99"/>
  <c r="V235" i="99" s="1"/>
  <c r="G235" i="99"/>
  <c r="F235" i="99"/>
  <c r="E235" i="99"/>
  <c r="D235" i="99"/>
  <c r="S234" i="99"/>
  <c r="H234" i="99"/>
  <c r="V234" i="99" s="1"/>
  <c r="G234" i="99"/>
  <c r="F234" i="99"/>
  <c r="E234" i="99"/>
  <c r="D234" i="99"/>
  <c r="S233" i="99"/>
  <c r="H233" i="99"/>
  <c r="V233" i="99" s="1"/>
  <c r="G233" i="99"/>
  <c r="F233" i="99"/>
  <c r="E233" i="99"/>
  <c r="D233" i="99"/>
  <c r="S232" i="99"/>
  <c r="H232" i="99"/>
  <c r="V232" i="99" s="1"/>
  <c r="G232" i="99"/>
  <c r="F232" i="99"/>
  <c r="E232" i="99"/>
  <c r="D232" i="99"/>
  <c r="S220" i="99"/>
  <c r="H220" i="99"/>
  <c r="V220" i="99" s="1"/>
  <c r="G220" i="99"/>
  <c r="F220" i="99"/>
  <c r="E220" i="99"/>
  <c r="D220" i="99"/>
  <c r="S219" i="99"/>
  <c r="H219" i="99"/>
  <c r="V219" i="99" s="1"/>
  <c r="G219" i="99"/>
  <c r="F219" i="99"/>
  <c r="E219" i="99"/>
  <c r="D219" i="99"/>
  <c r="S218" i="99"/>
  <c r="H218" i="99"/>
  <c r="V218" i="99" s="1"/>
  <c r="G218" i="99"/>
  <c r="F218" i="99"/>
  <c r="E218" i="99"/>
  <c r="D218" i="99"/>
  <c r="S217" i="99"/>
  <c r="H217" i="99"/>
  <c r="V217" i="99" s="1"/>
  <c r="G217" i="99"/>
  <c r="F217" i="99"/>
  <c r="E217" i="99"/>
  <c r="D217" i="99"/>
  <c r="S216" i="99"/>
  <c r="G216" i="99"/>
  <c r="F216" i="99"/>
  <c r="E216" i="99"/>
  <c r="D216" i="99"/>
  <c r="S215" i="99"/>
  <c r="H215" i="99"/>
  <c r="V215" i="99" s="1"/>
  <c r="G215" i="99"/>
  <c r="F215" i="99"/>
  <c r="E215" i="99"/>
  <c r="D215" i="99"/>
  <c r="S214" i="99"/>
  <c r="G214" i="99"/>
  <c r="F214" i="99"/>
  <c r="E214" i="99"/>
  <c r="D214" i="99"/>
  <c r="S213" i="99"/>
  <c r="G213" i="99"/>
  <c r="F213" i="99"/>
  <c r="E213" i="99"/>
  <c r="D213" i="99"/>
  <c r="S212" i="99"/>
  <c r="G212" i="99"/>
  <c r="F212" i="99"/>
  <c r="E212" i="99"/>
  <c r="D212" i="99"/>
  <c r="S211" i="99"/>
  <c r="G211" i="99"/>
  <c r="F211" i="99"/>
  <c r="E211" i="99"/>
  <c r="D211" i="99"/>
  <c r="S202" i="99"/>
  <c r="G202" i="99"/>
  <c r="F202" i="99"/>
  <c r="E202" i="99"/>
  <c r="D202" i="99"/>
  <c r="S201" i="99"/>
  <c r="G201" i="99"/>
  <c r="F201" i="99"/>
  <c r="E201" i="99"/>
  <c r="D201" i="99"/>
  <c r="S200" i="99"/>
  <c r="G200" i="99"/>
  <c r="F200" i="99"/>
  <c r="E200" i="99"/>
  <c r="D200" i="99"/>
  <c r="S199" i="99"/>
  <c r="G199" i="99"/>
  <c r="F199" i="99"/>
  <c r="E199" i="99"/>
  <c r="D199" i="99"/>
  <c r="S198" i="99"/>
  <c r="H198" i="99"/>
  <c r="V198" i="99" s="1"/>
  <c r="G198" i="99"/>
  <c r="F198" i="99"/>
  <c r="E198" i="99"/>
  <c r="D198" i="99"/>
  <c r="S197" i="99"/>
  <c r="H197" i="99"/>
  <c r="V197" i="99" s="1"/>
  <c r="G197" i="99"/>
  <c r="F197" i="99"/>
  <c r="E197" i="99"/>
  <c r="D197" i="99"/>
  <c r="S196" i="99"/>
  <c r="H196" i="99"/>
  <c r="V196" i="99" s="1"/>
  <c r="G196" i="99"/>
  <c r="F196" i="99"/>
  <c r="E196" i="99"/>
  <c r="D196" i="99"/>
  <c r="S195" i="99"/>
  <c r="H195" i="99"/>
  <c r="V195" i="99" s="1"/>
  <c r="G195" i="99"/>
  <c r="F195" i="99"/>
  <c r="E195" i="99"/>
  <c r="D195" i="99"/>
  <c r="S194" i="99"/>
  <c r="H194" i="99"/>
  <c r="V194" i="99" s="1"/>
  <c r="G194" i="99"/>
  <c r="F194" i="99"/>
  <c r="E194" i="99"/>
  <c r="D194" i="99"/>
  <c r="S193" i="99"/>
  <c r="G193" i="99"/>
  <c r="F193" i="99"/>
  <c r="E193" i="99"/>
  <c r="D193" i="99"/>
  <c r="S192" i="99"/>
  <c r="H192" i="99"/>
  <c r="V192" i="99" s="1"/>
  <c r="G192" i="99"/>
  <c r="F192" i="99"/>
  <c r="E192" i="99"/>
  <c r="D192" i="99"/>
  <c r="S191" i="99"/>
  <c r="G191" i="99"/>
  <c r="F191" i="99"/>
  <c r="E191" i="99"/>
  <c r="D191" i="99"/>
  <c r="S190" i="99"/>
  <c r="G190" i="99"/>
  <c r="F190" i="99"/>
  <c r="E190" i="99"/>
  <c r="D190" i="99"/>
  <c r="S181" i="99"/>
  <c r="G181" i="99"/>
  <c r="F181" i="99"/>
  <c r="E181" i="99"/>
  <c r="D181" i="99"/>
  <c r="S180" i="99"/>
  <c r="H180" i="99"/>
  <c r="V180" i="99" s="1"/>
  <c r="G180" i="99"/>
  <c r="F180" i="99"/>
  <c r="E180" i="99"/>
  <c r="D180" i="99"/>
  <c r="S179" i="99"/>
  <c r="H179" i="99"/>
  <c r="V179" i="99" s="1"/>
  <c r="G179" i="99"/>
  <c r="F179" i="99"/>
  <c r="E179" i="99"/>
  <c r="D179" i="99"/>
  <c r="S178" i="99"/>
  <c r="H178" i="99"/>
  <c r="V178" i="99" s="1"/>
  <c r="G178" i="99"/>
  <c r="F178" i="99"/>
  <c r="E178" i="99"/>
  <c r="D178" i="99"/>
  <c r="W177" i="99"/>
  <c r="V177" i="99"/>
  <c r="S177" i="99"/>
  <c r="G177" i="99"/>
  <c r="F177" i="99"/>
  <c r="E177" i="99"/>
  <c r="D177" i="99"/>
  <c r="S176" i="99"/>
  <c r="G176" i="99"/>
  <c r="F176" i="99"/>
  <c r="E176" i="99"/>
  <c r="D176" i="99"/>
  <c r="S175" i="99"/>
  <c r="G175" i="99"/>
  <c r="F175" i="99"/>
  <c r="E175" i="99"/>
  <c r="D175" i="99"/>
  <c r="S174" i="99"/>
  <c r="G174" i="99"/>
  <c r="F174" i="99"/>
  <c r="E174" i="99"/>
  <c r="D174" i="99"/>
  <c r="S173" i="99"/>
  <c r="H173" i="99"/>
  <c r="V173" i="99" s="1"/>
  <c r="G173" i="99"/>
  <c r="F173" i="99"/>
  <c r="E173" i="99"/>
  <c r="D173" i="99"/>
  <c r="W172" i="99"/>
  <c r="V172" i="99"/>
  <c r="S172" i="99"/>
  <c r="F172" i="99"/>
  <c r="E172" i="99"/>
  <c r="D172" i="99"/>
  <c r="S171" i="99"/>
  <c r="H171" i="99"/>
  <c r="V171" i="99" s="1"/>
  <c r="G171" i="99"/>
  <c r="F171" i="99"/>
  <c r="E171" i="99"/>
  <c r="D171" i="99"/>
  <c r="S170" i="99"/>
  <c r="G170" i="99"/>
  <c r="F170" i="99"/>
  <c r="E170" i="99"/>
  <c r="D170" i="99"/>
  <c r="S169" i="99"/>
  <c r="H169" i="99"/>
  <c r="V169" i="99" s="1"/>
  <c r="G169" i="99"/>
  <c r="F169" i="99"/>
  <c r="E169" i="99"/>
  <c r="D169" i="99"/>
  <c r="S168" i="99"/>
  <c r="H168" i="99"/>
  <c r="V168" i="99" s="1"/>
  <c r="G168" i="99"/>
  <c r="F168" i="99"/>
  <c r="E168" i="99"/>
  <c r="D168" i="99"/>
  <c r="S167" i="99"/>
  <c r="G167" i="99"/>
  <c r="F167" i="99"/>
  <c r="E167" i="99"/>
  <c r="D167" i="99"/>
  <c r="X177" i="99" l="1"/>
  <c r="X172" i="99"/>
  <c r="Z218" i="99"/>
  <c r="F247" i="173"/>
  <c r="F243" i="173"/>
  <c r="F244" i="173"/>
  <c r="F242" i="173"/>
  <c r="F336" i="173"/>
  <c r="F331" i="173"/>
  <c r="F362" i="173"/>
  <c r="F298" i="173"/>
  <c r="F303" i="173"/>
  <c r="H359" i="173"/>
  <c r="H348" i="173"/>
  <c r="G348" i="173"/>
  <c r="F348" i="173"/>
  <c r="H333" i="173"/>
  <c r="H322" i="173"/>
  <c r="G322" i="173"/>
  <c r="F322" i="173"/>
  <c r="H289" i="173"/>
  <c r="G289" i="173"/>
  <c r="F289" i="173"/>
  <c r="H244" i="173"/>
  <c r="H233" i="173"/>
  <c r="G233" i="173"/>
  <c r="F233" i="173"/>
  <c r="L231" i="173" l="1"/>
  <c r="H234" i="173" s="1"/>
  <c r="H247" i="173" s="1"/>
  <c r="I231" i="173"/>
  <c r="H231" i="173"/>
  <c r="L287" i="173"/>
  <c r="I287" i="173"/>
  <c r="H287" i="173"/>
  <c r="L320" i="173"/>
  <c r="H323" i="173" s="1"/>
  <c r="I320" i="173"/>
  <c r="H320" i="173"/>
  <c r="L346" i="173"/>
  <c r="H349" i="173" s="1"/>
  <c r="H364" i="173" s="1"/>
  <c r="I346" i="173"/>
  <c r="H346" i="173"/>
  <c r="H290" i="173" l="1"/>
  <c r="H305" i="173" s="1"/>
  <c r="P287" i="173"/>
  <c r="H298" i="173" s="1"/>
  <c r="M231" i="173"/>
  <c r="H239" i="173" s="1"/>
  <c r="P346" i="173"/>
  <c r="H357" i="173" s="1"/>
  <c r="H353" i="173"/>
  <c r="H355" i="173"/>
  <c r="H296" i="173"/>
  <c r="H294" i="173"/>
  <c r="P231" i="173"/>
  <c r="H242" i="173" s="1"/>
  <c r="H350" i="173"/>
  <c r="H358" i="173" s="1"/>
  <c r="K231" i="173"/>
  <c r="H240" i="173"/>
  <c r="H238" i="173"/>
  <c r="H362" i="173"/>
  <c r="K346" i="173"/>
  <c r="M346" i="173"/>
  <c r="H354" i="173" s="1"/>
  <c r="M287" i="173"/>
  <c r="H295" i="173" s="1"/>
  <c r="H249" i="173"/>
  <c r="H235" i="173"/>
  <c r="H243" i="173" s="1"/>
  <c r="H338" i="173"/>
  <c r="H324" i="173"/>
  <c r="H332" i="173" s="1"/>
  <c r="H336" i="173"/>
  <c r="K320" i="173"/>
  <c r="H329" i="173"/>
  <c r="H327" i="173"/>
  <c r="M320" i="173"/>
  <c r="H328" i="173" s="1"/>
  <c r="P320" i="173"/>
  <c r="H331" i="173" s="1"/>
  <c r="K287" i="173"/>
  <c r="H205" i="173"/>
  <c r="H206" i="173"/>
  <c r="H175" i="173"/>
  <c r="I175" i="173"/>
  <c r="L175" i="173"/>
  <c r="AH116" i="2"/>
  <c r="AG116" i="2"/>
  <c r="H291" i="173" l="1"/>
  <c r="H299" i="173" s="1"/>
  <c r="H303" i="173"/>
  <c r="AI116" i="2"/>
  <c r="M175" i="173"/>
  <c r="M191" i="173" s="1"/>
  <c r="L191" i="173"/>
  <c r="P175" i="173"/>
  <c r="K191" i="173" s="1"/>
  <c r="K175" i="173"/>
  <c r="S7" i="173"/>
  <c r="H7" i="173"/>
  <c r="V7" i="173" s="1"/>
  <c r="G7" i="173"/>
  <c r="F7" i="173"/>
  <c r="E7" i="173"/>
  <c r="D7" i="173"/>
  <c r="T118" i="2"/>
  <c r="H118" i="2"/>
  <c r="G118" i="2"/>
  <c r="F118" i="2"/>
  <c r="E118" i="2"/>
  <c r="D118" i="2"/>
  <c r="AG118" i="2" l="1"/>
  <c r="AC118" i="2"/>
  <c r="H25" i="177"/>
  <c r="C25" i="177" s="1"/>
  <c r="H26" i="177"/>
  <c r="H27" i="177"/>
  <c r="H28" i="177"/>
  <c r="H29" i="177"/>
  <c r="C29" i="177" s="1"/>
  <c r="H30" i="177"/>
  <c r="C30" i="177" s="1"/>
  <c r="E43" i="177"/>
  <c r="C43" i="177"/>
  <c r="E42" i="177"/>
  <c r="C42" i="177"/>
  <c r="E41" i="177"/>
  <c r="C41" i="177"/>
  <c r="E40" i="177"/>
  <c r="C40" i="177"/>
  <c r="E39" i="177"/>
  <c r="C39" i="177"/>
  <c r="E38" i="177"/>
  <c r="C38" i="177"/>
  <c r="E37" i="177"/>
  <c r="C37" i="177"/>
  <c r="E36" i="177"/>
  <c r="C36" i="177"/>
  <c r="C35" i="177"/>
  <c r="C34" i="177"/>
  <c r="C33" i="177"/>
  <c r="C32" i="177"/>
  <c r="C31" i="177"/>
  <c r="H24" i="177"/>
  <c r="C24" i="177" s="1"/>
  <c r="H23" i="177"/>
  <c r="C23" i="177" s="1"/>
  <c r="J17" i="177"/>
  <c r="J16" i="177"/>
  <c r="J15" i="177"/>
  <c r="G13" i="177"/>
  <c r="F13" i="177"/>
  <c r="H12" i="177"/>
  <c r="F8" i="177"/>
  <c r="J18" i="177" l="1"/>
  <c r="I7" i="173"/>
  <c r="W7" i="173" s="1"/>
  <c r="X7" i="173" s="1"/>
  <c r="I118" i="2"/>
  <c r="F12" i="177"/>
  <c r="M118" i="2"/>
  <c r="M7" i="173"/>
  <c r="J12" i="177"/>
  <c r="J19" i="177"/>
  <c r="F9" i="177"/>
  <c r="G9" i="177" s="1"/>
  <c r="S10" i="173"/>
  <c r="H10" i="173"/>
  <c r="V10" i="173" s="1"/>
  <c r="G10" i="173"/>
  <c r="F10" i="173"/>
  <c r="E10" i="173"/>
  <c r="D10" i="173"/>
  <c r="S9" i="173"/>
  <c r="W9" i="173"/>
  <c r="V9" i="173"/>
  <c r="F9" i="173"/>
  <c r="E9" i="173"/>
  <c r="D9" i="173"/>
  <c r="S8" i="173"/>
  <c r="H8" i="173"/>
  <c r="V8" i="173" s="1"/>
  <c r="G8" i="173"/>
  <c r="F8" i="173"/>
  <c r="E8" i="173"/>
  <c r="D8" i="173"/>
  <c r="T119" i="2"/>
  <c r="H119" i="2"/>
  <c r="G119" i="2"/>
  <c r="F119" i="2"/>
  <c r="E119" i="2"/>
  <c r="D119" i="2"/>
  <c r="T120" i="2"/>
  <c r="AG120" i="2"/>
  <c r="F120" i="2"/>
  <c r="E120" i="2"/>
  <c r="D120" i="2"/>
  <c r="T121" i="2"/>
  <c r="H121" i="2"/>
  <c r="AC121" i="2" s="1"/>
  <c r="G121" i="2"/>
  <c r="F121" i="2"/>
  <c r="E121" i="2"/>
  <c r="D121" i="2"/>
  <c r="AH120" i="2"/>
  <c r="E43" i="176"/>
  <c r="C43" i="176"/>
  <c r="E42" i="176"/>
  <c r="C42" i="176"/>
  <c r="E41" i="176"/>
  <c r="C41" i="176"/>
  <c r="E40" i="176"/>
  <c r="C40" i="176"/>
  <c r="E39" i="176"/>
  <c r="C39" i="176"/>
  <c r="E38" i="176"/>
  <c r="C38" i="176"/>
  <c r="E37" i="176"/>
  <c r="C37" i="176"/>
  <c r="E36" i="176"/>
  <c r="C36" i="176"/>
  <c r="C35" i="176"/>
  <c r="C34" i="176"/>
  <c r="C33" i="176"/>
  <c r="C32" i="176"/>
  <c r="C31" i="176"/>
  <c r="C30" i="176"/>
  <c r="C29" i="176"/>
  <c r="C25" i="176"/>
  <c r="H24" i="176"/>
  <c r="C24" i="176" s="1"/>
  <c r="H23" i="176"/>
  <c r="C23" i="176" s="1"/>
  <c r="J17" i="176"/>
  <c r="J16" i="176"/>
  <c r="J15" i="176"/>
  <c r="G13" i="176"/>
  <c r="F13" i="176"/>
  <c r="H12" i="176"/>
  <c r="F8" i="176"/>
  <c r="E43" i="175"/>
  <c r="C43" i="175"/>
  <c r="E42" i="175"/>
  <c r="C42" i="175"/>
  <c r="E41" i="175"/>
  <c r="C41" i="175"/>
  <c r="E40" i="175"/>
  <c r="C40" i="175"/>
  <c r="E39" i="175"/>
  <c r="C39" i="175"/>
  <c r="E38" i="175"/>
  <c r="C38" i="175"/>
  <c r="E37" i="175"/>
  <c r="C37" i="175"/>
  <c r="E36" i="175"/>
  <c r="C36" i="175"/>
  <c r="C35" i="175"/>
  <c r="C34" i="175"/>
  <c r="C33" i="175"/>
  <c r="C32" i="175"/>
  <c r="C31" i="175"/>
  <c r="C30" i="175"/>
  <c r="C29" i="175"/>
  <c r="C25" i="175"/>
  <c r="H24" i="175"/>
  <c r="C24" i="175" s="1"/>
  <c r="H23" i="175"/>
  <c r="C23" i="175" s="1"/>
  <c r="J17" i="175"/>
  <c r="J16" i="175"/>
  <c r="J15" i="175"/>
  <c r="G13" i="175"/>
  <c r="F13" i="175"/>
  <c r="H12" i="175"/>
  <c r="F12" i="175" s="1"/>
  <c r="J13" i="175" s="1"/>
  <c r="F8" i="175"/>
  <c r="J18" i="175" s="1"/>
  <c r="H26" i="174"/>
  <c r="H27" i="174"/>
  <c r="E43" i="174"/>
  <c r="C43" i="174"/>
  <c r="E42" i="174"/>
  <c r="C42" i="174"/>
  <c r="E41" i="174"/>
  <c r="C41" i="174"/>
  <c r="E40" i="174"/>
  <c r="C40" i="174"/>
  <c r="E39" i="174"/>
  <c r="C39" i="174"/>
  <c r="E38" i="174"/>
  <c r="C38" i="174"/>
  <c r="E37" i="174"/>
  <c r="C37" i="174"/>
  <c r="E36" i="174"/>
  <c r="C36" i="174"/>
  <c r="C35" i="174"/>
  <c r="C34" i="174"/>
  <c r="C33" i="174"/>
  <c r="C32" i="174"/>
  <c r="C31" i="174"/>
  <c r="C30" i="174"/>
  <c r="C29" i="174"/>
  <c r="H25" i="174"/>
  <c r="C25" i="174" s="1"/>
  <c r="H24" i="174"/>
  <c r="C24" i="174" s="1"/>
  <c r="H23" i="174"/>
  <c r="C23" i="174" s="1"/>
  <c r="J17" i="174"/>
  <c r="J16" i="174"/>
  <c r="J15" i="174"/>
  <c r="G13" i="174"/>
  <c r="F13" i="174"/>
  <c r="H12" i="174"/>
  <c r="F8" i="174"/>
  <c r="AG119" i="2" l="1"/>
  <c r="AC119" i="2"/>
  <c r="F9" i="174"/>
  <c r="G9" i="174" s="1"/>
  <c r="K10" i="173" s="1"/>
  <c r="M121" i="2"/>
  <c r="M119" i="2"/>
  <c r="J19" i="176"/>
  <c r="J13" i="177"/>
  <c r="F11" i="177" s="1"/>
  <c r="V118" i="2"/>
  <c r="W118" i="2" s="1"/>
  <c r="F12" i="174"/>
  <c r="AG121" i="2"/>
  <c r="F12" i="176"/>
  <c r="I121" i="2"/>
  <c r="AH121" i="2" s="1"/>
  <c r="M8" i="173"/>
  <c r="M10" i="173"/>
  <c r="I8" i="173"/>
  <c r="W8" i="173" s="1"/>
  <c r="X8" i="173" s="1"/>
  <c r="I10" i="173"/>
  <c r="W10" i="173" s="1"/>
  <c r="X10" i="173" s="1"/>
  <c r="F10" i="177"/>
  <c r="AH118" i="2"/>
  <c r="AI118" i="2" s="1"/>
  <c r="Y118" i="2"/>
  <c r="Z118" i="2" s="1"/>
  <c r="I9" i="177"/>
  <c r="K7" i="173"/>
  <c r="K118" i="2"/>
  <c r="I119" i="2"/>
  <c r="Y119" i="2" s="1"/>
  <c r="Z119" i="2" s="1"/>
  <c r="X9" i="173"/>
  <c r="AI120" i="2"/>
  <c r="F9" i="176"/>
  <c r="G9" i="176" s="1"/>
  <c r="J18" i="176"/>
  <c r="J12" i="176"/>
  <c r="F11" i="176" s="1"/>
  <c r="F9" i="175"/>
  <c r="G9" i="175" s="1"/>
  <c r="I9" i="175" s="1"/>
  <c r="F10" i="175"/>
  <c r="J12" i="175"/>
  <c r="F11" i="175" s="1"/>
  <c r="J19" i="175"/>
  <c r="J18" i="174"/>
  <c r="J12" i="174"/>
  <c r="J19" i="174"/>
  <c r="C101" i="173"/>
  <c r="K121" i="2" l="1"/>
  <c r="J13" i="174"/>
  <c r="V119" i="2"/>
  <c r="W119" i="2" s="1"/>
  <c r="I9" i="174"/>
  <c r="AI121" i="2"/>
  <c r="F11" i="174"/>
  <c r="L118" i="2"/>
  <c r="L7" i="173"/>
  <c r="F10" i="174"/>
  <c r="V121" i="2"/>
  <c r="W121" i="2" s="1"/>
  <c r="AH119" i="2"/>
  <c r="AI119" i="2" s="1"/>
  <c r="Y121" i="2"/>
  <c r="Z121" i="2" s="1"/>
  <c r="I9" i="176"/>
  <c r="K8" i="173"/>
  <c r="K119" i="2"/>
  <c r="L8" i="173"/>
  <c r="L119" i="2"/>
  <c r="J13" i="176"/>
  <c r="F10" i="176"/>
  <c r="G107" i="173"/>
  <c r="F107" i="173"/>
  <c r="G105" i="173"/>
  <c r="F105" i="173"/>
  <c r="H102" i="173"/>
  <c r="H91" i="173"/>
  <c r="S76" i="173"/>
  <c r="G76" i="173"/>
  <c r="F76" i="173"/>
  <c r="E76" i="173"/>
  <c r="D76" i="173"/>
  <c r="S75" i="173"/>
  <c r="G75" i="173"/>
  <c r="F75" i="173"/>
  <c r="E75" i="173"/>
  <c r="D75" i="173"/>
  <c r="S74" i="173"/>
  <c r="H74" i="173"/>
  <c r="V74" i="173" s="1"/>
  <c r="G74" i="173"/>
  <c r="F74" i="173"/>
  <c r="E74" i="173"/>
  <c r="D74" i="173"/>
  <c r="S73" i="173"/>
  <c r="H73" i="173"/>
  <c r="V73" i="173" s="1"/>
  <c r="G73" i="173"/>
  <c r="F73" i="173"/>
  <c r="E73" i="173"/>
  <c r="D73" i="173"/>
  <c r="S72" i="173"/>
  <c r="G72" i="173"/>
  <c r="F72" i="173"/>
  <c r="E72" i="173"/>
  <c r="D72" i="173"/>
  <c r="S71" i="173"/>
  <c r="G71" i="173"/>
  <c r="F71" i="173"/>
  <c r="E71" i="173"/>
  <c r="D71" i="173"/>
  <c r="S70" i="173"/>
  <c r="H70" i="173"/>
  <c r="V70" i="173" s="1"/>
  <c r="G70" i="173"/>
  <c r="F70" i="173"/>
  <c r="E70" i="173"/>
  <c r="D70" i="173"/>
  <c r="W69" i="173"/>
  <c r="V69" i="173"/>
  <c r="S69" i="173"/>
  <c r="F69" i="173"/>
  <c r="E69" i="173"/>
  <c r="D69" i="173"/>
  <c r="S68" i="173"/>
  <c r="H68" i="173"/>
  <c r="V68" i="173" s="1"/>
  <c r="G68" i="173"/>
  <c r="F68" i="173"/>
  <c r="E68" i="173"/>
  <c r="D68" i="173"/>
  <c r="S67" i="173"/>
  <c r="H67" i="173"/>
  <c r="V67" i="173" s="1"/>
  <c r="G67" i="173"/>
  <c r="F67" i="173"/>
  <c r="E67" i="173"/>
  <c r="D67" i="173"/>
  <c r="S66" i="173"/>
  <c r="H66" i="173"/>
  <c r="V66" i="173" s="1"/>
  <c r="G66" i="173"/>
  <c r="F66" i="173"/>
  <c r="E66" i="173"/>
  <c r="D66" i="173"/>
  <c r="S65" i="173"/>
  <c r="G65" i="173"/>
  <c r="F65" i="173"/>
  <c r="E65" i="173"/>
  <c r="D65" i="173"/>
  <c r="S64" i="173"/>
  <c r="G64" i="173"/>
  <c r="F64" i="173"/>
  <c r="E64" i="173"/>
  <c r="D64" i="173"/>
  <c r="S63" i="173"/>
  <c r="G63" i="173"/>
  <c r="F63" i="173"/>
  <c r="E63" i="173"/>
  <c r="D63" i="173"/>
  <c r="S62" i="173"/>
  <c r="H62" i="173"/>
  <c r="V62" i="173" s="1"/>
  <c r="G62" i="173"/>
  <c r="F62" i="173"/>
  <c r="E62" i="173"/>
  <c r="D62" i="173"/>
  <c r="S61" i="173"/>
  <c r="H61" i="173"/>
  <c r="V61" i="173" s="1"/>
  <c r="G61" i="173"/>
  <c r="F61" i="173"/>
  <c r="E61" i="173"/>
  <c r="D61" i="173"/>
  <c r="S60" i="173"/>
  <c r="H60" i="173"/>
  <c r="V60" i="173" s="1"/>
  <c r="G60" i="173"/>
  <c r="F60" i="173"/>
  <c r="E60" i="173"/>
  <c r="D60" i="173"/>
  <c r="S59" i="173"/>
  <c r="H59" i="173"/>
  <c r="V59" i="173" s="1"/>
  <c r="G59" i="173"/>
  <c r="F59" i="173"/>
  <c r="E59" i="173"/>
  <c r="D59" i="173"/>
  <c r="S57" i="173"/>
  <c r="H57" i="173"/>
  <c r="V57" i="173" s="1"/>
  <c r="G57" i="173"/>
  <c r="F57" i="173"/>
  <c r="E57" i="173"/>
  <c r="D57" i="173"/>
  <c r="S56" i="173"/>
  <c r="G56" i="173"/>
  <c r="F56" i="173"/>
  <c r="E56" i="173"/>
  <c r="D56" i="173"/>
  <c r="S55" i="173"/>
  <c r="G55" i="173"/>
  <c r="F55" i="173"/>
  <c r="E55" i="173"/>
  <c r="D55" i="173"/>
  <c r="S54" i="173"/>
  <c r="G54" i="173"/>
  <c r="F54" i="173"/>
  <c r="E54" i="173"/>
  <c r="D54" i="173"/>
  <c r="S53" i="173"/>
  <c r="H53" i="173"/>
  <c r="V53" i="173" s="1"/>
  <c r="G53" i="173"/>
  <c r="F53" i="173"/>
  <c r="E53" i="173"/>
  <c r="D53" i="173"/>
  <c r="S52" i="173"/>
  <c r="H52" i="173"/>
  <c r="V52" i="173" s="1"/>
  <c r="G52" i="173"/>
  <c r="F52" i="173"/>
  <c r="E52" i="173"/>
  <c r="D52" i="173"/>
  <c r="S51" i="173"/>
  <c r="H51" i="173"/>
  <c r="V51" i="173" s="1"/>
  <c r="G51" i="173"/>
  <c r="F51" i="173"/>
  <c r="E51" i="173"/>
  <c r="D51" i="173"/>
  <c r="S50" i="173"/>
  <c r="H50" i="173"/>
  <c r="V50" i="173" s="1"/>
  <c r="G50" i="173"/>
  <c r="F50" i="173"/>
  <c r="E50" i="173"/>
  <c r="D50" i="173"/>
  <c r="S49" i="173"/>
  <c r="H49" i="173"/>
  <c r="V49" i="173" s="1"/>
  <c r="G49" i="173"/>
  <c r="F49" i="173"/>
  <c r="E49" i="173"/>
  <c r="D49" i="173"/>
  <c r="S48" i="173"/>
  <c r="H48" i="173"/>
  <c r="V48" i="173" s="1"/>
  <c r="G48" i="173"/>
  <c r="F48" i="173"/>
  <c r="E48" i="173"/>
  <c r="D48" i="173"/>
  <c r="S47" i="173"/>
  <c r="G47" i="173"/>
  <c r="F47" i="173"/>
  <c r="E47" i="173"/>
  <c r="D47" i="173"/>
  <c r="S46" i="173"/>
  <c r="H46" i="173"/>
  <c r="V46" i="173" s="1"/>
  <c r="G46" i="173"/>
  <c r="F46" i="173"/>
  <c r="E46" i="173"/>
  <c r="D46" i="173"/>
  <c r="S45" i="173"/>
  <c r="H45" i="173"/>
  <c r="V45" i="173" s="1"/>
  <c r="G45" i="173"/>
  <c r="F45" i="173"/>
  <c r="E45" i="173"/>
  <c r="D45" i="173"/>
  <c r="S44" i="173"/>
  <c r="H44" i="173"/>
  <c r="V44" i="173" s="1"/>
  <c r="G44" i="173"/>
  <c r="F44" i="173"/>
  <c r="E44" i="173"/>
  <c r="D44" i="173"/>
  <c r="S43" i="173"/>
  <c r="H43" i="173"/>
  <c r="V43" i="173" s="1"/>
  <c r="G43" i="173"/>
  <c r="F43" i="173"/>
  <c r="E43" i="173"/>
  <c r="D43" i="173"/>
  <c r="S42" i="173"/>
  <c r="H42" i="173"/>
  <c r="V42" i="173" s="1"/>
  <c r="G42" i="173"/>
  <c r="F42" i="173"/>
  <c r="E42" i="173"/>
  <c r="D42" i="173"/>
  <c r="S41" i="173"/>
  <c r="G41" i="173"/>
  <c r="F41" i="173"/>
  <c r="E41" i="173"/>
  <c r="D41" i="173"/>
  <c r="S40" i="173"/>
  <c r="H40" i="173"/>
  <c r="V40" i="173" s="1"/>
  <c r="G40" i="173"/>
  <c r="F40" i="173"/>
  <c r="E40" i="173"/>
  <c r="D40" i="173"/>
  <c r="S39" i="173"/>
  <c r="H39" i="173"/>
  <c r="V39" i="173" s="1"/>
  <c r="G39" i="173"/>
  <c r="F39" i="173"/>
  <c r="E39" i="173"/>
  <c r="D39" i="173"/>
  <c r="S38" i="173"/>
  <c r="H38" i="173"/>
  <c r="V38" i="173" s="1"/>
  <c r="G38" i="173"/>
  <c r="F38" i="173"/>
  <c r="E38" i="173"/>
  <c r="D38" i="173"/>
  <c r="S36" i="173"/>
  <c r="H36" i="173"/>
  <c r="V36" i="173" s="1"/>
  <c r="G36" i="173"/>
  <c r="F36" i="173"/>
  <c r="E36" i="173"/>
  <c r="D36" i="173"/>
  <c r="S35" i="173"/>
  <c r="H35" i="173"/>
  <c r="V35" i="173" s="1"/>
  <c r="G35" i="173"/>
  <c r="F35" i="173"/>
  <c r="E35" i="173"/>
  <c r="D35" i="173"/>
  <c r="S34" i="173"/>
  <c r="H34" i="173"/>
  <c r="V34" i="173" s="1"/>
  <c r="G34" i="173"/>
  <c r="F34" i="173"/>
  <c r="E34" i="173"/>
  <c r="D34" i="173"/>
  <c r="S33" i="173"/>
  <c r="H33" i="173"/>
  <c r="V33" i="173" s="1"/>
  <c r="G33" i="173"/>
  <c r="F33" i="173"/>
  <c r="E33" i="173"/>
  <c r="D33" i="173"/>
  <c r="S32" i="173"/>
  <c r="H32" i="173"/>
  <c r="V32" i="173" s="1"/>
  <c r="G32" i="173"/>
  <c r="F32" i="173"/>
  <c r="E32" i="173"/>
  <c r="D32" i="173"/>
  <c r="S31" i="173"/>
  <c r="H31" i="173"/>
  <c r="V31" i="173" s="1"/>
  <c r="G31" i="173"/>
  <c r="F31" i="173"/>
  <c r="E31" i="173"/>
  <c r="D31" i="173"/>
  <c r="S30" i="173"/>
  <c r="G30" i="173"/>
  <c r="F30" i="173"/>
  <c r="E30" i="173"/>
  <c r="D30" i="173"/>
  <c r="S29" i="173"/>
  <c r="G29" i="173"/>
  <c r="F29" i="173"/>
  <c r="E29" i="173"/>
  <c r="D29" i="173"/>
  <c r="S28" i="173"/>
  <c r="H28" i="173"/>
  <c r="V28" i="173" s="1"/>
  <c r="G28" i="173"/>
  <c r="F28" i="173"/>
  <c r="E28" i="173"/>
  <c r="D28" i="173"/>
  <c r="S27" i="173"/>
  <c r="G27" i="173"/>
  <c r="F27" i="173"/>
  <c r="E27" i="173"/>
  <c r="D27" i="173"/>
  <c r="S26" i="173"/>
  <c r="H26" i="173"/>
  <c r="V26" i="173" s="1"/>
  <c r="G26" i="173"/>
  <c r="F26" i="173"/>
  <c r="E26" i="173"/>
  <c r="D26" i="173"/>
  <c r="S25" i="173"/>
  <c r="H25" i="173"/>
  <c r="V25" i="173" s="1"/>
  <c r="G25" i="173"/>
  <c r="F25" i="173"/>
  <c r="E25" i="173"/>
  <c r="D25" i="173"/>
  <c r="S23" i="173"/>
  <c r="H23" i="173"/>
  <c r="V23" i="173" s="1"/>
  <c r="G23" i="173"/>
  <c r="F23" i="173"/>
  <c r="E23" i="173"/>
  <c r="D23" i="173"/>
  <c r="S22" i="173"/>
  <c r="H22" i="173"/>
  <c r="V22" i="173" s="1"/>
  <c r="G22" i="173"/>
  <c r="F22" i="173"/>
  <c r="E22" i="173"/>
  <c r="D22" i="173"/>
  <c r="S21" i="173"/>
  <c r="G21" i="173"/>
  <c r="F21" i="173"/>
  <c r="E21" i="173"/>
  <c r="D21" i="173"/>
  <c r="S20" i="173"/>
  <c r="H20" i="173"/>
  <c r="V20" i="173" s="1"/>
  <c r="G20" i="173"/>
  <c r="F20" i="173"/>
  <c r="E20" i="173"/>
  <c r="D20" i="173"/>
  <c r="S19" i="173"/>
  <c r="H19" i="173"/>
  <c r="V19" i="173" s="1"/>
  <c r="G19" i="173"/>
  <c r="F19" i="173"/>
  <c r="E19" i="173"/>
  <c r="D19" i="173"/>
  <c r="S18" i="173"/>
  <c r="G18" i="173"/>
  <c r="F18" i="173"/>
  <c r="E18" i="173"/>
  <c r="D18" i="173"/>
  <c r="S17" i="173"/>
  <c r="G17" i="173"/>
  <c r="F17" i="173"/>
  <c r="E17" i="173"/>
  <c r="D17" i="173"/>
  <c r="S16" i="173"/>
  <c r="H16" i="173"/>
  <c r="V16" i="173" s="1"/>
  <c r="G16" i="173"/>
  <c r="F16" i="173"/>
  <c r="E16" i="173"/>
  <c r="D16" i="173"/>
  <c r="S15" i="173"/>
  <c r="G15" i="173"/>
  <c r="F15" i="173"/>
  <c r="E15" i="173"/>
  <c r="D15" i="173"/>
  <c r="S14" i="173"/>
  <c r="G14" i="173"/>
  <c r="F14" i="173"/>
  <c r="E14" i="173"/>
  <c r="D14" i="173"/>
  <c r="S13" i="173"/>
  <c r="G13" i="173"/>
  <c r="F13" i="173"/>
  <c r="E13" i="173"/>
  <c r="D13" i="173"/>
  <c r="S12" i="173"/>
  <c r="H12" i="173"/>
  <c r="V12" i="173" s="1"/>
  <c r="G12" i="173"/>
  <c r="F12" i="173"/>
  <c r="E12" i="173"/>
  <c r="D12" i="173"/>
  <c r="S11" i="173"/>
  <c r="H11" i="173"/>
  <c r="V11" i="173" s="1"/>
  <c r="G11" i="173"/>
  <c r="F11" i="173"/>
  <c r="E11" i="173"/>
  <c r="D11" i="173"/>
  <c r="L86" i="173"/>
  <c r="F91" i="173"/>
  <c r="G91" i="173"/>
  <c r="H203" i="173"/>
  <c r="H202" i="173"/>
  <c r="H201" i="173"/>
  <c r="H200" i="173"/>
  <c r="H199" i="173"/>
  <c r="H198" i="173"/>
  <c r="H197" i="173"/>
  <c r="L187" i="173"/>
  <c r="I187" i="173"/>
  <c r="I193" i="173" s="1"/>
  <c r="H187" i="173"/>
  <c r="H193" i="173" s="1"/>
  <c r="I191" i="173"/>
  <c r="H191" i="173"/>
  <c r="L147" i="173"/>
  <c r="I147" i="173"/>
  <c r="I192" i="173" s="1"/>
  <c r="H147" i="173"/>
  <c r="H192" i="173" s="1"/>
  <c r="L10" i="173" l="1"/>
  <c r="L121" i="2"/>
  <c r="L193" i="173"/>
  <c r="P187" i="173"/>
  <c r="K193" i="173" s="1"/>
  <c r="I200" i="173"/>
  <c r="I204" i="173"/>
  <c r="I201" i="173"/>
  <c r="I205" i="173"/>
  <c r="I202" i="173"/>
  <c r="I206" i="173"/>
  <c r="I199" i="173"/>
  <c r="I203" i="173"/>
  <c r="I198" i="173"/>
  <c r="P147" i="173"/>
  <c r="K192" i="173" s="1"/>
  <c r="L192" i="173"/>
  <c r="X69" i="173"/>
  <c r="M187" i="173"/>
  <c r="M193" i="173" s="1"/>
  <c r="M147" i="173"/>
  <c r="M192" i="173" s="1"/>
  <c r="K147" i="173"/>
  <c r="J192" i="173" s="1"/>
  <c r="J191" i="173"/>
  <c r="K187" i="173"/>
  <c r="J193" i="173" s="1"/>
  <c r="T125" i="2"/>
  <c r="G125" i="2"/>
  <c r="F125" i="2"/>
  <c r="E125" i="2"/>
  <c r="D125" i="2"/>
  <c r="E43" i="172"/>
  <c r="C43" i="172"/>
  <c r="E42" i="172"/>
  <c r="C42" i="172"/>
  <c r="E41" i="172"/>
  <c r="C41" i="172"/>
  <c r="E40" i="172"/>
  <c r="C40" i="172"/>
  <c r="E39" i="172"/>
  <c r="C39" i="172"/>
  <c r="C38" i="172"/>
  <c r="C37" i="172"/>
  <c r="C36" i="172"/>
  <c r="C35" i="172"/>
  <c r="C34" i="172"/>
  <c r="C33" i="172"/>
  <c r="C32" i="172"/>
  <c r="C31" i="172"/>
  <c r="C29" i="172"/>
  <c r="C28" i="172"/>
  <c r="C27" i="172"/>
  <c r="C26" i="172"/>
  <c r="C25" i="172"/>
  <c r="C24" i="172"/>
  <c r="K23" i="172"/>
  <c r="H23" i="172" s="1"/>
  <c r="C23" i="172" s="1"/>
  <c r="J16" i="172"/>
  <c r="J15" i="172"/>
  <c r="F7" i="172"/>
  <c r="T122" i="2"/>
  <c r="H122" i="2"/>
  <c r="AC122" i="2" s="1"/>
  <c r="G122" i="2"/>
  <c r="F122" i="2"/>
  <c r="E122" i="2"/>
  <c r="D122" i="2"/>
  <c r="T123" i="2"/>
  <c r="H123" i="2"/>
  <c r="G123" i="2"/>
  <c r="F123" i="2"/>
  <c r="E123" i="2"/>
  <c r="D123" i="2"/>
  <c r="E43" i="171"/>
  <c r="C43" i="171"/>
  <c r="E42" i="171"/>
  <c r="C42" i="171"/>
  <c r="E41" i="171"/>
  <c r="C41" i="171"/>
  <c r="E40" i="171"/>
  <c r="C40" i="171"/>
  <c r="E39" i="171"/>
  <c r="C39" i="171"/>
  <c r="E38" i="171"/>
  <c r="C38" i="171"/>
  <c r="E37" i="171"/>
  <c r="C37" i="171"/>
  <c r="E36" i="171"/>
  <c r="C36" i="171"/>
  <c r="C35" i="171"/>
  <c r="C34" i="171"/>
  <c r="C33" i="171"/>
  <c r="C32" i="171"/>
  <c r="C31" i="171"/>
  <c r="C30" i="171"/>
  <c r="C29" i="171"/>
  <c r="H25" i="171"/>
  <c r="C25" i="171" s="1"/>
  <c r="H24" i="171"/>
  <c r="C24" i="171" s="1"/>
  <c r="H23" i="171"/>
  <c r="C23" i="171" s="1"/>
  <c r="J17" i="171"/>
  <c r="J16" i="171"/>
  <c r="J15" i="171"/>
  <c r="G13" i="171"/>
  <c r="F13" i="171"/>
  <c r="H12" i="171"/>
  <c r="F8" i="171"/>
  <c r="H27" i="170"/>
  <c r="E43" i="170"/>
  <c r="C43" i="170"/>
  <c r="E42" i="170"/>
  <c r="C42" i="170"/>
  <c r="E41" i="170"/>
  <c r="C41" i="170"/>
  <c r="E40" i="170"/>
  <c r="C40" i="170"/>
  <c r="E39" i="170"/>
  <c r="C39" i="170"/>
  <c r="E38" i="170"/>
  <c r="C38" i="170"/>
  <c r="E37" i="170"/>
  <c r="C37" i="170"/>
  <c r="E36" i="170"/>
  <c r="C36" i="170"/>
  <c r="C35" i="170"/>
  <c r="C34" i="170"/>
  <c r="C33" i="170"/>
  <c r="C32" i="170"/>
  <c r="C31" i="170"/>
  <c r="C30" i="170"/>
  <c r="C29" i="170"/>
  <c r="H25" i="170"/>
  <c r="C25" i="170" s="1"/>
  <c r="H24" i="170"/>
  <c r="C24" i="170" s="1"/>
  <c r="C23" i="170"/>
  <c r="J17" i="170"/>
  <c r="J16" i="170"/>
  <c r="J15" i="170"/>
  <c r="G13" i="170"/>
  <c r="F13" i="170"/>
  <c r="H12" i="170"/>
  <c r="F8" i="170"/>
  <c r="AG123" i="2" l="1"/>
  <c r="AC123" i="2"/>
  <c r="M123" i="2"/>
  <c r="AG122" i="2"/>
  <c r="F9" i="171"/>
  <c r="G9" i="171" s="1"/>
  <c r="I11" i="173"/>
  <c r="W11" i="173" s="1"/>
  <c r="X11" i="173" s="1"/>
  <c r="I122" i="2"/>
  <c r="F12" i="171"/>
  <c r="J13" i="171" s="1"/>
  <c r="M11" i="173"/>
  <c r="F18" i="172"/>
  <c r="J17" i="172" s="1"/>
  <c r="H374" i="173"/>
  <c r="V374" i="173" s="1"/>
  <c r="H14" i="173"/>
  <c r="V14" i="173" s="1"/>
  <c r="H125" i="2"/>
  <c r="M122" i="2"/>
  <c r="F9" i="170"/>
  <c r="G9" i="170" s="1"/>
  <c r="I12" i="173"/>
  <c r="F12" i="170"/>
  <c r="M12" i="173"/>
  <c r="I123" i="2"/>
  <c r="F8" i="172"/>
  <c r="F13" i="172"/>
  <c r="G13" i="172"/>
  <c r="H12" i="172"/>
  <c r="J19" i="171"/>
  <c r="J18" i="171"/>
  <c r="J12" i="171"/>
  <c r="J18" i="170"/>
  <c r="J12" i="170"/>
  <c r="J19" i="170"/>
  <c r="T124" i="2"/>
  <c r="G124" i="2"/>
  <c r="F124" i="2"/>
  <c r="E124" i="2"/>
  <c r="D124" i="2"/>
  <c r="K25" i="169"/>
  <c r="K29" i="169"/>
  <c r="K23" i="169"/>
  <c r="E43" i="169"/>
  <c r="C43" i="169"/>
  <c r="E42" i="169"/>
  <c r="C42" i="169"/>
  <c r="E41" i="169"/>
  <c r="C41" i="169"/>
  <c r="E40" i="169"/>
  <c r="C40" i="169"/>
  <c r="E39" i="169"/>
  <c r="C39" i="169"/>
  <c r="C38" i="169"/>
  <c r="C37" i="169"/>
  <c r="C36" i="169"/>
  <c r="C35" i="169"/>
  <c r="C34" i="169"/>
  <c r="C33" i="169"/>
  <c r="C32" i="169"/>
  <c r="C31" i="169"/>
  <c r="K28" i="169"/>
  <c r="K27" i="169"/>
  <c r="K26" i="169"/>
  <c r="K24" i="169"/>
  <c r="J16" i="169"/>
  <c r="J15" i="169"/>
  <c r="F7" i="169"/>
  <c r="AG125" i="2" l="1"/>
  <c r="AC125" i="2"/>
  <c r="F9" i="172"/>
  <c r="G9" i="172" s="1"/>
  <c r="I9" i="172" s="1"/>
  <c r="H13" i="173"/>
  <c r="V13" i="173" s="1"/>
  <c r="F10" i="171"/>
  <c r="V122" i="2"/>
  <c r="W122" i="2" s="1"/>
  <c r="J19" i="172"/>
  <c r="J12" i="172"/>
  <c r="AH122" i="2"/>
  <c r="AI122" i="2" s="1"/>
  <c r="F10" i="170"/>
  <c r="V123" i="2"/>
  <c r="W123" i="2" s="1"/>
  <c r="Y122" i="2"/>
  <c r="Z122" i="2" s="1"/>
  <c r="I374" i="173"/>
  <c r="W374" i="173" s="1"/>
  <c r="X374" i="173" s="1"/>
  <c r="I14" i="173"/>
  <c r="W14" i="173" s="1"/>
  <c r="X14" i="173" s="1"/>
  <c r="I125" i="2"/>
  <c r="F12" i="172"/>
  <c r="M374" i="173"/>
  <c r="M14" i="173"/>
  <c r="M125" i="2"/>
  <c r="H124" i="2"/>
  <c r="AC124" i="2" s="1"/>
  <c r="J18" i="172"/>
  <c r="I9" i="171"/>
  <c r="K11" i="173"/>
  <c r="K122" i="2"/>
  <c r="AH123" i="2"/>
  <c r="AI123" i="2" s="1"/>
  <c r="Y123" i="2"/>
  <c r="Z123" i="2" s="1"/>
  <c r="J13" i="170"/>
  <c r="F11" i="170" s="1"/>
  <c r="W12" i="173"/>
  <c r="X12" i="173" s="1"/>
  <c r="I9" i="170"/>
  <c r="K12" i="173"/>
  <c r="K123" i="2"/>
  <c r="F11" i="171"/>
  <c r="H26" i="169"/>
  <c r="C26" i="169" s="1"/>
  <c r="G13" i="169"/>
  <c r="H24" i="169"/>
  <c r="C24" i="169" s="1"/>
  <c r="F8" i="169"/>
  <c r="H27" i="169"/>
  <c r="C27" i="169" s="1"/>
  <c r="H29" i="169"/>
  <c r="C29" i="169" s="1"/>
  <c r="H23" i="169"/>
  <c r="C23" i="169" s="1"/>
  <c r="H28" i="169"/>
  <c r="C28" i="169" s="1"/>
  <c r="H12" i="169"/>
  <c r="F18" i="169"/>
  <c r="J17" i="169" s="1"/>
  <c r="F13" i="169"/>
  <c r="H25" i="169"/>
  <c r="C25" i="169" s="1"/>
  <c r="T126" i="2"/>
  <c r="G126" i="2"/>
  <c r="F126" i="2"/>
  <c r="E126" i="2"/>
  <c r="D126" i="2"/>
  <c r="F7" i="168"/>
  <c r="E43" i="168"/>
  <c r="C43" i="168"/>
  <c r="E42" i="168"/>
  <c r="C42" i="168"/>
  <c r="E41" i="168"/>
  <c r="C41" i="168"/>
  <c r="E40" i="168"/>
  <c r="C40" i="168"/>
  <c r="E39" i="168"/>
  <c r="C39" i="168"/>
  <c r="E38" i="168"/>
  <c r="C38" i="168"/>
  <c r="E37" i="168"/>
  <c r="C37" i="168"/>
  <c r="E36" i="168"/>
  <c r="C36" i="168"/>
  <c r="E35" i="168"/>
  <c r="C35" i="168"/>
  <c r="E34" i="168"/>
  <c r="C34" i="168"/>
  <c r="E33" i="168"/>
  <c r="C33" i="168"/>
  <c r="E32" i="168"/>
  <c r="C32" i="168"/>
  <c r="E31" i="168"/>
  <c r="C31" i="168"/>
  <c r="E30" i="168"/>
  <c r="C30" i="168"/>
  <c r="O26" i="168"/>
  <c r="M26" i="168"/>
  <c r="O25" i="168"/>
  <c r="M25" i="168"/>
  <c r="O24" i="168"/>
  <c r="M24" i="168"/>
  <c r="O23" i="168"/>
  <c r="M23" i="168"/>
  <c r="J17" i="168"/>
  <c r="J16" i="168"/>
  <c r="J15" i="168"/>
  <c r="O11" i="168"/>
  <c r="O10" i="168"/>
  <c r="T127" i="2"/>
  <c r="H127" i="2"/>
  <c r="G127" i="2"/>
  <c r="F127" i="2"/>
  <c r="E127" i="2"/>
  <c r="D127" i="2"/>
  <c r="E43" i="167"/>
  <c r="C43" i="167"/>
  <c r="E42" i="167"/>
  <c r="C42" i="167"/>
  <c r="E41" i="167"/>
  <c r="C41" i="167"/>
  <c r="E40" i="167"/>
  <c r="C40" i="167"/>
  <c r="E39" i="167"/>
  <c r="C39" i="167"/>
  <c r="E38" i="167"/>
  <c r="C38" i="167"/>
  <c r="E37" i="167"/>
  <c r="C37" i="167"/>
  <c r="E36" i="167"/>
  <c r="C36" i="167"/>
  <c r="C35" i="167"/>
  <c r="C34" i="167"/>
  <c r="C33" i="167"/>
  <c r="C32" i="167"/>
  <c r="C31" i="167"/>
  <c r="C30" i="167"/>
  <c r="C29" i="167"/>
  <c r="H26" i="167"/>
  <c r="H25" i="167"/>
  <c r="C25" i="167" s="1"/>
  <c r="H24" i="167"/>
  <c r="C24" i="167" s="1"/>
  <c r="H23" i="167"/>
  <c r="C23" i="167" s="1"/>
  <c r="J17" i="167"/>
  <c r="J16" i="167"/>
  <c r="J15" i="167"/>
  <c r="G13" i="167"/>
  <c r="F13" i="167"/>
  <c r="H12" i="167"/>
  <c r="F8" i="167"/>
  <c r="AG127" i="2" l="1"/>
  <c r="AC127" i="2"/>
  <c r="K374" i="173"/>
  <c r="K125" i="2"/>
  <c r="K14" i="173"/>
  <c r="I127" i="2"/>
  <c r="AH127" i="2" s="1"/>
  <c r="AI127" i="2" s="1"/>
  <c r="V125" i="2"/>
  <c r="W125" i="2" s="1"/>
  <c r="M127" i="2"/>
  <c r="H15" i="173"/>
  <c r="V15" i="173" s="1"/>
  <c r="F10" i="172"/>
  <c r="J13" i="172"/>
  <c r="F11" i="172" s="1"/>
  <c r="L374" i="173" s="1"/>
  <c r="H126" i="2"/>
  <c r="AG124" i="2"/>
  <c r="F12" i="169"/>
  <c r="M13" i="173"/>
  <c r="M124" i="2"/>
  <c r="AH125" i="2"/>
  <c r="AI125" i="2" s="1"/>
  <c r="Y125" i="2"/>
  <c r="Z125" i="2" s="1"/>
  <c r="J12" i="169"/>
  <c r="I13" i="173"/>
  <c r="I124" i="2"/>
  <c r="L11" i="173"/>
  <c r="L122" i="2"/>
  <c r="F9" i="167"/>
  <c r="G9" i="167" s="1"/>
  <c r="I16" i="173"/>
  <c r="W16" i="173" s="1"/>
  <c r="X16" i="173" s="1"/>
  <c r="F12" i="167"/>
  <c r="M16" i="173"/>
  <c r="L12" i="173"/>
  <c r="L123" i="2"/>
  <c r="F9" i="169"/>
  <c r="G9" i="169" s="1"/>
  <c r="J19" i="169"/>
  <c r="J18" i="169"/>
  <c r="H23" i="168"/>
  <c r="C23" i="168" s="1"/>
  <c r="H25" i="168"/>
  <c r="C25" i="168" s="1"/>
  <c r="C27" i="168"/>
  <c r="H24" i="168"/>
  <c r="C24" i="168" s="1"/>
  <c r="H26" i="168"/>
  <c r="C26" i="168" s="1"/>
  <c r="F8" i="168"/>
  <c r="F13" i="168"/>
  <c r="H12" i="168"/>
  <c r="G13" i="168"/>
  <c r="J18" i="167"/>
  <c r="J12" i="167"/>
  <c r="J19" i="167"/>
  <c r="T128" i="2"/>
  <c r="G128" i="2"/>
  <c r="F128" i="2"/>
  <c r="E128" i="2"/>
  <c r="D128" i="2"/>
  <c r="K26" i="166"/>
  <c r="K27" i="166"/>
  <c r="K28" i="166"/>
  <c r="K29" i="166"/>
  <c r="K30" i="166"/>
  <c r="E43" i="166"/>
  <c r="C43" i="166"/>
  <c r="E42" i="166"/>
  <c r="C42" i="166"/>
  <c r="E41" i="166"/>
  <c r="C41" i="166"/>
  <c r="E40" i="166"/>
  <c r="C40" i="166"/>
  <c r="E39" i="166"/>
  <c r="C39" i="166"/>
  <c r="C38" i="166"/>
  <c r="C37" i="166"/>
  <c r="C36" i="166"/>
  <c r="C35" i="166"/>
  <c r="C34" i="166"/>
  <c r="C33" i="166"/>
  <c r="C32" i="166"/>
  <c r="C31" i="166"/>
  <c r="K25" i="166"/>
  <c r="K24" i="166"/>
  <c r="K23" i="166"/>
  <c r="J16" i="166"/>
  <c r="J15" i="166"/>
  <c r="F7" i="166"/>
  <c r="AG126" i="2" l="1"/>
  <c r="AC126" i="2"/>
  <c r="Y127" i="2"/>
  <c r="Z127" i="2" s="1"/>
  <c r="L14" i="173"/>
  <c r="H17" i="173"/>
  <c r="V17" i="173" s="1"/>
  <c r="V127" i="2"/>
  <c r="W127" i="2" s="1"/>
  <c r="J13" i="167"/>
  <c r="F11" i="167" s="1"/>
  <c r="F10" i="167"/>
  <c r="L125" i="2"/>
  <c r="J13" i="169"/>
  <c r="F11" i="169" s="1"/>
  <c r="V124" i="2"/>
  <c r="W124" i="2" s="1"/>
  <c r="H128" i="2"/>
  <c r="F10" i="169"/>
  <c r="I15" i="173"/>
  <c r="W15" i="173" s="1"/>
  <c r="X15" i="173" s="1"/>
  <c r="I126" i="2"/>
  <c r="I9" i="167"/>
  <c r="K16" i="173"/>
  <c r="K127" i="2"/>
  <c r="W13" i="173"/>
  <c r="X13" i="173" s="1"/>
  <c r="F12" i="168"/>
  <c r="M15" i="173"/>
  <c r="M126" i="2"/>
  <c r="I9" i="169"/>
  <c r="K13" i="173"/>
  <c r="K124" i="2"/>
  <c r="AH124" i="2"/>
  <c r="AI124" i="2" s="1"/>
  <c r="Y124" i="2"/>
  <c r="Z124" i="2" s="1"/>
  <c r="O12" i="168"/>
  <c r="J19" i="168"/>
  <c r="J18" i="168"/>
  <c r="J12" i="168"/>
  <c r="F11" i="168" s="1"/>
  <c r="F9" i="168"/>
  <c r="G9" i="168" s="1"/>
  <c r="H23" i="166"/>
  <c r="C23" i="166" s="1"/>
  <c r="H28" i="166"/>
  <c r="C28" i="166" s="1"/>
  <c r="F13" i="166"/>
  <c r="H27" i="166"/>
  <c r="C27" i="166" s="1"/>
  <c r="H30" i="166"/>
  <c r="C30" i="166" s="1"/>
  <c r="H26" i="166"/>
  <c r="C26" i="166" s="1"/>
  <c r="H29" i="166"/>
  <c r="C29" i="166" s="1"/>
  <c r="H12" i="166"/>
  <c r="G13" i="166"/>
  <c r="H25" i="166"/>
  <c r="C25" i="166" s="1"/>
  <c r="F8" i="166"/>
  <c r="H24" i="166"/>
  <c r="C24" i="166" s="1"/>
  <c r="F18" i="166"/>
  <c r="J17" i="166" s="1"/>
  <c r="T129" i="2"/>
  <c r="G129" i="2"/>
  <c r="F129" i="2"/>
  <c r="E129" i="2"/>
  <c r="D129" i="2"/>
  <c r="E43" i="164"/>
  <c r="C43" i="164"/>
  <c r="E42" i="164"/>
  <c r="C42" i="164"/>
  <c r="E41" i="164"/>
  <c r="C41" i="164"/>
  <c r="E40" i="164"/>
  <c r="C40" i="164"/>
  <c r="E39" i="164"/>
  <c r="C39" i="164"/>
  <c r="C38" i="164"/>
  <c r="C37" i="164"/>
  <c r="C36" i="164"/>
  <c r="C35" i="164"/>
  <c r="C34" i="164"/>
  <c r="C33" i="164"/>
  <c r="C32" i="164"/>
  <c r="K25" i="164"/>
  <c r="K24" i="164"/>
  <c r="K23" i="164"/>
  <c r="J16" i="164"/>
  <c r="J15" i="164"/>
  <c r="F7" i="164"/>
  <c r="T130" i="2"/>
  <c r="H130" i="2"/>
  <c r="G130" i="2"/>
  <c r="F130" i="2"/>
  <c r="E130" i="2"/>
  <c r="D130" i="2"/>
  <c r="H25" i="163"/>
  <c r="C25" i="163" s="1"/>
  <c r="E43" i="163"/>
  <c r="C43" i="163"/>
  <c r="E42" i="163"/>
  <c r="C42" i="163"/>
  <c r="E41" i="163"/>
  <c r="C41" i="163"/>
  <c r="E40" i="163"/>
  <c r="C40" i="163"/>
  <c r="E39" i="163"/>
  <c r="C39" i="163"/>
  <c r="E38" i="163"/>
  <c r="C38" i="163"/>
  <c r="E37" i="163"/>
  <c r="C37" i="163"/>
  <c r="E36" i="163"/>
  <c r="C36" i="163"/>
  <c r="C35" i="163"/>
  <c r="C34" i="163"/>
  <c r="C33" i="163"/>
  <c r="C32" i="163"/>
  <c r="C31" i="163"/>
  <c r="C30" i="163"/>
  <c r="C29" i="163"/>
  <c r="H27" i="163"/>
  <c r="H26" i="163"/>
  <c r="H24" i="163"/>
  <c r="C24" i="163" s="1"/>
  <c r="H23" i="163"/>
  <c r="C23" i="163" s="1"/>
  <c r="J17" i="163"/>
  <c r="J16" i="163"/>
  <c r="J15" i="163"/>
  <c r="G13" i="163"/>
  <c r="F13" i="163"/>
  <c r="H12" i="163"/>
  <c r="F8" i="163"/>
  <c r="AG128" i="2" l="1"/>
  <c r="AC128" i="2"/>
  <c r="AG130" i="2"/>
  <c r="AC130" i="2"/>
  <c r="H18" i="173"/>
  <c r="V18" i="173" s="1"/>
  <c r="L13" i="173"/>
  <c r="M17" i="173"/>
  <c r="I17" i="173"/>
  <c r="W17" i="173" s="1"/>
  <c r="X17" i="173" s="1"/>
  <c r="L124" i="2"/>
  <c r="J13" i="168"/>
  <c r="V126" i="2"/>
  <c r="W126" i="2" s="1"/>
  <c r="F10" i="168"/>
  <c r="M130" i="2"/>
  <c r="L10" i="201"/>
  <c r="H12" i="164"/>
  <c r="I130" i="2"/>
  <c r="AH130" i="2" s="1"/>
  <c r="AI130" i="2" s="1"/>
  <c r="H10" i="201"/>
  <c r="F8" i="164"/>
  <c r="J19" i="164" s="1"/>
  <c r="H23" i="164"/>
  <c r="C23" i="164" s="1"/>
  <c r="H25" i="164"/>
  <c r="C25" i="164" s="1"/>
  <c r="H129" i="2"/>
  <c r="AC129" i="2" s="1"/>
  <c r="I9" i="168"/>
  <c r="K15" i="173"/>
  <c r="K126" i="2"/>
  <c r="L15" i="173"/>
  <c r="L126" i="2"/>
  <c r="AH126" i="2"/>
  <c r="AI126" i="2" s="1"/>
  <c r="Y126" i="2"/>
  <c r="Z126" i="2" s="1"/>
  <c r="F12" i="163"/>
  <c r="J13" i="163" s="1"/>
  <c r="M19" i="173"/>
  <c r="J19" i="163"/>
  <c r="I19" i="173"/>
  <c r="W19" i="173" s="1"/>
  <c r="X19" i="173" s="1"/>
  <c r="L16" i="173"/>
  <c r="L127" i="2"/>
  <c r="F12" i="166"/>
  <c r="M128" i="2"/>
  <c r="J19" i="166"/>
  <c r="I128" i="2"/>
  <c r="J12" i="166"/>
  <c r="F9" i="166"/>
  <c r="G9" i="166" s="1"/>
  <c r="J18" i="166"/>
  <c r="C31" i="164"/>
  <c r="C28" i="164"/>
  <c r="F18" i="164"/>
  <c r="J17" i="164" s="1"/>
  <c r="C27" i="164"/>
  <c r="F13" i="164"/>
  <c r="C29" i="164"/>
  <c r="G13" i="164"/>
  <c r="H24" i="164"/>
  <c r="C24" i="164" s="1"/>
  <c r="C26" i="164"/>
  <c r="C30" i="164"/>
  <c r="F9" i="163"/>
  <c r="G9" i="163" s="1"/>
  <c r="J18" i="163"/>
  <c r="J12" i="163"/>
  <c r="T131" i="2"/>
  <c r="H131" i="2"/>
  <c r="G131" i="2"/>
  <c r="F131" i="2"/>
  <c r="E131" i="2"/>
  <c r="D131" i="2"/>
  <c r="H25" i="162"/>
  <c r="C25" i="162" s="1"/>
  <c r="H26" i="162"/>
  <c r="H27" i="162"/>
  <c r="H28" i="162"/>
  <c r="E43" i="162"/>
  <c r="C43" i="162"/>
  <c r="E42" i="162"/>
  <c r="C42" i="162"/>
  <c r="E41" i="162"/>
  <c r="C41" i="162"/>
  <c r="E40" i="162"/>
  <c r="C40" i="162"/>
  <c r="E39" i="162"/>
  <c r="C39" i="162"/>
  <c r="E38" i="162"/>
  <c r="C38" i="162"/>
  <c r="E37" i="162"/>
  <c r="C37" i="162"/>
  <c r="E36" i="162"/>
  <c r="C36" i="162"/>
  <c r="C35" i="162"/>
  <c r="C34" i="162"/>
  <c r="C33" i="162"/>
  <c r="C32" i="162"/>
  <c r="C31" i="162"/>
  <c r="C30" i="162"/>
  <c r="C29" i="162"/>
  <c r="H24" i="162"/>
  <c r="C24" i="162" s="1"/>
  <c r="H23" i="162"/>
  <c r="C23" i="162" s="1"/>
  <c r="J17" i="162"/>
  <c r="J16" i="162"/>
  <c r="J15" i="162"/>
  <c r="G13" i="162"/>
  <c r="F13" i="162"/>
  <c r="H12" i="162"/>
  <c r="F8" i="162"/>
  <c r="AG131" i="2" l="1"/>
  <c r="AC131" i="2"/>
  <c r="F10" i="166"/>
  <c r="M18" i="173"/>
  <c r="F9" i="164"/>
  <c r="G9" i="164" s="1"/>
  <c r="K18" i="173" s="1"/>
  <c r="M131" i="2"/>
  <c r="J10" i="201"/>
  <c r="K17" i="173"/>
  <c r="Y130" i="2"/>
  <c r="Z130" i="2" s="1"/>
  <c r="J13" i="166"/>
  <c r="F11" i="166" s="1"/>
  <c r="V128" i="2"/>
  <c r="W128" i="2" s="1"/>
  <c r="F10" i="163"/>
  <c r="V130" i="2"/>
  <c r="W130" i="2" s="1"/>
  <c r="M129" i="2"/>
  <c r="F12" i="164"/>
  <c r="AG129" i="2"/>
  <c r="J18" i="162"/>
  <c r="I20" i="173"/>
  <c r="W20" i="173" s="1"/>
  <c r="X20" i="173" s="1"/>
  <c r="F12" i="162"/>
  <c r="M20" i="173"/>
  <c r="I131" i="2"/>
  <c r="I9" i="163"/>
  <c r="K19" i="173"/>
  <c r="K130" i="2"/>
  <c r="J12" i="164"/>
  <c r="I18" i="173"/>
  <c r="I129" i="2"/>
  <c r="AH128" i="2"/>
  <c r="AI128" i="2" s="1"/>
  <c r="Y128" i="2"/>
  <c r="Z128" i="2" s="1"/>
  <c r="I9" i="166"/>
  <c r="K128" i="2"/>
  <c r="J18" i="164"/>
  <c r="F11" i="163"/>
  <c r="J12" i="162"/>
  <c r="J19" i="162"/>
  <c r="F9" i="162"/>
  <c r="G9" i="162" s="1"/>
  <c r="K26" i="161"/>
  <c r="K28" i="161"/>
  <c r="T132" i="2"/>
  <c r="G132" i="2"/>
  <c r="F132" i="2"/>
  <c r="E132" i="2"/>
  <c r="D132" i="2"/>
  <c r="K31" i="161"/>
  <c r="K30" i="161"/>
  <c r="K29" i="161"/>
  <c r="K27" i="161"/>
  <c r="E43" i="161"/>
  <c r="C43" i="161"/>
  <c r="E42" i="161"/>
  <c r="C42" i="161"/>
  <c r="E41" i="161"/>
  <c r="C41" i="161"/>
  <c r="E40" i="161"/>
  <c r="C40" i="161"/>
  <c r="E39" i="161"/>
  <c r="C39" i="161"/>
  <c r="C38" i="161"/>
  <c r="C37" i="161"/>
  <c r="C36" i="161"/>
  <c r="C35" i="161"/>
  <c r="C34" i="161"/>
  <c r="C33" i="161"/>
  <c r="C32" i="161"/>
  <c r="K25" i="161"/>
  <c r="K24" i="161"/>
  <c r="K23" i="161"/>
  <c r="J16" i="161"/>
  <c r="J15" i="161"/>
  <c r="F7" i="161"/>
  <c r="T133" i="2"/>
  <c r="H133" i="2"/>
  <c r="G133" i="2"/>
  <c r="F133" i="2"/>
  <c r="E133" i="2"/>
  <c r="D133" i="2"/>
  <c r="E43" i="160"/>
  <c r="C43" i="160"/>
  <c r="E42" i="160"/>
  <c r="C42" i="160"/>
  <c r="E41" i="160"/>
  <c r="C41" i="160"/>
  <c r="E40" i="160"/>
  <c r="C40" i="160"/>
  <c r="E39" i="160"/>
  <c r="C39" i="160"/>
  <c r="E38" i="160"/>
  <c r="C38" i="160"/>
  <c r="E37" i="160"/>
  <c r="C37" i="160"/>
  <c r="E36" i="160"/>
  <c r="C36" i="160"/>
  <c r="C35" i="160"/>
  <c r="C34" i="160"/>
  <c r="C33" i="160"/>
  <c r="C32" i="160"/>
  <c r="C31" i="160"/>
  <c r="C30" i="160"/>
  <c r="C29" i="160"/>
  <c r="C25" i="160"/>
  <c r="H24" i="160"/>
  <c r="C24" i="160" s="1"/>
  <c r="H23" i="160"/>
  <c r="C23" i="160" s="1"/>
  <c r="J17" i="160"/>
  <c r="J16" i="160"/>
  <c r="J15" i="160"/>
  <c r="G13" i="160"/>
  <c r="F13" i="160"/>
  <c r="H12" i="160"/>
  <c r="F8" i="160"/>
  <c r="AG133" i="2" l="1"/>
  <c r="AC133" i="2"/>
  <c r="I9" i="164"/>
  <c r="K129" i="2"/>
  <c r="I133" i="2"/>
  <c r="Y133" i="2" s="1"/>
  <c r="Z133" i="2" s="1"/>
  <c r="K10" i="201"/>
  <c r="H21" i="173"/>
  <c r="V21" i="173" s="1"/>
  <c r="L128" i="2"/>
  <c r="L17" i="173"/>
  <c r="H31" i="161"/>
  <c r="C31" i="161" s="1"/>
  <c r="H27" i="161"/>
  <c r="C27" i="161" s="1"/>
  <c r="H132" i="2"/>
  <c r="J13" i="164"/>
  <c r="F11" i="164" s="1"/>
  <c r="V129" i="2"/>
  <c r="W129" i="2" s="1"/>
  <c r="F10" i="164"/>
  <c r="J13" i="162"/>
  <c r="F11" i="162" s="1"/>
  <c r="V131" i="2"/>
  <c r="W131" i="2" s="1"/>
  <c r="F10" i="162"/>
  <c r="Y131" i="2"/>
  <c r="Z131" i="2" s="1"/>
  <c r="AH131" i="2"/>
  <c r="AI131" i="2" s="1"/>
  <c r="J18" i="160"/>
  <c r="I22" i="173"/>
  <c r="W22" i="173" s="1"/>
  <c r="X22" i="173" s="1"/>
  <c r="H30" i="161"/>
  <c r="C30" i="161" s="1"/>
  <c r="F12" i="160"/>
  <c r="M22" i="173"/>
  <c r="I9" i="162"/>
  <c r="K20" i="173"/>
  <c r="K131" i="2"/>
  <c r="L19" i="173"/>
  <c r="L130" i="2"/>
  <c r="M133" i="2"/>
  <c r="H29" i="161"/>
  <c r="C29" i="161" s="1"/>
  <c r="AH129" i="2"/>
  <c r="AI129" i="2" s="1"/>
  <c r="Y129" i="2"/>
  <c r="Z129" i="2" s="1"/>
  <c r="W18" i="173"/>
  <c r="X18" i="173" s="1"/>
  <c r="H28" i="161"/>
  <c r="C28" i="161" s="1"/>
  <c r="F8" i="161"/>
  <c r="H12" i="161"/>
  <c r="H23" i="161"/>
  <c r="C23" i="161" s="1"/>
  <c r="F13" i="161"/>
  <c r="H24" i="161"/>
  <c r="C24" i="161" s="1"/>
  <c r="H25" i="161"/>
  <c r="C25" i="161" s="1"/>
  <c r="H26" i="161"/>
  <c r="C26" i="161" s="1"/>
  <c r="F18" i="161"/>
  <c r="J17" i="161" s="1"/>
  <c r="G13" i="161"/>
  <c r="J12" i="160"/>
  <c r="J19" i="160"/>
  <c r="F9" i="160"/>
  <c r="G9" i="160" s="1"/>
  <c r="T134" i="2"/>
  <c r="H134" i="2"/>
  <c r="AC134" i="2" s="1"/>
  <c r="G134" i="2"/>
  <c r="F134" i="2"/>
  <c r="E134" i="2"/>
  <c r="D134" i="2"/>
  <c r="H28" i="159"/>
  <c r="H27" i="159"/>
  <c r="E43" i="159"/>
  <c r="C43" i="159"/>
  <c r="E42" i="159"/>
  <c r="C42" i="159"/>
  <c r="E41" i="159"/>
  <c r="C41" i="159"/>
  <c r="E40" i="159"/>
  <c r="C40" i="159"/>
  <c r="E39" i="159"/>
  <c r="C39" i="159"/>
  <c r="E38" i="159"/>
  <c r="C38" i="159"/>
  <c r="E37" i="159"/>
  <c r="C37" i="159"/>
  <c r="E36" i="159"/>
  <c r="C36" i="159"/>
  <c r="C35" i="159"/>
  <c r="C34" i="159"/>
  <c r="C33" i="159"/>
  <c r="C32" i="159"/>
  <c r="C31" i="159"/>
  <c r="C30" i="159"/>
  <c r="C29" i="159"/>
  <c r="H26" i="159"/>
  <c r="H25" i="159"/>
  <c r="C25" i="159" s="1"/>
  <c r="H24" i="159"/>
  <c r="C24" i="159" s="1"/>
  <c r="H23" i="159"/>
  <c r="C23" i="159" s="1"/>
  <c r="J17" i="159"/>
  <c r="J16" i="159"/>
  <c r="J15" i="159"/>
  <c r="G13" i="159"/>
  <c r="F13" i="159"/>
  <c r="H12" i="159"/>
  <c r="F8" i="159"/>
  <c r="AG132" i="2" l="1"/>
  <c r="AC132" i="2"/>
  <c r="AH133" i="2"/>
  <c r="AI133" i="2" s="1"/>
  <c r="M134" i="2"/>
  <c r="M21" i="173"/>
  <c r="V133" i="2"/>
  <c r="W133" i="2" s="1"/>
  <c r="L18" i="173"/>
  <c r="I21" i="173"/>
  <c r="W21" i="173" s="1"/>
  <c r="X21" i="173" s="1"/>
  <c r="L20" i="173"/>
  <c r="L131" i="2"/>
  <c r="J13" i="160"/>
  <c r="F11" i="160" s="1"/>
  <c r="L129" i="2"/>
  <c r="F10" i="160"/>
  <c r="AG134" i="2"/>
  <c r="AK134" i="2"/>
  <c r="I9" i="160"/>
  <c r="K22" i="173"/>
  <c r="K133" i="2"/>
  <c r="J19" i="159"/>
  <c r="I23" i="173"/>
  <c r="W23" i="173" s="1"/>
  <c r="X23" i="173" s="1"/>
  <c r="F12" i="159"/>
  <c r="M23" i="173"/>
  <c r="I134" i="2"/>
  <c r="J19" i="161"/>
  <c r="I132" i="2"/>
  <c r="F12" i="161"/>
  <c r="M132" i="2"/>
  <c r="J18" i="161"/>
  <c r="F9" i="161"/>
  <c r="G9" i="161" s="1"/>
  <c r="J12" i="161"/>
  <c r="J18" i="159"/>
  <c r="F9" i="159"/>
  <c r="G9" i="159" s="1"/>
  <c r="J12" i="159"/>
  <c r="T136" i="2"/>
  <c r="H136" i="2"/>
  <c r="AC136" i="2" s="1"/>
  <c r="G136" i="2"/>
  <c r="F136" i="2"/>
  <c r="E136" i="2"/>
  <c r="D136" i="2"/>
  <c r="E43" i="158"/>
  <c r="C43" i="158"/>
  <c r="E42" i="158"/>
  <c r="C42" i="158"/>
  <c r="E41" i="158"/>
  <c r="C41" i="158"/>
  <c r="E40" i="158"/>
  <c r="C40" i="158"/>
  <c r="E39" i="158"/>
  <c r="C39" i="158"/>
  <c r="E38" i="158"/>
  <c r="C38" i="158"/>
  <c r="E37" i="158"/>
  <c r="C37" i="158"/>
  <c r="E36" i="158"/>
  <c r="C36" i="158"/>
  <c r="C35" i="158"/>
  <c r="C34" i="158"/>
  <c r="C33" i="158"/>
  <c r="C32" i="158"/>
  <c r="C31" i="158"/>
  <c r="C30" i="158"/>
  <c r="C29" i="158"/>
  <c r="H26" i="158"/>
  <c r="H25" i="158"/>
  <c r="C25" i="158" s="1"/>
  <c r="H24" i="158"/>
  <c r="C24" i="158" s="1"/>
  <c r="H23" i="158"/>
  <c r="C23" i="158" s="1"/>
  <c r="J17" i="158"/>
  <c r="J16" i="158"/>
  <c r="J15" i="158"/>
  <c r="G13" i="158"/>
  <c r="F13" i="158"/>
  <c r="H12" i="158"/>
  <c r="F8" i="158"/>
  <c r="V134" i="2" l="1"/>
  <c r="W134" i="2" s="1"/>
  <c r="J13" i="159"/>
  <c r="V132" i="2"/>
  <c r="W132" i="2" s="1"/>
  <c r="F10" i="159"/>
  <c r="K21" i="173"/>
  <c r="AG136" i="2"/>
  <c r="AH134" i="2"/>
  <c r="AI134" i="2" s="1"/>
  <c r="AL134" i="2"/>
  <c r="AM134" i="2" s="1"/>
  <c r="F12" i="158"/>
  <c r="M25" i="173"/>
  <c r="J19" i="158"/>
  <c r="I25" i="173"/>
  <c r="W25" i="173" s="1"/>
  <c r="X25" i="173" s="1"/>
  <c r="M136" i="2"/>
  <c r="L22" i="173"/>
  <c r="L133" i="2"/>
  <c r="Y134" i="2"/>
  <c r="Z134" i="2" s="1"/>
  <c r="I136" i="2"/>
  <c r="I9" i="159"/>
  <c r="K23" i="173"/>
  <c r="K134" i="2"/>
  <c r="AH132" i="2"/>
  <c r="AI132" i="2" s="1"/>
  <c r="Y132" i="2"/>
  <c r="Z132" i="2" s="1"/>
  <c r="I9" i="161"/>
  <c r="K132" i="2"/>
  <c r="J13" i="161"/>
  <c r="F11" i="161" s="1"/>
  <c r="F10" i="161"/>
  <c r="F11" i="159"/>
  <c r="J18" i="158"/>
  <c r="F9" i="158"/>
  <c r="G9" i="158" s="1"/>
  <c r="J12" i="158"/>
  <c r="T137" i="2"/>
  <c r="H137" i="2"/>
  <c r="G137" i="2"/>
  <c r="F137" i="2"/>
  <c r="E137" i="2"/>
  <c r="D137" i="2"/>
  <c r="E43" i="157"/>
  <c r="C43" i="157"/>
  <c r="E42" i="157"/>
  <c r="C42" i="157"/>
  <c r="E41" i="157"/>
  <c r="C41" i="157"/>
  <c r="E40" i="157"/>
  <c r="C40" i="157"/>
  <c r="E39" i="157"/>
  <c r="C39" i="157"/>
  <c r="E38" i="157"/>
  <c r="C38" i="157"/>
  <c r="E37" i="157"/>
  <c r="C37" i="157"/>
  <c r="E36" i="157"/>
  <c r="C36" i="157"/>
  <c r="C34" i="157"/>
  <c r="C33" i="157"/>
  <c r="C32" i="157"/>
  <c r="C31" i="157"/>
  <c r="C30" i="157"/>
  <c r="C29" i="157"/>
  <c r="H28" i="157"/>
  <c r="H27" i="157"/>
  <c r="H26" i="157"/>
  <c r="H25" i="157"/>
  <c r="C25" i="157" s="1"/>
  <c r="H24" i="157"/>
  <c r="C24" i="157" s="1"/>
  <c r="H23" i="157"/>
  <c r="C23" i="157" s="1"/>
  <c r="J17" i="157"/>
  <c r="J16" i="157"/>
  <c r="J15" i="157"/>
  <c r="G13" i="157"/>
  <c r="F13" i="157"/>
  <c r="H12" i="157"/>
  <c r="F8" i="157"/>
  <c r="AG137" i="2" l="1"/>
  <c r="AC137" i="2"/>
  <c r="I137" i="2"/>
  <c r="AH137" i="2" s="1"/>
  <c r="AI137" i="2" s="1"/>
  <c r="V136" i="2"/>
  <c r="W136" i="2" s="1"/>
  <c r="J13" i="158"/>
  <c r="F11" i="158" s="1"/>
  <c r="F10" i="158"/>
  <c r="Y136" i="2"/>
  <c r="Z136" i="2" s="1"/>
  <c r="I9" i="158"/>
  <c r="K25" i="173"/>
  <c r="K136" i="2"/>
  <c r="L132" i="2"/>
  <c r="L21" i="173"/>
  <c r="AH136" i="2"/>
  <c r="AI136" i="2" s="1"/>
  <c r="L23" i="173"/>
  <c r="L134" i="2"/>
  <c r="J19" i="157"/>
  <c r="I26" i="173"/>
  <c r="W26" i="173" s="1"/>
  <c r="X26" i="173" s="1"/>
  <c r="F12" i="157"/>
  <c r="M26" i="173"/>
  <c r="M137" i="2"/>
  <c r="F9" i="157"/>
  <c r="G9" i="157" s="1"/>
  <c r="J18" i="157"/>
  <c r="C35" i="157"/>
  <c r="J12" i="157"/>
  <c r="M25" i="156"/>
  <c r="T138" i="2"/>
  <c r="G138" i="2"/>
  <c r="F138" i="2"/>
  <c r="E138" i="2"/>
  <c r="D138" i="2"/>
  <c r="O24" i="156"/>
  <c r="O25" i="156"/>
  <c r="O26" i="156"/>
  <c r="O27" i="156"/>
  <c r="O23" i="156"/>
  <c r="E43" i="156"/>
  <c r="C43" i="156"/>
  <c r="E42" i="156"/>
  <c r="C42" i="156"/>
  <c r="E41" i="156"/>
  <c r="C41" i="156"/>
  <c r="E40" i="156"/>
  <c r="C40" i="156"/>
  <c r="E39" i="156"/>
  <c r="C39" i="156"/>
  <c r="E38" i="156"/>
  <c r="C38" i="156"/>
  <c r="E37" i="156"/>
  <c r="C37" i="156"/>
  <c r="E36" i="156"/>
  <c r="C36" i="156"/>
  <c r="E35" i="156"/>
  <c r="C35" i="156"/>
  <c r="E34" i="156"/>
  <c r="C34" i="156"/>
  <c r="E33" i="156"/>
  <c r="C33" i="156"/>
  <c r="E32" i="156"/>
  <c r="C32" i="156"/>
  <c r="E31" i="156"/>
  <c r="C31" i="156"/>
  <c r="E30" i="156"/>
  <c r="C30" i="156"/>
  <c r="M27" i="156"/>
  <c r="M26" i="156"/>
  <c r="M24" i="156"/>
  <c r="M23" i="156"/>
  <c r="J16" i="156"/>
  <c r="J15" i="156"/>
  <c r="O11" i="156"/>
  <c r="O10" i="156"/>
  <c r="F7" i="156"/>
  <c r="Y137" i="2" l="1"/>
  <c r="Z137" i="2" s="1"/>
  <c r="L136" i="2"/>
  <c r="L25" i="173"/>
  <c r="F10" i="157"/>
  <c r="V137" i="2"/>
  <c r="W137" i="2" s="1"/>
  <c r="J13" i="157"/>
  <c r="F11" i="157" s="1"/>
  <c r="J17" i="156"/>
  <c r="H27" i="173"/>
  <c r="B134" i="2"/>
  <c r="I9" i="157"/>
  <c r="K26" i="173"/>
  <c r="K137" i="2"/>
  <c r="H138" i="2"/>
  <c r="AC138" i="2" s="1"/>
  <c r="F8" i="156"/>
  <c r="H25" i="156"/>
  <c r="C25" i="156" s="1"/>
  <c r="H26" i="156"/>
  <c r="C26" i="156" s="1"/>
  <c r="F13" i="156"/>
  <c r="H24" i="156"/>
  <c r="C24" i="156" s="1"/>
  <c r="H12" i="156"/>
  <c r="G13" i="156"/>
  <c r="H27" i="156"/>
  <c r="C27" i="156" s="1"/>
  <c r="H23" i="156"/>
  <c r="T139" i="2"/>
  <c r="H139" i="2"/>
  <c r="G139" i="2"/>
  <c r="F139" i="2"/>
  <c r="E139" i="2"/>
  <c r="D139" i="2"/>
  <c r="H35" i="155"/>
  <c r="C35" i="155" s="1"/>
  <c r="H31" i="155"/>
  <c r="C31" i="155" s="1"/>
  <c r="H32" i="155"/>
  <c r="C32" i="155" s="1"/>
  <c r="H33" i="155"/>
  <c r="C33" i="155" s="1"/>
  <c r="H34" i="155"/>
  <c r="E34" i="155" s="1"/>
  <c r="E43" i="155"/>
  <c r="C43" i="155"/>
  <c r="E42" i="155"/>
  <c r="C42" i="155"/>
  <c r="E41" i="155"/>
  <c r="C41" i="155"/>
  <c r="E40" i="155"/>
  <c r="C40" i="155"/>
  <c r="E39" i="155"/>
  <c r="C39" i="155"/>
  <c r="E38" i="155"/>
  <c r="C38" i="155"/>
  <c r="E37" i="155"/>
  <c r="C37" i="155"/>
  <c r="E36" i="155"/>
  <c r="C36" i="155"/>
  <c r="H30" i="155"/>
  <c r="C30" i="155" s="1"/>
  <c r="H29" i="155"/>
  <c r="C29" i="155" s="1"/>
  <c r="H28" i="155"/>
  <c r="H27" i="155"/>
  <c r="H26" i="155"/>
  <c r="H25" i="155"/>
  <c r="C25" i="155" s="1"/>
  <c r="H24" i="155"/>
  <c r="C24" i="155" s="1"/>
  <c r="H23" i="155"/>
  <c r="C23" i="155" s="1"/>
  <c r="J17" i="155"/>
  <c r="J16" i="155"/>
  <c r="J15" i="155"/>
  <c r="G13" i="155"/>
  <c r="F13" i="155"/>
  <c r="H12" i="155"/>
  <c r="F8" i="155"/>
  <c r="AG139" i="2" l="1"/>
  <c r="AC139" i="2"/>
  <c r="M27" i="173"/>
  <c r="I27" i="173"/>
  <c r="W27" i="173" s="1"/>
  <c r="AG138" i="2"/>
  <c r="F12" i="155"/>
  <c r="J13" i="155" s="1"/>
  <c r="M452" i="173"/>
  <c r="M28" i="173"/>
  <c r="L26" i="173"/>
  <c r="L137" i="2"/>
  <c r="V27" i="173"/>
  <c r="J19" i="155"/>
  <c r="I452" i="173"/>
  <c r="W452" i="173" s="1"/>
  <c r="X452" i="173" s="1"/>
  <c r="I28" i="173"/>
  <c r="W28" i="173" s="1"/>
  <c r="X28" i="173" s="1"/>
  <c r="F12" i="156"/>
  <c r="M138" i="2"/>
  <c r="J12" i="156"/>
  <c r="I138" i="2"/>
  <c r="F9" i="156"/>
  <c r="G9" i="156" s="1"/>
  <c r="J19" i="156"/>
  <c r="J18" i="156"/>
  <c r="O12" i="156"/>
  <c r="C23" i="156"/>
  <c r="M139" i="2"/>
  <c r="E35" i="155"/>
  <c r="I139" i="2"/>
  <c r="C34" i="155"/>
  <c r="F9" i="155"/>
  <c r="G9" i="155" s="1"/>
  <c r="J18" i="155"/>
  <c r="J12" i="155"/>
  <c r="T140" i="2"/>
  <c r="G140" i="2"/>
  <c r="F140" i="2"/>
  <c r="E140" i="2"/>
  <c r="D140" i="2"/>
  <c r="E43" i="154"/>
  <c r="C43" i="154"/>
  <c r="E42" i="154"/>
  <c r="C42" i="154"/>
  <c r="E41" i="154"/>
  <c r="C41" i="154"/>
  <c r="E40" i="154"/>
  <c r="C40" i="154"/>
  <c r="E39" i="154"/>
  <c r="C39" i="154"/>
  <c r="C38" i="154"/>
  <c r="C37" i="154"/>
  <c r="C36" i="154"/>
  <c r="C35" i="154"/>
  <c r="C34" i="154"/>
  <c r="C33" i="154"/>
  <c r="C32" i="154"/>
  <c r="C30" i="154"/>
  <c r="C29" i="154"/>
  <c r="C28" i="154"/>
  <c r="K26" i="154"/>
  <c r="K25" i="154"/>
  <c r="K24" i="154"/>
  <c r="K23" i="154"/>
  <c r="J16" i="154"/>
  <c r="J15" i="154"/>
  <c r="F7" i="154"/>
  <c r="X27" i="173" l="1"/>
  <c r="K27" i="173"/>
  <c r="H29" i="173"/>
  <c r="V29" i="173" s="1"/>
  <c r="F10" i="155"/>
  <c r="V139" i="2"/>
  <c r="W139" i="2" s="1"/>
  <c r="J13" i="156"/>
  <c r="F11" i="156" s="1"/>
  <c r="V138" i="2"/>
  <c r="W138" i="2" s="1"/>
  <c r="H24" i="154"/>
  <c r="C24" i="154" s="1"/>
  <c r="K452" i="173"/>
  <c r="K28" i="173"/>
  <c r="H140" i="2"/>
  <c r="AC140" i="2" s="1"/>
  <c r="AH138" i="2"/>
  <c r="AI138" i="2" s="1"/>
  <c r="Y138" i="2"/>
  <c r="Z138" i="2" s="1"/>
  <c r="AH139" i="2"/>
  <c r="AI139" i="2" s="1"/>
  <c r="Y139" i="2"/>
  <c r="Z139" i="2" s="1"/>
  <c r="F10" i="156"/>
  <c r="I9" i="156"/>
  <c r="K138" i="2"/>
  <c r="I9" i="155"/>
  <c r="K139" i="2"/>
  <c r="F11" i="155"/>
  <c r="F8" i="154"/>
  <c r="H23" i="154"/>
  <c r="C23" i="154" s="1"/>
  <c r="H12" i="154"/>
  <c r="H25" i="154"/>
  <c r="C25" i="154" s="1"/>
  <c r="F18" i="154"/>
  <c r="J17" i="154" s="1"/>
  <c r="C27" i="154"/>
  <c r="C31" i="154"/>
  <c r="F13" i="154"/>
  <c r="G13" i="154"/>
  <c r="H26" i="154"/>
  <c r="C26" i="154" s="1"/>
  <c r="F7" i="153"/>
  <c r="J12" i="154" l="1"/>
  <c r="F11" i="154" s="1"/>
  <c r="H30" i="173"/>
  <c r="V30" i="173" s="1"/>
  <c r="AG140" i="2"/>
  <c r="J19" i="154"/>
  <c r="I29" i="173"/>
  <c r="W29" i="173" s="1"/>
  <c r="X29" i="173" s="1"/>
  <c r="I140" i="2"/>
  <c r="L138" i="2"/>
  <c r="L27" i="173"/>
  <c r="F12" i="154"/>
  <c r="M29" i="173"/>
  <c r="M140" i="2"/>
  <c r="L139" i="2"/>
  <c r="L452" i="173"/>
  <c r="L28" i="173"/>
  <c r="F9" i="154"/>
  <c r="G9" i="154" s="1"/>
  <c r="J18" i="154"/>
  <c r="F10" i="154" l="1"/>
  <c r="L140" i="2"/>
  <c r="L29" i="173"/>
  <c r="J13" i="154"/>
  <c r="V140" i="2"/>
  <c r="W140" i="2" s="1"/>
  <c r="I9" i="154"/>
  <c r="K29" i="173"/>
  <c r="K140" i="2"/>
  <c r="Y140" i="2"/>
  <c r="Z140" i="2" s="1"/>
  <c r="AH140" i="2"/>
  <c r="AI140" i="2" s="1"/>
  <c r="T141" i="2"/>
  <c r="H141" i="2"/>
  <c r="AC141" i="2" s="1"/>
  <c r="G141" i="2"/>
  <c r="F141" i="2"/>
  <c r="E141" i="2"/>
  <c r="D141" i="2"/>
  <c r="E43" i="153"/>
  <c r="C43" i="153"/>
  <c r="E42" i="153"/>
  <c r="C42" i="153"/>
  <c r="E41" i="153"/>
  <c r="C41" i="153"/>
  <c r="E40" i="153"/>
  <c r="C40" i="153"/>
  <c r="E39" i="153"/>
  <c r="C39" i="153"/>
  <c r="C38" i="153"/>
  <c r="C37" i="153"/>
  <c r="C36" i="153"/>
  <c r="C35" i="153"/>
  <c r="C34" i="153"/>
  <c r="C33" i="153"/>
  <c r="C32" i="153"/>
  <c r="C28" i="153"/>
  <c r="K25" i="153"/>
  <c r="K24" i="153"/>
  <c r="C26" i="153" s="1"/>
  <c r="K23" i="153"/>
  <c r="J16" i="153"/>
  <c r="J15" i="153"/>
  <c r="F18" i="153"/>
  <c r="J17" i="153" s="1"/>
  <c r="F13" i="153" l="1"/>
  <c r="AG141" i="2"/>
  <c r="C29" i="153"/>
  <c r="H23" i="153"/>
  <c r="C23" i="153" s="1"/>
  <c r="F8" i="153"/>
  <c r="H12" i="153"/>
  <c r="H25" i="153"/>
  <c r="C25" i="153" s="1"/>
  <c r="G13" i="153"/>
  <c r="H24" i="153"/>
  <c r="C24" i="153" s="1"/>
  <c r="C31" i="153"/>
  <c r="C27" i="153"/>
  <c r="C30" i="153"/>
  <c r="T149" i="2"/>
  <c r="H149" i="2"/>
  <c r="AC149" i="2" s="1"/>
  <c r="G149" i="2"/>
  <c r="F149" i="2"/>
  <c r="E149" i="2"/>
  <c r="D149" i="2"/>
  <c r="T150" i="2"/>
  <c r="H150" i="2"/>
  <c r="G150" i="2"/>
  <c r="F150" i="2"/>
  <c r="E150" i="2"/>
  <c r="D150" i="2"/>
  <c r="AG150" i="2" l="1"/>
  <c r="AC150" i="2"/>
  <c r="J12" i="153"/>
  <c r="F9" i="153"/>
  <c r="G9" i="153" s="1"/>
  <c r="I9" i="153" s="1"/>
  <c r="J18" i="153"/>
  <c r="AG149" i="2"/>
  <c r="F12" i="153"/>
  <c r="M30" i="173"/>
  <c r="M141" i="2"/>
  <c r="J19" i="153"/>
  <c r="I30" i="173"/>
  <c r="W30" i="173" s="1"/>
  <c r="X30" i="173" s="1"/>
  <c r="I141" i="2"/>
  <c r="K30" i="173" l="1"/>
  <c r="F10" i="153"/>
  <c r="K141" i="2"/>
  <c r="J13" i="153"/>
  <c r="F11" i="153" s="1"/>
  <c r="V141" i="2"/>
  <c r="W141" i="2" s="1"/>
  <c r="AH141" i="2"/>
  <c r="AI141" i="2" s="1"/>
  <c r="Y141" i="2"/>
  <c r="Z141" i="2" s="1"/>
  <c r="T142" i="2"/>
  <c r="H142" i="2"/>
  <c r="G142" i="2"/>
  <c r="F142" i="2"/>
  <c r="E142" i="2"/>
  <c r="D142" i="2"/>
  <c r="H30" i="152"/>
  <c r="C30" i="152" s="1"/>
  <c r="H29" i="152"/>
  <c r="C29" i="152" s="1"/>
  <c r="E43" i="152"/>
  <c r="C43" i="152"/>
  <c r="E42" i="152"/>
  <c r="C42" i="152"/>
  <c r="E41" i="152"/>
  <c r="C41" i="152"/>
  <c r="E40" i="152"/>
  <c r="C40" i="152"/>
  <c r="E39" i="152"/>
  <c r="C39" i="152"/>
  <c r="E38" i="152"/>
  <c r="C38" i="152"/>
  <c r="E37" i="152"/>
  <c r="C37" i="152"/>
  <c r="E36" i="152"/>
  <c r="C36" i="152"/>
  <c r="E35" i="152"/>
  <c r="C35" i="152"/>
  <c r="E34" i="152"/>
  <c r="C34" i="152"/>
  <c r="C33" i="152"/>
  <c r="C32" i="152"/>
  <c r="C31" i="152"/>
  <c r="H28" i="152"/>
  <c r="H27" i="152"/>
  <c r="H26" i="152"/>
  <c r="H25" i="152"/>
  <c r="C25" i="152" s="1"/>
  <c r="H24" i="152"/>
  <c r="C24" i="152" s="1"/>
  <c r="H23" i="152"/>
  <c r="C23" i="152" s="1"/>
  <c r="J17" i="152"/>
  <c r="J16" i="152"/>
  <c r="J15" i="152"/>
  <c r="G13" i="152"/>
  <c r="F13" i="152"/>
  <c r="H12" i="152"/>
  <c r="F8" i="152"/>
  <c r="AG142" i="2" l="1"/>
  <c r="AC142" i="2"/>
  <c r="L141" i="2"/>
  <c r="I142" i="2"/>
  <c r="Y142" i="2" s="1"/>
  <c r="Z142" i="2" s="1"/>
  <c r="L30" i="173"/>
  <c r="J18" i="152"/>
  <c r="I31" i="173"/>
  <c r="W31" i="173" s="1"/>
  <c r="X31" i="173" s="1"/>
  <c r="F12" i="152"/>
  <c r="M31" i="173"/>
  <c r="M142" i="2"/>
  <c r="J12" i="152"/>
  <c r="J19" i="152"/>
  <c r="F9" i="152"/>
  <c r="G9" i="152" s="1"/>
  <c r="T143" i="2"/>
  <c r="H143" i="2"/>
  <c r="G143" i="2"/>
  <c r="F143" i="2"/>
  <c r="E143" i="2"/>
  <c r="D143" i="2"/>
  <c r="E43" i="151"/>
  <c r="C43" i="151"/>
  <c r="E42" i="151"/>
  <c r="C42" i="151"/>
  <c r="E41" i="151"/>
  <c r="C41" i="151"/>
  <c r="E40" i="151"/>
  <c r="C40" i="151"/>
  <c r="E39" i="151"/>
  <c r="C39" i="151"/>
  <c r="E38" i="151"/>
  <c r="C38" i="151"/>
  <c r="E37" i="151"/>
  <c r="C37" i="151"/>
  <c r="E36" i="151"/>
  <c r="C36" i="151"/>
  <c r="E35" i="151"/>
  <c r="C35" i="151"/>
  <c r="E34" i="151"/>
  <c r="C34" i="151"/>
  <c r="C33" i="151"/>
  <c r="C32" i="151"/>
  <c r="C31" i="151"/>
  <c r="C30" i="151"/>
  <c r="C29" i="151"/>
  <c r="H26" i="151"/>
  <c r="H25" i="151"/>
  <c r="C25" i="151" s="1"/>
  <c r="H24" i="151"/>
  <c r="C24" i="151" s="1"/>
  <c r="H23" i="151"/>
  <c r="C23" i="151" s="1"/>
  <c r="J17" i="151"/>
  <c r="J16" i="151"/>
  <c r="J15" i="151"/>
  <c r="G13" i="151"/>
  <c r="F13" i="151"/>
  <c r="H12" i="151"/>
  <c r="F8" i="151"/>
  <c r="AG143" i="2" l="1"/>
  <c r="AC143" i="2"/>
  <c r="AH142" i="2"/>
  <c r="AI142" i="2" s="1"/>
  <c r="M143" i="2"/>
  <c r="J13" i="152"/>
  <c r="F11" i="152" s="1"/>
  <c r="V142" i="2"/>
  <c r="W142" i="2" s="1"/>
  <c r="F9" i="151"/>
  <c r="G9" i="151" s="1"/>
  <c r="I32" i="173"/>
  <c r="W32" i="173" s="1"/>
  <c r="X32" i="173" s="1"/>
  <c r="I9" i="152"/>
  <c r="K31" i="173"/>
  <c r="K142" i="2"/>
  <c r="F12" i="151"/>
  <c r="M32" i="173"/>
  <c r="I143" i="2"/>
  <c r="F10" i="152"/>
  <c r="J18" i="151"/>
  <c r="J12" i="151"/>
  <c r="J19" i="151"/>
  <c r="T144" i="2"/>
  <c r="H144" i="2"/>
  <c r="G144" i="2"/>
  <c r="F144" i="2"/>
  <c r="F145" i="2"/>
  <c r="E144" i="2"/>
  <c r="D144" i="2"/>
  <c r="E43" i="150"/>
  <c r="C43" i="150"/>
  <c r="E42" i="150"/>
  <c r="C42" i="150"/>
  <c r="E41" i="150"/>
  <c r="C41" i="150"/>
  <c r="E40" i="150"/>
  <c r="C40" i="150"/>
  <c r="E39" i="150"/>
  <c r="C39" i="150"/>
  <c r="E38" i="150"/>
  <c r="C38" i="150"/>
  <c r="E37" i="150"/>
  <c r="C37" i="150"/>
  <c r="E36" i="150"/>
  <c r="C36" i="150"/>
  <c r="E35" i="150"/>
  <c r="C35" i="150"/>
  <c r="E34" i="150"/>
  <c r="C34" i="150"/>
  <c r="C33" i="150"/>
  <c r="C32" i="150"/>
  <c r="C31" i="150"/>
  <c r="C30" i="150"/>
  <c r="C29" i="150"/>
  <c r="H26" i="150"/>
  <c r="H25" i="150"/>
  <c r="C25" i="150" s="1"/>
  <c r="H24" i="150"/>
  <c r="C24" i="150" s="1"/>
  <c r="H23" i="150"/>
  <c r="C23" i="150" s="1"/>
  <c r="J17" i="150"/>
  <c r="J16" i="150"/>
  <c r="J15" i="150"/>
  <c r="G13" i="150"/>
  <c r="F13" i="150"/>
  <c r="H12" i="150"/>
  <c r="F8" i="150"/>
  <c r="AG144" i="2" l="1"/>
  <c r="AC144" i="2"/>
  <c r="J13" i="151"/>
  <c r="F11" i="151" s="1"/>
  <c r="I144" i="2"/>
  <c r="Y144" i="2" s="1"/>
  <c r="Z144" i="2" s="1"/>
  <c r="L31" i="173"/>
  <c r="F10" i="151"/>
  <c r="V143" i="2"/>
  <c r="W143" i="2" s="1"/>
  <c r="L142" i="2"/>
  <c r="Y143" i="2"/>
  <c r="Z143" i="2" s="1"/>
  <c r="F12" i="150"/>
  <c r="J13" i="150" s="1"/>
  <c r="M33" i="173"/>
  <c r="M144" i="2"/>
  <c r="AH143" i="2"/>
  <c r="AI143" i="2" s="1"/>
  <c r="F9" i="150"/>
  <c r="G9" i="150" s="1"/>
  <c r="I33" i="173"/>
  <c r="W33" i="173" s="1"/>
  <c r="X33" i="173" s="1"/>
  <c r="I9" i="151"/>
  <c r="K32" i="173"/>
  <c r="K143" i="2"/>
  <c r="J18" i="150"/>
  <c r="J12" i="150"/>
  <c r="J19" i="150"/>
  <c r="T145" i="2"/>
  <c r="H145" i="2"/>
  <c r="G145" i="2"/>
  <c r="E145" i="2"/>
  <c r="D145" i="2"/>
  <c r="H25" i="149"/>
  <c r="C25" i="149" s="1"/>
  <c r="H26" i="149"/>
  <c r="H27" i="149"/>
  <c r="H28" i="149"/>
  <c r="E43" i="149"/>
  <c r="C43" i="149"/>
  <c r="E42" i="149"/>
  <c r="C42" i="149"/>
  <c r="E41" i="149"/>
  <c r="C41" i="149"/>
  <c r="E40" i="149"/>
  <c r="C40" i="149"/>
  <c r="E39" i="149"/>
  <c r="C39" i="149"/>
  <c r="E38" i="149"/>
  <c r="C38" i="149"/>
  <c r="E37" i="149"/>
  <c r="C37" i="149"/>
  <c r="E36" i="149"/>
  <c r="C36" i="149"/>
  <c r="E35" i="149"/>
  <c r="C35" i="149"/>
  <c r="E34" i="149"/>
  <c r="C34" i="149"/>
  <c r="C33" i="149"/>
  <c r="C32" i="149"/>
  <c r="C31" i="149"/>
  <c r="C30" i="149"/>
  <c r="C29" i="149"/>
  <c r="H24" i="149"/>
  <c r="C24" i="149" s="1"/>
  <c r="H23" i="149"/>
  <c r="C23" i="149" s="1"/>
  <c r="J17" i="149"/>
  <c r="J16" i="149"/>
  <c r="J15" i="149"/>
  <c r="G13" i="149"/>
  <c r="F13" i="149"/>
  <c r="H12" i="149"/>
  <c r="F8" i="149"/>
  <c r="AG145" i="2" l="1"/>
  <c r="AC145" i="2"/>
  <c r="AH144" i="2"/>
  <c r="AI144" i="2" s="1"/>
  <c r="M145" i="2"/>
  <c r="F10" i="150"/>
  <c r="V144" i="2"/>
  <c r="W144" i="2" s="1"/>
  <c r="F11" i="150"/>
  <c r="L32" i="173"/>
  <c r="L143" i="2"/>
  <c r="J19" i="149"/>
  <c r="I34" i="173"/>
  <c r="W34" i="173" s="1"/>
  <c r="X34" i="173" s="1"/>
  <c r="I145" i="2"/>
  <c r="F12" i="149"/>
  <c r="M34" i="173"/>
  <c r="I9" i="150"/>
  <c r="K33" i="173"/>
  <c r="K144" i="2"/>
  <c r="F9" i="149"/>
  <c r="G9" i="149" s="1"/>
  <c r="J18" i="149"/>
  <c r="J12" i="149"/>
  <c r="T146" i="2"/>
  <c r="H146" i="2"/>
  <c r="G146" i="2"/>
  <c r="F146" i="2"/>
  <c r="E146" i="2"/>
  <c r="D146" i="2"/>
  <c r="T147" i="2"/>
  <c r="H147" i="2"/>
  <c r="G147" i="2"/>
  <c r="F147" i="2"/>
  <c r="E147" i="2"/>
  <c r="D147" i="2"/>
  <c r="E43" i="148"/>
  <c r="C43" i="148"/>
  <c r="E42" i="148"/>
  <c r="C42" i="148"/>
  <c r="E41" i="148"/>
  <c r="C41" i="148"/>
  <c r="E40" i="148"/>
  <c r="C40" i="148"/>
  <c r="E39" i="148"/>
  <c r="C39" i="148"/>
  <c r="E38" i="148"/>
  <c r="C38" i="148"/>
  <c r="E37" i="148"/>
  <c r="C37" i="148"/>
  <c r="E36" i="148"/>
  <c r="C36" i="148"/>
  <c r="E35" i="148"/>
  <c r="C35" i="148"/>
  <c r="E34" i="148"/>
  <c r="C34" i="148"/>
  <c r="C33" i="148"/>
  <c r="C32" i="148"/>
  <c r="C31" i="148"/>
  <c r="C30" i="148"/>
  <c r="C29" i="148"/>
  <c r="C25" i="148"/>
  <c r="H24" i="148"/>
  <c r="C24" i="148" s="1"/>
  <c r="H23" i="148"/>
  <c r="C23" i="148" s="1"/>
  <c r="J17" i="148"/>
  <c r="J16" i="148"/>
  <c r="J15" i="148"/>
  <c r="G13" i="148"/>
  <c r="F13" i="148"/>
  <c r="H12" i="148"/>
  <c r="F8" i="148"/>
  <c r="H23" i="147"/>
  <c r="C23" i="147" s="1"/>
  <c r="E43" i="147"/>
  <c r="C43" i="147"/>
  <c r="E42" i="147"/>
  <c r="C42" i="147"/>
  <c r="E41" i="147"/>
  <c r="C41" i="147"/>
  <c r="E40" i="147"/>
  <c r="C40" i="147"/>
  <c r="E39" i="147"/>
  <c r="C39" i="147"/>
  <c r="E38" i="147"/>
  <c r="C38" i="147"/>
  <c r="E37" i="147"/>
  <c r="C37" i="147"/>
  <c r="E36" i="147"/>
  <c r="C36" i="147"/>
  <c r="E35" i="147"/>
  <c r="C35" i="147"/>
  <c r="E34" i="147"/>
  <c r="C34" i="147"/>
  <c r="C33" i="147"/>
  <c r="C32" i="147"/>
  <c r="C31" i="147"/>
  <c r="C30" i="147"/>
  <c r="C29" i="147"/>
  <c r="H26" i="147"/>
  <c r="H25" i="147"/>
  <c r="C25" i="147" s="1"/>
  <c r="H24" i="147"/>
  <c r="C24" i="147" s="1"/>
  <c r="J17" i="147"/>
  <c r="J16" i="147"/>
  <c r="J15" i="147"/>
  <c r="G13" i="147"/>
  <c r="F13" i="147"/>
  <c r="H12" i="147"/>
  <c r="F8" i="147"/>
  <c r="AG147" i="2" l="1"/>
  <c r="AC147" i="2"/>
  <c r="AG146" i="2"/>
  <c r="AC146" i="2"/>
  <c r="I146" i="2"/>
  <c r="AH146" i="2" s="1"/>
  <c r="L144" i="2"/>
  <c r="M147" i="2"/>
  <c r="AK147" i="2"/>
  <c r="F10" i="149"/>
  <c r="V145" i="2"/>
  <c r="W145" i="2" s="1"/>
  <c r="L33" i="173"/>
  <c r="AH145" i="2"/>
  <c r="AI145" i="2" s="1"/>
  <c r="Y145" i="2"/>
  <c r="Z145" i="2" s="1"/>
  <c r="J13" i="149"/>
  <c r="F11" i="149" s="1"/>
  <c r="J18" i="147"/>
  <c r="I36" i="173"/>
  <c r="W36" i="173" s="1"/>
  <c r="X36" i="173" s="1"/>
  <c r="J19" i="148"/>
  <c r="I35" i="173"/>
  <c r="W35" i="173" s="1"/>
  <c r="X35" i="173" s="1"/>
  <c r="I147" i="2"/>
  <c r="F12" i="147"/>
  <c r="J13" i="147" s="1"/>
  <c r="M36" i="173"/>
  <c r="F12" i="148"/>
  <c r="M35" i="173"/>
  <c r="M146" i="2"/>
  <c r="I9" i="149"/>
  <c r="K34" i="173"/>
  <c r="K145" i="2"/>
  <c r="F9" i="148"/>
  <c r="G9" i="148" s="1"/>
  <c r="J18" i="148"/>
  <c r="J12" i="148"/>
  <c r="J19" i="147"/>
  <c r="J12" i="147"/>
  <c r="F9" i="147"/>
  <c r="G9" i="147" s="1"/>
  <c r="H29" i="146"/>
  <c r="C29" i="146" s="1"/>
  <c r="H28" i="146"/>
  <c r="E43" i="146"/>
  <c r="C43" i="146"/>
  <c r="E42" i="146"/>
  <c r="C42" i="146"/>
  <c r="E41" i="146"/>
  <c r="C41" i="146"/>
  <c r="E40" i="146"/>
  <c r="C40" i="146"/>
  <c r="E39" i="146"/>
  <c r="C39" i="146"/>
  <c r="E38" i="146"/>
  <c r="C38" i="146"/>
  <c r="E37" i="146"/>
  <c r="C37" i="146"/>
  <c r="E36" i="146"/>
  <c r="C36" i="146"/>
  <c r="E35" i="146"/>
  <c r="C35" i="146"/>
  <c r="E34" i="146"/>
  <c r="C34" i="146"/>
  <c r="C33" i="146"/>
  <c r="C32" i="146"/>
  <c r="C31" i="146"/>
  <c r="C30" i="146"/>
  <c r="H27" i="146"/>
  <c r="H26" i="146"/>
  <c r="H25" i="146"/>
  <c r="C25" i="146" s="1"/>
  <c r="H24" i="146"/>
  <c r="C24" i="146" s="1"/>
  <c r="H23" i="146"/>
  <c r="C23" i="146" s="1"/>
  <c r="J17" i="146"/>
  <c r="J16" i="146"/>
  <c r="J15" i="146"/>
  <c r="G13" i="146"/>
  <c r="F13" i="146"/>
  <c r="H12" i="146"/>
  <c r="F8" i="146"/>
  <c r="E43" i="145"/>
  <c r="C43" i="145"/>
  <c r="E42" i="145"/>
  <c r="C42" i="145"/>
  <c r="E41" i="145"/>
  <c r="C41" i="145"/>
  <c r="E40" i="145"/>
  <c r="C40" i="145"/>
  <c r="E39" i="145"/>
  <c r="C39" i="145"/>
  <c r="E38" i="145"/>
  <c r="C38" i="145"/>
  <c r="E37" i="145"/>
  <c r="C37" i="145"/>
  <c r="E36" i="145"/>
  <c r="C36" i="145"/>
  <c r="E35" i="145"/>
  <c r="C35" i="145"/>
  <c r="E34" i="145"/>
  <c r="C34" i="145"/>
  <c r="C33" i="145"/>
  <c r="C32" i="145"/>
  <c r="C31" i="145"/>
  <c r="C30" i="145"/>
  <c r="C29" i="145"/>
  <c r="H25" i="145"/>
  <c r="C25" i="145" s="1"/>
  <c r="H24" i="145"/>
  <c r="C24" i="145" s="1"/>
  <c r="H23" i="145"/>
  <c r="C23" i="145" s="1"/>
  <c r="J17" i="145"/>
  <c r="J16" i="145"/>
  <c r="J15" i="145"/>
  <c r="G13" i="145"/>
  <c r="F13" i="145"/>
  <c r="H12" i="145"/>
  <c r="F8" i="145"/>
  <c r="T151" i="2"/>
  <c r="H151" i="2"/>
  <c r="AC151" i="2" s="1"/>
  <c r="G151" i="2"/>
  <c r="F151" i="2"/>
  <c r="E151" i="2"/>
  <c r="D151" i="2"/>
  <c r="E43" i="144"/>
  <c r="C43" i="144"/>
  <c r="E42" i="144"/>
  <c r="C42" i="144"/>
  <c r="E41" i="144"/>
  <c r="C41" i="144"/>
  <c r="E40" i="144"/>
  <c r="C40" i="144"/>
  <c r="E39" i="144"/>
  <c r="C39" i="144"/>
  <c r="E38" i="144"/>
  <c r="C38" i="144"/>
  <c r="E37" i="144"/>
  <c r="C37" i="144"/>
  <c r="E36" i="144"/>
  <c r="C36" i="144"/>
  <c r="E35" i="144"/>
  <c r="C35" i="144"/>
  <c r="E34" i="144"/>
  <c r="C34" i="144"/>
  <c r="C33" i="144"/>
  <c r="C32" i="144"/>
  <c r="C31" i="144"/>
  <c r="C30" i="144"/>
  <c r="C29" i="144"/>
  <c r="H27" i="144"/>
  <c r="H26" i="144"/>
  <c r="H25" i="144"/>
  <c r="C25" i="144" s="1"/>
  <c r="H24" i="144"/>
  <c r="C24" i="144" s="1"/>
  <c r="H23" i="144"/>
  <c r="C23" i="144" s="1"/>
  <c r="J17" i="144"/>
  <c r="J16" i="144"/>
  <c r="J15" i="144"/>
  <c r="G13" i="144"/>
  <c r="F13" i="144"/>
  <c r="H12" i="144"/>
  <c r="F8" i="144"/>
  <c r="T152" i="2"/>
  <c r="G152" i="2"/>
  <c r="F152" i="2"/>
  <c r="E152" i="2"/>
  <c r="D152" i="2"/>
  <c r="K33" i="143"/>
  <c r="K25" i="143"/>
  <c r="K26" i="143"/>
  <c r="K27" i="143"/>
  <c r="K28" i="143"/>
  <c r="K29" i="143"/>
  <c r="K30" i="143"/>
  <c r="K31" i="143"/>
  <c r="K32" i="143"/>
  <c r="E43" i="143"/>
  <c r="C43" i="143"/>
  <c r="E42" i="143"/>
  <c r="C42" i="143"/>
  <c r="E41" i="143"/>
  <c r="C41" i="143"/>
  <c r="E40" i="143"/>
  <c r="C40" i="143"/>
  <c r="E39" i="143"/>
  <c r="C39" i="143"/>
  <c r="C38" i="143"/>
  <c r="C37" i="143"/>
  <c r="C36" i="143"/>
  <c r="C35" i="143"/>
  <c r="C34" i="143"/>
  <c r="K24" i="143"/>
  <c r="K23" i="143"/>
  <c r="J16" i="143"/>
  <c r="J15" i="143"/>
  <c r="F7" i="143"/>
  <c r="T153" i="2"/>
  <c r="H153" i="2"/>
  <c r="G153" i="2"/>
  <c r="F153" i="2"/>
  <c r="E153" i="2"/>
  <c r="D153" i="2"/>
  <c r="E43" i="142"/>
  <c r="C43" i="142"/>
  <c r="E42" i="142"/>
  <c r="C42" i="142"/>
  <c r="E41" i="142"/>
  <c r="C41" i="142"/>
  <c r="E40" i="142"/>
  <c r="C40" i="142"/>
  <c r="E39" i="142"/>
  <c r="C39" i="142"/>
  <c r="E38" i="142"/>
  <c r="C38" i="142"/>
  <c r="E37" i="142"/>
  <c r="C37" i="142"/>
  <c r="E36" i="142"/>
  <c r="C36" i="142"/>
  <c r="E35" i="142"/>
  <c r="C35" i="142"/>
  <c r="E34" i="142"/>
  <c r="C34" i="142"/>
  <c r="C33" i="142"/>
  <c r="C32" i="142"/>
  <c r="C31" i="142"/>
  <c r="C30" i="142"/>
  <c r="C29" i="142"/>
  <c r="H25" i="142"/>
  <c r="C25" i="142" s="1"/>
  <c r="H24" i="142"/>
  <c r="C24" i="142" s="1"/>
  <c r="H23" i="142"/>
  <c r="C23" i="142" s="1"/>
  <c r="J17" i="142"/>
  <c r="J16" i="142"/>
  <c r="J15" i="142"/>
  <c r="G13" i="142"/>
  <c r="F13" i="142"/>
  <c r="H12" i="142"/>
  <c r="F8" i="142"/>
  <c r="T154" i="2"/>
  <c r="H154" i="2"/>
  <c r="G154" i="2"/>
  <c r="F154" i="2"/>
  <c r="E154" i="2"/>
  <c r="D154" i="2"/>
  <c r="E43" i="141"/>
  <c r="C43" i="141"/>
  <c r="E42" i="141"/>
  <c r="C42" i="141"/>
  <c r="E41" i="141"/>
  <c r="C41" i="141"/>
  <c r="E40" i="141"/>
  <c r="C40" i="141"/>
  <c r="E39" i="141"/>
  <c r="C39" i="141"/>
  <c r="E38" i="141"/>
  <c r="C38" i="141"/>
  <c r="E37" i="141"/>
  <c r="C37" i="141"/>
  <c r="E36" i="141"/>
  <c r="C36" i="141"/>
  <c r="E35" i="141"/>
  <c r="C35" i="141"/>
  <c r="E34" i="141"/>
  <c r="C34" i="141"/>
  <c r="C33" i="141"/>
  <c r="C32" i="141"/>
  <c r="C31" i="141"/>
  <c r="C30" i="141"/>
  <c r="C29" i="141"/>
  <c r="H27" i="141"/>
  <c r="H26" i="141"/>
  <c r="H25" i="141"/>
  <c r="C25" i="141" s="1"/>
  <c r="H24" i="141"/>
  <c r="C24" i="141" s="1"/>
  <c r="H23" i="141"/>
  <c r="C23" i="141" s="1"/>
  <c r="J17" i="141"/>
  <c r="J16" i="141"/>
  <c r="J15" i="141"/>
  <c r="G13" i="141"/>
  <c r="F13" i="141"/>
  <c r="H12" i="141"/>
  <c r="F8" i="141"/>
  <c r="T155" i="2"/>
  <c r="H155" i="2"/>
  <c r="G155" i="2"/>
  <c r="F155" i="2"/>
  <c r="E155" i="2"/>
  <c r="D155" i="2"/>
  <c r="E43" i="140"/>
  <c r="C43" i="140"/>
  <c r="E42" i="140"/>
  <c r="C42" i="140"/>
  <c r="E41" i="140"/>
  <c r="C41" i="140"/>
  <c r="E40" i="140"/>
  <c r="C40" i="140"/>
  <c r="E39" i="140"/>
  <c r="C39" i="140"/>
  <c r="E38" i="140"/>
  <c r="C38" i="140"/>
  <c r="E37" i="140"/>
  <c r="C37" i="140"/>
  <c r="E36" i="140"/>
  <c r="C36" i="140"/>
  <c r="E35" i="140"/>
  <c r="C35" i="140"/>
  <c r="E34" i="140"/>
  <c r="C34" i="140"/>
  <c r="C33" i="140"/>
  <c r="C32" i="140"/>
  <c r="C31" i="140"/>
  <c r="C30" i="140"/>
  <c r="C29" i="140"/>
  <c r="C25" i="140"/>
  <c r="H24" i="140"/>
  <c r="C24" i="140" s="1"/>
  <c r="H23" i="140"/>
  <c r="C23" i="140" s="1"/>
  <c r="J17" i="140"/>
  <c r="J16" i="140"/>
  <c r="J15" i="140"/>
  <c r="G13" i="140"/>
  <c r="F13" i="140"/>
  <c r="H12" i="140"/>
  <c r="F8" i="140"/>
  <c r="AI146" i="2" l="1"/>
  <c r="AG154" i="2"/>
  <c r="AC154" i="2"/>
  <c r="AG155" i="2"/>
  <c r="AC155" i="2"/>
  <c r="AG153" i="2"/>
  <c r="AC153" i="2"/>
  <c r="Y146" i="2"/>
  <c r="Z146" i="2" s="1"/>
  <c r="M43" i="173"/>
  <c r="I151" i="2"/>
  <c r="Y151" i="2" s="1"/>
  <c r="Z151" i="2" s="1"/>
  <c r="I153" i="2"/>
  <c r="Y153" i="2" s="1"/>
  <c r="Z153" i="2" s="1"/>
  <c r="I155" i="2"/>
  <c r="Y155" i="2" s="1"/>
  <c r="Z155" i="2" s="1"/>
  <c r="M44" i="173"/>
  <c r="M42" i="173"/>
  <c r="F12" i="140"/>
  <c r="M155" i="2"/>
  <c r="F12" i="142"/>
  <c r="J13" i="148"/>
  <c r="F11" i="148" s="1"/>
  <c r="V146" i="2"/>
  <c r="W146" i="2" s="1"/>
  <c r="H33" i="143"/>
  <c r="C33" i="143" s="1"/>
  <c r="F10" i="147"/>
  <c r="V147" i="2"/>
  <c r="W147" i="2" s="1"/>
  <c r="F10" i="148"/>
  <c r="AH147" i="2"/>
  <c r="AI147" i="2" s="1"/>
  <c r="AG151" i="2"/>
  <c r="Y147" i="2"/>
  <c r="Z147" i="2" s="1"/>
  <c r="AL147" i="2"/>
  <c r="AM147" i="2" s="1"/>
  <c r="L34" i="173"/>
  <c r="L145" i="2"/>
  <c r="J19" i="146"/>
  <c r="I38" i="173"/>
  <c r="W38" i="173" s="1"/>
  <c r="X38" i="173" s="1"/>
  <c r="I149" i="2"/>
  <c r="M154" i="2"/>
  <c r="F18" i="143"/>
  <c r="J17" i="143" s="1"/>
  <c r="H453" i="173"/>
  <c r="V453" i="173" s="1"/>
  <c r="H41" i="173"/>
  <c r="V41" i="173" s="1"/>
  <c r="F9" i="144"/>
  <c r="G9" i="144" s="1"/>
  <c r="I40" i="173"/>
  <c r="W40" i="173" s="1"/>
  <c r="X40" i="173" s="1"/>
  <c r="F9" i="145"/>
  <c r="G9" i="145" s="1"/>
  <c r="I39" i="173"/>
  <c r="W39" i="173" s="1"/>
  <c r="X39" i="173" s="1"/>
  <c r="I150" i="2"/>
  <c r="F12" i="146"/>
  <c r="M38" i="173"/>
  <c r="M149" i="2"/>
  <c r="F9" i="141"/>
  <c r="G9" i="141" s="1"/>
  <c r="I43" i="173"/>
  <c r="W43" i="173" s="1"/>
  <c r="X43" i="173" s="1"/>
  <c r="I154" i="2"/>
  <c r="AH154" i="2" s="1"/>
  <c r="AI154" i="2" s="1"/>
  <c r="F12" i="144"/>
  <c r="M40" i="173"/>
  <c r="F12" i="145"/>
  <c r="M39" i="173"/>
  <c r="M150" i="2"/>
  <c r="I9" i="147"/>
  <c r="K36" i="173"/>
  <c r="K147" i="2"/>
  <c r="J19" i="140"/>
  <c r="I44" i="173"/>
  <c r="W44" i="173" s="1"/>
  <c r="X44" i="173" s="1"/>
  <c r="F12" i="141"/>
  <c r="F9" i="142"/>
  <c r="G9" i="142" s="1"/>
  <c r="I42" i="173"/>
  <c r="W42" i="173" s="1"/>
  <c r="X42" i="173" s="1"/>
  <c r="M153" i="2"/>
  <c r="H152" i="2"/>
  <c r="M151" i="2"/>
  <c r="I9" i="148"/>
  <c r="K35" i="173"/>
  <c r="K146" i="2"/>
  <c r="F11" i="147"/>
  <c r="F9" i="146"/>
  <c r="G9" i="146" s="1"/>
  <c r="J18" i="146"/>
  <c r="J12" i="146"/>
  <c r="J18" i="145"/>
  <c r="J12" i="145"/>
  <c r="J19" i="145"/>
  <c r="J18" i="144"/>
  <c r="J12" i="144"/>
  <c r="J19" i="144"/>
  <c r="H31" i="143"/>
  <c r="C31" i="143" s="1"/>
  <c r="F13" i="143"/>
  <c r="H27" i="143"/>
  <c r="C27" i="143" s="1"/>
  <c r="H28" i="143"/>
  <c r="C28" i="143" s="1"/>
  <c r="H30" i="143"/>
  <c r="C30" i="143" s="1"/>
  <c r="H25" i="143"/>
  <c r="C25" i="143" s="1"/>
  <c r="H23" i="143"/>
  <c r="C23" i="143" s="1"/>
  <c r="H29" i="143"/>
  <c r="C29" i="143" s="1"/>
  <c r="H26" i="143"/>
  <c r="C26" i="143" s="1"/>
  <c r="H12" i="143"/>
  <c r="H32" i="143"/>
  <c r="C32" i="143" s="1"/>
  <c r="F8" i="143"/>
  <c r="G13" i="143"/>
  <c r="H24" i="143"/>
  <c r="C24" i="143" s="1"/>
  <c r="J19" i="142"/>
  <c r="J18" i="142"/>
  <c r="J12" i="142"/>
  <c r="F11" i="142" s="1"/>
  <c r="J12" i="141"/>
  <c r="J18" i="141"/>
  <c r="J19" i="141"/>
  <c r="J18" i="140"/>
  <c r="F9" i="140"/>
  <c r="G9" i="140" s="1"/>
  <c r="J12" i="140"/>
  <c r="F11" i="140" s="1"/>
  <c r="S7" i="138"/>
  <c r="G7" i="138"/>
  <c r="F7" i="138"/>
  <c r="E7" i="138"/>
  <c r="D7" i="138"/>
  <c r="T158" i="2"/>
  <c r="G158" i="2"/>
  <c r="F158" i="2"/>
  <c r="E158" i="2"/>
  <c r="D158" i="2"/>
  <c r="E43" i="139"/>
  <c r="C43" i="139"/>
  <c r="E42" i="139"/>
  <c r="C42" i="139"/>
  <c r="E41" i="139"/>
  <c r="C41" i="139"/>
  <c r="E40" i="139"/>
  <c r="C40" i="139"/>
  <c r="E39" i="139"/>
  <c r="C39" i="139"/>
  <c r="C38" i="139"/>
  <c r="C37" i="139"/>
  <c r="C36" i="139"/>
  <c r="C35" i="139"/>
  <c r="C34" i="139"/>
  <c r="C33" i="139"/>
  <c r="C32" i="139"/>
  <c r="C31" i="139"/>
  <c r="C30" i="139"/>
  <c r="C29" i="139"/>
  <c r="C28" i="139"/>
  <c r="C27" i="139"/>
  <c r="C26" i="139"/>
  <c r="C25" i="139"/>
  <c r="K24" i="139"/>
  <c r="K23" i="139"/>
  <c r="J16" i="139"/>
  <c r="J15" i="139"/>
  <c r="F7" i="139"/>
  <c r="S13" i="138"/>
  <c r="H13" i="138"/>
  <c r="V13" i="138" s="1"/>
  <c r="G13" i="138"/>
  <c r="F13" i="138"/>
  <c r="E13" i="138"/>
  <c r="D13" i="138"/>
  <c r="S12" i="138"/>
  <c r="H12" i="138"/>
  <c r="V12" i="138" s="1"/>
  <c r="G12" i="138"/>
  <c r="F12" i="138"/>
  <c r="E12" i="138"/>
  <c r="D12" i="138"/>
  <c r="S11" i="138"/>
  <c r="H11" i="138"/>
  <c r="V11" i="138" s="1"/>
  <c r="G11" i="138"/>
  <c r="F11" i="138"/>
  <c r="E11" i="138"/>
  <c r="D11" i="138"/>
  <c r="S10" i="138"/>
  <c r="H10" i="138"/>
  <c r="V10" i="138" s="1"/>
  <c r="G10" i="138"/>
  <c r="F10" i="138"/>
  <c r="E10" i="138"/>
  <c r="D10" i="138"/>
  <c r="S9" i="138"/>
  <c r="H9" i="138"/>
  <c r="V9" i="138" s="1"/>
  <c r="G9" i="138"/>
  <c r="F9" i="138"/>
  <c r="E9" i="138"/>
  <c r="D9" i="138"/>
  <c r="S8" i="138"/>
  <c r="G8" i="138"/>
  <c r="F8" i="138"/>
  <c r="E8" i="138"/>
  <c r="D8" i="138"/>
  <c r="AG152" i="2" l="1"/>
  <c r="AC152" i="2"/>
  <c r="AH155" i="2"/>
  <c r="AI155" i="2" s="1"/>
  <c r="AH151" i="2"/>
  <c r="AI151" i="2" s="1"/>
  <c r="AH153" i="2"/>
  <c r="AI153" i="2" s="1"/>
  <c r="F10" i="140"/>
  <c r="F10" i="141"/>
  <c r="J13" i="145"/>
  <c r="F11" i="145" s="1"/>
  <c r="J13" i="146"/>
  <c r="F11" i="146" s="1"/>
  <c r="H47" i="173"/>
  <c r="V47" i="173" s="1"/>
  <c r="F10" i="142"/>
  <c r="V151" i="2"/>
  <c r="W151" i="2" s="1"/>
  <c r="J13" i="140"/>
  <c r="V155" i="2"/>
  <c r="W155" i="2" s="1"/>
  <c r="F10" i="144"/>
  <c r="J13" i="144"/>
  <c r="F11" i="144" s="1"/>
  <c r="G13" i="139"/>
  <c r="F13" i="139"/>
  <c r="J13" i="141"/>
  <c r="F11" i="141" s="1"/>
  <c r="V154" i="2"/>
  <c r="W154" i="2" s="1"/>
  <c r="F10" i="145"/>
  <c r="V150" i="2"/>
  <c r="W150" i="2" s="1"/>
  <c r="F10" i="146"/>
  <c r="V149" i="2"/>
  <c r="W149" i="2" s="1"/>
  <c r="J13" i="142"/>
  <c r="V153" i="2"/>
  <c r="W153" i="2" s="1"/>
  <c r="Y154" i="2"/>
  <c r="Z154" i="2" s="1"/>
  <c r="J12" i="143"/>
  <c r="F11" i="143" s="1"/>
  <c r="I453" i="173"/>
  <c r="W453" i="173" s="1"/>
  <c r="X453" i="173" s="1"/>
  <c r="I41" i="173"/>
  <c r="W41" i="173" s="1"/>
  <c r="X41" i="173" s="1"/>
  <c r="I152" i="2"/>
  <c r="L36" i="173"/>
  <c r="L147" i="2"/>
  <c r="I9" i="140"/>
  <c r="K44" i="173"/>
  <c r="K155" i="2"/>
  <c r="I9" i="146"/>
  <c r="K38" i="173"/>
  <c r="K149" i="2"/>
  <c r="I9" i="142"/>
  <c r="K42" i="173"/>
  <c r="K153" i="2"/>
  <c r="I9" i="145"/>
  <c r="K39" i="173"/>
  <c r="K150" i="2"/>
  <c r="F8" i="139"/>
  <c r="L44" i="173"/>
  <c r="L155" i="2"/>
  <c r="L35" i="173"/>
  <c r="L146" i="2"/>
  <c r="I9" i="141"/>
  <c r="K43" i="173"/>
  <c r="K154" i="2"/>
  <c r="AH150" i="2"/>
  <c r="AI150" i="2" s="1"/>
  <c r="Y150" i="2"/>
  <c r="Z150" i="2" s="1"/>
  <c r="I9" i="144"/>
  <c r="K40" i="173"/>
  <c r="K151" i="2"/>
  <c r="H158" i="2"/>
  <c r="H23" i="139"/>
  <c r="C23" i="139" s="1"/>
  <c r="H7" i="138"/>
  <c r="V7" i="138" s="1"/>
  <c r="L42" i="173"/>
  <c r="L153" i="2"/>
  <c r="F12" i="143"/>
  <c r="M453" i="173"/>
  <c r="M41" i="173"/>
  <c r="M152" i="2"/>
  <c r="Y149" i="2"/>
  <c r="Z149" i="2" s="1"/>
  <c r="AH149" i="2"/>
  <c r="AI149" i="2" s="1"/>
  <c r="J19" i="143"/>
  <c r="J18" i="143"/>
  <c r="F9" i="143"/>
  <c r="G9" i="143" s="1"/>
  <c r="H24" i="139"/>
  <c r="C24" i="139" s="1"/>
  <c r="H12" i="139"/>
  <c r="F18" i="139"/>
  <c r="J17" i="139" s="1"/>
  <c r="T156" i="2"/>
  <c r="H156" i="2"/>
  <c r="G156" i="2"/>
  <c r="F156" i="2"/>
  <c r="E156" i="2"/>
  <c r="D156" i="2"/>
  <c r="E43" i="137"/>
  <c r="C43" i="137"/>
  <c r="E42" i="137"/>
  <c r="C42" i="137"/>
  <c r="E41" i="137"/>
  <c r="C41" i="137"/>
  <c r="E40" i="137"/>
  <c r="C40" i="137"/>
  <c r="E39" i="137"/>
  <c r="C39" i="137"/>
  <c r="E38" i="137"/>
  <c r="C38" i="137"/>
  <c r="E37" i="137"/>
  <c r="C37" i="137"/>
  <c r="E36" i="137"/>
  <c r="C36" i="137"/>
  <c r="E35" i="137"/>
  <c r="C35" i="137"/>
  <c r="E34" i="137"/>
  <c r="C34" i="137"/>
  <c r="C33" i="137"/>
  <c r="C32" i="137"/>
  <c r="H31" i="137"/>
  <c r="C31" i="137" s="1"/>
  <c r="H30" i="137"/>
  <c r="C30" i="137" s="1"/>
  <c r="H29" i="137"/>
  <c r="C29" i="137" s="1"/>
  <c r="H28" i="137"/>
  <c r="H27" i="137"/>
  <c r="H26" i="137"/>
  <c r="H25" i="137"/>
  <c r="C25" i="137" s="1"/>
  <c r="H24" i="137"/>
  <c r="C24" i="137" s="1"/>
  <c r="H23" i="137"/>
  <c r="C23" i="137" s="1"/>
  <c r="J17" i="137"/>
  <c r="J16" i="137"/>
  <c r="J15" i="137"/>
  <c r="G13" i="137"/>
  <c r="F13" i="137"/>
  <c r="H12" i="137"/>
  <c r="F8" i="137"/>
  <c r="AG158" i="2" l="1"/>
  <c r="AC158" i="2"/>
  <c r="AG156" i="2"/>
  <c r="AC156" i="2"/>
  <c r="J12" i="139"/>
  <c r="I156" i="2"/>
  <c r="Y156" i="2" s="1"/>
  <c r="Z156" i="2" s="1"/>
  <c r="F10" i="143"/>
  <c r="F9" i="139"/>
  <c r="G9" i="139" s="1"/>
  <c r="K7" i="138" s="1"/>
  <c r="J13" i="143"/>
  <c r="V152" i="2"/>
  <c r="W152" i="2" s="1"/>
  <c r="B147" i="2"/>
  <c r="Y152" i="2"/>
  <c r="Z152" i="2" s="1"/>
  <c r="AH152" i="2"/>
  <c r="AI152" i="2" s="1"/>
  <c r="F12" i="137"/>
  <c r="M45" i="173"/>
  <c r="J18" i="137"/>
  <c r="I45" i="173"/>
  <c r="W45" i="173" s="1"/>
  <c r="X45" i="173" s="1"/>
  <c r="I9" i="143"/>
  <c r="K453" i="173"/>
  <c r="K41" i="173"/>
  <c r="K152" i="2"/>
  <c r="L40" i="173"/>
  <c r="L151" i="2"/>
  <c r="J19" i="139"/>
  <c r="I47" i="173"/>
  <c r="W47" i="173" s="1"/>
  <c r="X47" i="173" s="1"/>
  <c r="I158" i="2"/>
  <c r="I7" i="138"/>
  <c r="W7" i="138" s="1"/>
  <c r="X7" i="138" s="1"/>
  <c r="L38" i="173"/>
  <c r="L149" i="2"/>
  <c r="L39" i="173"/>
  <c r="L150" i="2"/>
  <c r="L43" i="173"/>
  <c r="L154" i="2"/>
  <c r="M156" i="2"/>
  <c r="F12" i="139"/>
  <c r="M47" i="173"/>
  <c r="M7" i="138"/>
  <c r="M158" i="2"/>
  <c r="L453" i="173"/>
  <c r="L41" i="173"/>
  <c r="L152" i="2"/>
  <c r="J18" i="139"/>
  <c r="J12" i="137"/>
  <c r="J19" i="137"/>
  <c r="F9" i="137"/>
  <c r="G9" i="137" s="1"/>
  <c r="T157" i="2"/>
  <c r="H157" i="2"/>
  <c r="G157" i="2"/>
  <c r="F157" i="2"/>
  <c r="E157" i="2"/>
  <c r="D157" i="2"/>
  <c r="AG157" i="2" l="1"/>
  <c r="AC157" i="2"/>
  <c r="AH156" i="2"/>
  <c r="AI156" i="2" s="1"/>
  <c r="I9" i="139"/>
  <c r="V158" i="2"/>
  <c r="W158" i="2" s="1"/>
  <c r="F10" i="137"/>
  <c r="K47" i="173"/>
  <c r="K158" i="2"/>
  <c r="F10" i="139"/>
  <c r="J13" i="137"/>
  <c r="F11" i="137" s="1"/>
  <c r="V156" i="2"/>
  <c r="W156" i="2" s="1"/>
  <c r="J13" i="139"/>
  <c r="F11" i="139" s="1"/>
  <c r="Y158" i="2"/>
  <c r="Z158" i="2" s="1"/>
  <c r="AH158" i="2"/>
  <c r="AI158" i="2" s="1"/>
  <c r="I9" i="137"/>
  <c r="K45" i="173"/>
  <c r="K156" i="2"/>
  <c r="H32" i="136"/>
  <c r="C32" i="136" s="1"/>
  <c r="H33" i="136"/>
  <c r="C33" i="136" s="1"/>
  <c r="E43" i="136"/>
  <c r="C43" i="136"/>
  <c r="E42" i="136"/>
  <c r="C42" i="136"/>
  <c r="E41" i="136"/>
  <c r="C41" i="136"/>
  <c r="E40" i="136"/>
  <c r="C40" i="136"/>
  <c r="E39" i="136"/>
  <c r="C39" i="136"/>
  <c r="E38" i="136"/>
  <c r="C38" i="136"/>
  <c r="E37" i="136"/>
  <c r="C37" i="136"/>
  <c r="E36" i="136"/>
  <c r="C36" i="136"/>
  <c r="E35" i="136"/>
  <c r="C35" i="136"/>
  <c r="E34" i="136"/>
  <c r="C34" i="136"/>
  <c r="H31" i="136"/>
  <c r="C31" i="136" s="1"/>
  <c r="H30" i="136"/>
  <c r="C30" i="136" s="1"/>
  <c r="H29" i="136"/>
  <c r="C29" i="136" s="1"/>
  <c r="H28" i="136"/>
  <c r="H27" i="136"/>
  <c r="H26" i="136"/>
  <c r="H25" i="136"/>
  <c r="C25" i="136" s="1"/>
  <c r="H24" i="136"/>
  <c r="C24" i="136" s="1"/>
  <c r="H23" i="136"/>
  <c r="C23" i="136" s="1"/>
  <c r="J17" i="136"/>
  <c r="J16" i="136"/>
  <c r="J15" i="136"/>
  <c r="G13" i="136"/>
  <c r="F13" i="136"/>
  <c r="H12" i="136"/>
  <c r="F8" i="136"/>
  <c r="L158" i="2" l="1"/>
  <c r="L11" i="201"/>
  <c r="H11" i="201"/>
  <c r="L7" i="138"/>
  <c r="L47" i="173"/>
  <c r="L156" i="2"/>
  <c r="L45" i="173"/>
  <c r="J19" i="136"/>
  <c r="I454" i="173"/>
  <c r="W454" i="173" s="1"/>
  <c r="X454" i="173" s="1"/>
  <c r="I46" i="173"/>
  <c r="W46" i="173" s="1"/>
  <c r="X46" i="173" s="1"/>
  <c r="I157" i="2"/>
  <c r="F12" i="136"/>
  <c r="M454" i="173"/>
  <c r="M46" i="173"/>
  <c r="M157" i="2"/>
  <c r="J18" i="136"/>
  <c r="F9" i="136"/>
  <c r="G9" i="136" s="1"/>
  <c r="J12" i="136"/>
  <c r="F301" i="2"/>
  <c r="F302" i="2" s="1"/>
  <c r="F303" i="2" s="1"/>
  <c r="F305" i="2" s="1"/>
  <c r="V157" i="2" l="1"/>
  <c r="W157" i="2" s="1"/>
  <c r="J11" i="201"/>
  <c r="F10" i="136"/>
  <c r="J13" i="136"/>
  <c r="F11" i="136" s="1"/>
  <c r="Y157" i="2"/>
  <c r="Z157" i="2" s="1"/>
  <c r="AH157" i="2"/>
  <c r="AI157" i="2" s="1"/>
  <c r="I9" i="136"/>
  <c r="K454" i="173"/>
  <c r="K46" i="173"/>
  <c r="K157" i="2"/>
  <c r="T159" i="2"/>
  <c r="H159" i="2"/>
  <c r="G159" i="2"/>
  <c r="F159" i="2"/>
  <c r="E159" i="2"/>
  <c r="D159" i="2"/>
  <c r="H25" i="135"/>
  <c r="C25" i="135" s="1"/>
  <c r="H26" i="135"/>
  <c r="H27" i="135"/>
  <c r="H28" i="135"/>
  <c r="H29" i="135"/>
  <c r="C29" i="135" s="1"/>
  <c r="H30" i="135"/>
  <c r="C30" i="135" s="1"/>
  <c r="H31" i="135"/>
  <c r="C31" i="135" s="1"/>
  <c r="E43" i="135"/>
  <c r="C43" i="135"/>
  <c r="E42" i="135"/>
  <c r="C42" i="135"/>
  <c r="E41" i="135"/>
  <c r="C41" i="135"/>
  <c r="E40" i="135"/>
  <c r="C40" i="135"/>
  <c r="E39" i="135"/>
  <c r="C39" i="135"/>
  <c r="E38" i="135"/>
  <c r="C38" i="135"/>
  <c r="E37" i="135"/>
  <c r="C37" i="135"/>
  <c r="E36" i="135"/>
  <c r="C36" i="135"/>
  <c r="E35" i="135"/>
  <c r="C35" i="135"/>
  <c r="E34" i="135"/>
  <c r="C34" i="135"/>
  <c r="C33" i="135"/>
  <c r="C32" i="135"/>
  <c r="H24" i="135"/>
  <c r="C24" i="135" s="1"/>
  <c r="H23" i="135"/>
  <c r="C23" i="135" s="1"/>
  <c r="J17" i="135"/>
  <c r="J16" i="135"/>
  <c r="J15" i="135"/>
  <c r="G13" i="135"/>
  <c r="F13" i="135"/>
  <c r="H12" i="135"/>
  <c r="F8" i="135"/>
  <c r="AG159" i="2" l="1"/>
  <c r="AC159" i="2"/>
  <c r="K11" i="201"/>
  <c r="F12" i="135"/>
  <c r="M48" i="173"/>
  <c r="L454" i="173"/>
  <c r="L46" i="173"/>
  <c r="L157" i="2"/>
  <c r="J19" i="135"/>
  <c r="I48" i="173"/>
  <c r="W48" i="173" s="1"/>
  <c r="X48" i="173" s="1"/>
  <c r="M159" i="2"/>
  <c r="I159" i="2"/>
  <c r="F9" i="135"/>
  <c r="G9" i="135" s="1"/>
  <c r="J18" i="135"/>
  <c r="J12" i="135"/>
  <c r="T160" i="2"/>
  <c r="H160" i="2"/>
  <c r="G160" i="2"/>
  <c r="F160" i="2"/>
  <c r="E160" i="2"/>
  <c r="D160" i="2"/>
  <c r="H24" i="134"/>
  <c r="C24" i="134" s="1"/>
  <c r="E43" i="134"/>
  <c r="C43" i="134"/>
  <c r="E42" i="134"/>
  <c r="C42" i="134"/>
  <c r="E41" i="134"/>
  <c r="C41" i="134"/>
  <c r="E40" i="134"/>
  <c r="C40" i="134"/>
  <c r="E39" i="134"/>
  <c r="C39" i="134"/>
  <c r="E38" i="134"/>
  <c r="C38" i="134"/>
  <c r="E37" i="134"/>
  <c r="C37" i="134"/>
  <c r="E36" i="134"/>
  <c r="C36" i="134"/>
  <c r="E35" i="134"/>
  <c r="C35" i="134"/>
  <c r="E34" i="134"/>
  <c r="C34" i="134"/>
  <c r="C33" i="134"/>
  <c r="C32" i="134"/>
  <c r="C31" i="134"/>
  <c r="C30" i="134"/>
  <c r="C29" i="134"/>
  <c r="C25" i="134"/>
  <c r="H23" i="134"/>
  <c r="C23" i="134" s="1"/>
  <c r="J17" i="134"/>
  <c r="J16" i="134"/>
  <c r="J15" i="134"/>
  <c r="G13" i="134"/>
  <c r="F13" i="134"/>
  <c r="H12" i="134"/>
  <c r="F8" i="134"/>
  <c r="AG160" i="2" l="1"/>
  <c r="AC160" i="2"/>
  <c r="K48" i="173"/>
  <c r="J13" i="135"/>
  <c r="F11" i="135" s="1"/>
  <c r="M160" i="2"/>
  <c r="F10" i="135"/>
  <c r="V159" i="2"/>
  <c r="W159" i="2" s="1"/>
  <c r="J18" i="134"/>
  <c r="I49" i="173"/>
  <c r="W49" i="173" s="1"/>
  <c r="X49" i="173" s="1"/>
  <c r="I160" i="2"/>
  <c r="F12" i="134"/>
  <c r="M49" i="173"/>
  <c r="AH159" i="2"/>
  <c r="AI159" i="2" s="1"/>
  <c r="Y159" i="2"/>
  <c r="Z159" i="2" s="1"/>
  <c r="I9" i="135"/>
  <c r="K159" i="2"/>
  <c r="J12" i="134"/>
  <c r="F11" i="134" s="1"/>
  <c r="J19" i="134"/>
  <c r="F9" i="134"/>
  <c r="G9" i="134" s="1"/>
  <c r="T163" i="2"/>
  <c r="H163" i="2"/>
  <c r="G163" i="2"/>
  <c r="F163" i="2"/>
  <c r="E163" i="2"/>
  <c r="D163" i="2"/>
  <c r="T161" i="2"/>
  <c r="H161" i="2"/>
  <c r="G161" i="2"/>
  <c r="F161" i="2"/>
  <c r="E161" i="2"/>
  <c r="D161" i="2"/>
  <c r="E43" i="133"/>
  <c r="C43" i="133"/>
  <c r="E42" i="133"/>
  <c r="C42" i="133"/>
  <c r="E41" i="133"/>
  <c r="C41" i="133"/>
  <c r="E40" i="133"/>
  <c r="C40" i="133"/>
  <c r="E39" i="133"/>
  <c r="C39" i="133"/>
  <c r="E38" i="133"/>
  <c r="C38" i="133"/>
  <c r="E37" i="133"/>
  <c r="C37" i="133"/>
  <c r="E36" i="133"/>
  <c r="C36" i="133"/>
  <c r="E35" i="133"/>
  <c r="C35" i="133"/>
  <c r="E34" i="133"/>
  <c r="C34" i="133"/>
  <c r="C33" i="133"/>
  <c r="C32" i="133"/>
  <c r="C31" i="133"/>
  <c r="C30" i="133"/>
  <c r="C29" i="133"/>
  <c r="H25" i="133"/>
  <c r="C25" i="133" s="1"/>
  <c r="H24" i="133"/>
  <c r="C24" i="133" s="1"/>
  <c r="H23" i="133"/>
  <c r="C23" i="133" s="1"/>
  <c r="J17" i="133"/>
  <c r="J16" i="133"/>
  <c r="J15" i="133"/>
  <c r="G13" i="133"/>
  <c r="F13" i="133"/>
  <c r="H12" i="133"/>
  <c r="F8" i="133"/>
  <c r="AG161" i="2" l="1"/>
  <c r="AC161" i="2"/>
  <c r="AG163" i="2"/>
  <c r="AC163" i="2"/>
  <c r="J13" i="134"/>
  <c r="V160" i="2"/>
  <c r="W160" i="2" s="1"/>
  <c r="F10" i="134"/>
  <c r="AH160" i="2"/>
  <c r="AI160" i="2" s="1"/>
  <c r="Y160" i="2"/>
  <c r="Z160" i="2" s="1"/>
  <c r="L49" i="173"/>
  <c r="L160" i="2"/>
  <c r="F12" i="133"/>
  <c r="M50" i="173"/>
  <c r="M161" i="2"/>
  <c r="I9" i="134"/>
  <c r="K49" i="173"/>
  <c r="K160" i="2"/>
  <c r="J18" i="133"/>
  <c r="I50" i="173"/>
  <c r="W50" i="173" s="1"/>
  <c r="X50" i="173" s="1"/>
  <c r="I161" i="2"/>
  <c r="L159" i="2"/>
  <c r="L48" i="173"/>
  <c r="J12" i="133"/>
  <c r="J19" i="133"/>
  <c r="F9" i="133"/>
  <c r="G9" i="133" s="1"/>
  <c r="T162" i="2"/>
  <c r="H162" i="2"/>
  <c r="G162" i="2"/>
  <c r="F162" i="2"/>
  <c r="E162" i="2"/>
  <c r="D162" i="2"/>
  <c r="E43" i="132"/>
  <c r="C43" i="132"/>
  <c r="E42" i="132"/>
  <c r="C42" i="132"/>
  <c r="E41" i="132"/>
  <c r="C41" i="132"/>
  <c r="E40" i="132"/>
  <c r="C40" i="132"/>
  <c r="E39" i="132"/>
  <c r="C39" i="132"/>
  <c r="E38" i="132"/>
  <c r="C38" i="132"/>
  <c r="E37" i="132"/>
  <c r="C37" i="132"/>
  <c r="E36" i="132"/>
  <c r="C36" i="132"/>
  <c r="E35" i="132"/>
  <c r="C35" i="132"/>
  <c r="E34" i="132"/>
  <c r="C34" i="132"/>
  <c r="C33" i="132"/>
  <c r="C32" i="132"/>
  <c r="C31" i="132"/>
  <c r="C30" i="132"/>
  <c r="C29" i="132"/>
  <c r="H27" i="132"/>
  <c r="C27" i="132" s="1"/>
  <c r="H26" i="132"/>
  <c r="C26" i="132" s="1"/>
  <c r="H25" i="132"/>
  <c r="C25" i="132" s="1"/>
  <c r="H24" i="132"/>
  <c r="C24" i="132" s="1"/>
  <c r="H23" i="132"/>
  <c r="C23" i="132" s="1"/>
  <c r="J17" i="132"/>
  <c r="J16" i="132"/>
  <c r="J15" i="132"/>
  <c r="G13" i="132"/>
  <c r="F13" i="132"/>
  <c r="H12" i="132"/>
  <c r="F8" i="132"/>
  <c r="E43" i="131"/>
  <c r="C43" i="131"/>
  <c r="E42" i="131"/>
  <c r="C42" i="131"/>
  <c r="E41" i="131"/>
  <c r="C41" i="131"/>
  <c r="E40" i="131"/>
  <c r="C40" i="131"/>
  <c r="E39" i="131"/>
  <c r="C39" i="131"/>
  <c r="E38" i="131"/>
  <c r="C38" i="131"/>
  <c r="E37" i="131"/>
  <c r="C37" i="131"/>
  <c r="E36" i="131"/>
  <c r="C36" i="131"/>
  <c r="E35" i="131"/>
  <c r="C35" i="131"/>
  <c r="E34" i="131"/>
  <c r="C34" i="131"/>
  <c r="C33" i="131"/>
  <c r="C32" i="131"/>
  <c r="C31" i="131"/>
  <c r="C30" i="131"/>
  <c r="C29" i="131"/>
  <c r="H28" i="131"/>
  <c r="C28" i="131" s="1"/>
  <c r="H27" i="131"/>
  <c r="C27" i="131" s="1"/>
  <c r="H26" i="131"/>
  <c r="C26" i="131" s="1"/>
  <c r="H25" i="131"/>
  <c r="C25" i="131" s="1"/>
  <c r="H24" i="131"/>
  <c r="C24" i="131" s="1"/>
  <c r="H23" i="131"/>
  <c r="C23" i="131" s="1"/>
  <c r="J17" i="131"/>
  <c r="J16" i="131"/>
  <c r="J15" i="131"/>
  <c r="G13" i="131"/>
  <c r="F13" i="131"/>
  <c r="H12" i="131"/>
  <c r="F8" i="131"/>
  <c r="T164" i="2"/>
  <c r="H164" i="2"/>
  <c r="G164" i="2"/>
  <c r="F164" i="2"/>
  <c r="E164" i="2"/>
  <c r="D164" i="2"/>
  <c r="H26" i="130"/>
  <c r="C26" i="130" s="1"/>
  <c r="E43" i="130"/>
  <c r="C43" i="130"/>
  <c r="E42" i="130"/>
  <c r="C42" i="130"/>
  <c r="E41" i="130"/>
  <c r="C41" i="130"/>
  <c r="E40" i="130"/>
  <c r="C40" i="130"/>
  <c r="E39" i="130"/>
  <c r="C39" i="130"/>
  <c r="E38" i="130"/>
  <c r="C38" i="130"/>
  <c r="E37" i="130"/>
  <c r="C37" i="130"/>
  <c r="C36" i="130"/>
  <c r="C35" i="130"/>
  <c r="C34" i="130"/>
  <c r="C33" i="130"/>
  <c r="C32" i="130"/>
  <c r="C31" i="130"/>
  <c r="C30" i="130"/>
  <c r="C29" i="130"/>
  <c r="C28" i="130"/>
  <c r="C27" i="130"/>
  <c r="H25" i="130"/>
  <c r="C25" i="130" s="1"/>
  <c r="H24" i="130"/>
  <c r="C24" i="130" s="1"/>
  <c r="H23" i="130"/>
  <c r="C23" i="130" s="1"/>
  <c r="J17" i="130"/>
  <c r="J16" i="130"/>
  <c r="J15" i="130"/>
  <c r="G13" i="130"/>
  <c r="F13" i="130"/>
  <c r="H12" i="130"/>
  <c r="F8" i="130"/>
  <c r="T165" i="2"/>
  <c r="G165" i="2"/>
  <c r="F165" i="2"/>
  <c r="E165" i="2"/>
  <c r="D165" i="2"/>
  <c r="K24" i="129"/>
  <c r="E43" i="129"/>
  <c r="C43" i="129"/>
  <c r="E42" i="129"/>
  <c r="C42" i="129"/>
  <c r="E41" i="129"/>
  <c r="C41" i="129"/>
  <c r="E40" i="129"/>
  <c r="C40" i="129"/>
  <c r="E39" i="129"/>
  <c r="C39" i="129"/>
  <c r="C38" i="129"/>
  <c r="C37" i="129"/>
  <c r="C36" i="129"/>
  <c r="C35" i="129"/>
  <c r="C34" i="129"/>
  <c r="C33" i="129"/>
  <c r="C32" i="129"/>
  <c r="C31" i="129"/>
  <c r="C30" i="129"/>
  <c r="C29" i="129"/>
  <c r="C28" i="129"/>
  <c r="C27" i="129"/>
  <c r="C26" i="129"/>
  <c r="K23" i="129"/>
  <c r="H23" i="129" s="1"/>
  <c r="C23" i="129" s="1"/>
  <c r="J16" i="129"/>
  <c r="J15" i="129"/>
  <c r="F7" i="129"/>
  <c r="AG164" i="2" l="1"/>
  <c r="AC164" i="2"/>
  <c r="AG162" i="2"/>
  <c r="AC162" i="2"/>
  <c r="F12" i="131"/>
  <c r="V163" i="2" s="1"/>
  <c r="I162" i="2"/>
  <c r="Y162" i="2" s="1"/>
  <c r="Z162" i="2" s="1"/>
  <c r="V161" i="2"/>
  <c r="W161" i="2" s="1"/>
  <c r="M164" i="2"/>
  <c r="F10" i="133"/>
  <c r="J13" i="133"/>
  <c r="F11" i="133" s="1"/>
  <c r="AH161" i="2"/>
  <c r="AI161" i="2" s="1"/>
  <c r="Y161" i="2"/>
  <c r="Z161" i="2" s="1"/>
  <c r="F18" i="129"/>
  <c r="J17" i="129" s="1"/>
  <c r="H54" i="173"/>
  <c r="V54" i="173" s="1"/>
  <c r="J19" i="130"/>
  <c r="I53" i="173"/>
  <c r="W53" i="173" s="1"/>
  <c r="X53" i="173" s="1"/>
  <c r="M52" i="173"/>
  <c r="M163" i="2"/>
  <c r="I9" i="133"/>
  <c r="K50" i="173"/>
  <c r="K161" i="2"/>
  <c r="H24" i="129"/>
  <c r="C24" i="129" s="1"/>
  <c r="F12" i="130"/>
  <c r="M53" i="173"/>
  <c r="I164" i="2"/>
  <c r="F9" i="132"/>
  <c r="G9" i="132" s="1"/>
  <c r="I51" i="173"/>
  <c r="W51" i="173" s="1"/>
  <c r="X51" i="173" s="1"/>
  <c r="F13" i="129"/>
  <c r="H165" i="2"/>
  <c r="F9" i="131"/>
  <c r="G9" i="131" s="1"/>
  <c r="I52" i="173"/>
  <c r="W52" i="173" s="1"/>
  <c r="X52" i="173" s="1"/>
  <c r="I163" i="2"/>
  <c r="F12" i="132"/>
  <c r="M51" i="173"/>
  <c r="M162" i="2"/>
  <c r="J18" i="132"/>
  <c r="J12" i="132"/>
  <c r="F11" i="132" s="1"/>
  <c r="J19" i="132"/>
  <c r="J18" i="131"/>
  <c r="J12" i="131"/>
  <c r="J19" i="131"/>
  <c r="F9" i="130"/>
  <c r="G9" i="130" s="1"/>
  <c r="J18" i="130"/>
  <c r="J12" i="130"/>
  <c r="G13" i="129"/>
  <c r="C25" i="129"/>
  <c r="F8" i="129"/>
  <c r="H12" i="129"/>
  <c r="I56" i="127"/>
  <c r="I52" i="127"/>
  <c r="I39" i="127"/>
  <c r="T166" i="2"/>
  <c r="G166" i="2"/>
  <c r="F166" i="2"/>
  <c r="E166" i="2"/>
  <c r="D166" i="2"/>
  <c r="E43" i="128"/>
  <c r="C43" i="128"/>
  <c r="E42" i="128"/>
  <c r="C42" i="128"/>
  <c r="E41" i="128"/>
  <c r="C41" i="128"/>
  <c r="E40" i="128"/>
  <c r="C40" i="128"/>
  <c r="E39" i="128"/>
  <c r="C39" i="128"/>
  <c r="C38" i="128"/>
  <c r="C37" i="128"/>
  <c r="C36" i="128"/>
  <c r="C35" i="128"/>
  <c r="C34" i="128"/>
  <c r="C33" i="128"/>
  <c r="C32" i="128"/>
  <c r="C31" i="128"/>
  <c r="C30" i="128"/>
  <c r="C29" i="128"/>
  <c r="C28" i="128"/>
  <c r="C27" i="128"/>
  <c r="C26" i="128"/>
  <c r="K25" i="128"/>
  <c r="K24" i="128"/>
  <c r="K23" i="128"/>
  <c r="J16" i="128"/>
  <c r="J15" i="128"/>
  <c r="F7" i="128"/>
  <c r="T167" i="2"/>
  <c r="G167" i="2"/>
  <c r="F167" i="2"/>
  <c r="E167" i="2"/>
  <c r="D167" i="2"/>
  <c r="AG165" i="2" l="1"/>
  <c r="AC165" i="2"/>
  <c r="J13" i="131"/>
  <c r="F10" i="131"/>
  <c r="AH162" i="2"/>
  <c r="AI162" i="2" s="1"/>
  <c r="V162" i="2"/>
  <c r="W162" i="2" s="1"/>
  <c r="H166" i="2"/>
  <c r="J13" i="130"/>
  <c r="F11" i="130" s="1"/>
  <c r="F10" i="132"/>
  <c r="W163" i="2"/>
  <c r="F11" i="131"/>
  <c r="H23" i="128"/>
  <c r="C23" i="128" s="1"/>
  <c r="J13" i="132"/>
  <c r="F10" i="130"/>
  <c r="V164" i="2"/>
  <c r="W164" i="2" s="1"/>
  <c r="Y164" i="2"/>
  <c r="Z164" i="2" s="1"/>
  <c r="AH164" i="2"/>
  <c r="AI164" i="2" s="1"/>
  <c r="I9" i="130"/>
  <c r="K53" i="173"/>
  <c r="K164" i="2"/>
  <c r="Y163" i="2"/>
  <c r="Z163" i="2" s="1"/>
  <c r="AH163" i="2"/>
  <c r="AI163" i="2" s="1"/>
  <c r="F12" i="129"/>
  <c r="M54" i="173"/>
  <c r="M165" i="2"/>
  <c r="J19" i="129"/>
  <c r="I54" i="173"/>
  <c r="W54" i="173" s="1"/>
  <c r="X54" i="173" s="1"/>
  <c r="I165" i="2"/>
  <c r="L51" i="173"/>
  <c r="L162" i="2"/>
  <c r="L50" i="173"/>
  <c r="L161" i="2"/>
  <c r="I9" i="131"/>
  <c r="K52" i="173"/>
  <c r="K163" i="2"/>
  <c r="I9" i="132"/>
  <c r="K51" i="173"/>
  <c r="K162" i="2"/>
  <c r="H55" i="173"/>
  <c r="V55" i="173" s="1"/>
  <c r="H8" i="138"/>
  <c r="V8" i="138" s="1"/>
  <c r="J12" i="129"/>
  <c r="J18" i="129"/>
  <c r="F9" i="129"/>
  <c r="G9" i="129" s="1"/>
  <c r="G13" i="128"/>
  <c r="H24" i="128"/>
  <c r="C24" i="128" s="1"/>
  <c r="H12" i="128"/>
  <c r="H25" i="128"/>
  <c r="C25" i="128" s="1"/>
  <c r="F8" i="128"/>
  <c r="F13" i="128"/>
  <c r="F18" i="128"/>
  <c r="J17" i="128" s="1"/>
  <c r="L56" i="127"/>
  <c r="N56" i="127" s="1"/>
  <c r="L52" i="127"/>
  <c r="N52" i="127" s="1"/>
  <c r="L39" i="127"/>
  <c r="N39" i="127" s="1"/>
  <c r="M52" i="127"/>
  <c r="M56" i="127"/>
  <c r="M39" i="127"/>
  <c r="S26" i="127"/>
  <c r="G26" i="127"/>
  <c r="F26" i="127"/>
  <c r="E26" i="127"/>
  <c r="D26" i="127"/>
  <c r="S25" i="127"/>
  <c r="G25" i="127"/>
  <c r="F25" i="127"/>
  <c r="E25" i="127"/>
  <c r="D25" i="127"/>
  <c r="S24" i="127"/>
  <c r="H24" i="127"/>
  <c r="V24" i="127" s="1"/>
  <c r="G24" i="127"/>
  <c r="F24" i="127"/>
  <c r="E24" i="127"/>
  <c r="D24" i="127"/>
  <c r="S23" i="127"/>
  <c r="H23" i="127"/>
  <c r="V23" i="127" s="1"/>
  <c r="G23" i="127"/>
  <c r="F23" i="127"/>
  <c r="E23" i="127"/>
  <c r="D23" i="127"/>
  <c r="S22" i="127"/>
  <c r="G22" i="127"/>
  <c r="F22" i="127"/>
  <c r="E22" i="127"/>
  <c r="D22" i="127"/>
  <c r="S21" i="127"/>
  <c r="G21" i="127"/>
  <c r="F21" i="127"/>
  <c r="E21" i="127"/>
  <c r="D21" i="127"/>
  <c r="S20" i="127"/>
  <c r="H20" i="127"/>
  <c r="V20" i="127" s="1"/>
  <c r="G20" i="127"/>
  <c r="F20" i="127"/>
  <c r="E20" i="127"/>
  <c r="D20" i="127"/>
  <c r="W19" i="127"/>
  <c r="V19" i="127"/>
  <c r="S19" i="127"/>
  <c r="F19" i="127"/>
  <c r="E19" i="127"/>
  <c r="D19" i="127"/>
  <c r="S18" i="127"/>
  <c r="H18" i="127"/>
  <c r="V18" i="127" s="1"/>
  <c r="G18" i="127"/>
  <c r="F18" i="127"/>
  <c r="E18" i="127"/>
  <c r="D18" i="127"/>
  <c r="S17" i="127"/>
  <c r="H17" i="127"/>
  <c r="V17" i="127" s="1"/>
  <c r="G17" i="127"/>
  <c r="F17" i="127"/>
  <c r="E17" i="127"/>
  <c r="D17" i="127"/>
  <c r="S16" i="127"/>
  <c r="H16" i="127"/>
  <c r="V16" i="127" s="1"/>
  <c r="G16" i="127"/>
  <c r="F16" i="127"/>
  <c r="E16" i="127"/>
  <c r="D16" i="127"/>
  <c r="S15" i="127"/>
  <c r="G15" i="127"/>
  <c r="F15" i="127"/>
  <c r="E15" i="127"/>
  <c r="D15" i="127"/>
  <c r="S14" i="127"/>
  <c r="G14" i="127"/>
  <c r="F14" i="127"/>
  <c r="E14" i="127"/>
  <c r="D14" i="127"/>
  <c r="S13" i="127"/>
  <c r="G13" i="127"/>
  <c r="F13" i="127"/>
  <c r="E13" i="127"/>
  <c r="D13" i="127"/>
  <c r="S12" i="127"/>
  <c r="H12" i="127"/>
  <c r="V12" i="127" s="1"/>
  <c r="G12" i="127"/>
  <c r="F12" i="127"/>
  <c r="E12" i="127"/>
  <c r="D12" i="127"/>
  <c r="S11" i="127"/>
  <c r="H11" i="127"/>
  <c r="V11" i="127" s="1"/>
  <c r="G11" i="127"/>
  <c r="F11" i="127"/>
  <c r="E11" i="127"/>
  <c r="D11" i="127"/>
  <c r="S10" i="127"/>
  <c r="G10" i="127"/>
  <c r="F10" i="127"/>
  <c r="E10" i="127"/>
  <c r="D10" i="127"/>
  <c r="S9" i="127"/>
  <c r="H9" i="127"/>
  <c r="V9" i="127" s="1"/>
  <c r="G9" i="127"/>
  <c r="F9" i="127"/>
  <c r="E9" i="127"/>
  <c r="D9" i="127"/>
  <c r="S8" i="127"/>
  <c r="H8" i="127"/>
  <c r="V8" i="127" s="1"/>
  <c r="G8" i="127"/>
  <c r="F8" i="127"/>
  <c r="E8" i="127"/>
  <c r="D8" i="127"/>
  <c r="AG166" i="2" l="1"/>
  <c r="AC166" i="2"/>
  <c r="F12" i="128"/>
  <c r="J13" i="128" s="1"/>
  <c r="V165" i="2"/>
  <c r="W165" i="2" s="1"/>
  <c r="L163" i="2"/>
  <c r="F10" i="129"/>
  <c r="J13" i="129"/>
  <c r="L52" i="173"/>
  <c r="X19" i="127"/>
  <c r="I55" i="173"/>
  <c r="W55" i="173" s="1"/>
  <c r="X55" i="173" s="1"/>
  <c r="I8" i="138"/>
  <c r="W8" i="138" s="1"/>
  <c r="X8" i="138" s="1"/>
  <c r="I166" i="2"/>
  <c r="L53" i="173"/>
  <c r="L164" i="2"/>
  <c r="Y165" i="2"/>
  <c r="Z165" i="2" s="1"/>
  <c r="AH165" i="2"/>
  <c r="AI165" i="2" s="1"/>
  <c r="I9" i="129"/>
  <c r="K54" i="173"/>
  <c r="K165" i="2"/>
  <c r="M55" i="173"/>
  <c r="M8" i="138"/>
  <c r="M166" i="2"/>
  <c r="F11" i="129"/>
  <c r="J19" i="128"/>
  <c r="F9" i="128"/>
  <c r="G9" i="128" s="1"/>
  <c r="J12" i="128"/>
  <c r="J18" i="128"/>
  <c r="T168" i="2"/>
  <c r="H168" i="2"/>
  <c r="AC168" i="2" s="1"/>
  <c r="G168" i="2"/>
  <c r="F168" i="2"/>
  <c r="E168" i="2"/>
  <c r="D168" i="2"/>
  <c r="F10" i="128" l="1"/>
  <c r="V166" i="2"/>
  <c r="W166" i="2" s="1"/>
  <c r="F11" i="128"/>
  <c r="L55" i="173" s="1"/>
  <c r="AG168" i="2"/>
  <c r="L54" i="173"/>
  <c r="L165" i="2"/>
  <c r="I9" i="128"/>
  <c r="K55" i="173"/>
  <c r="K8" i="138"/>
  <c r="K166" i="2"/>
  <c r="AH166" i="2"/>
  <c r="AI166" i="2" s="1"/>
  <c r="Y166" i="2"/>
  <c r="Z166" i="2" s="1"/>
  <c r="E43" i="126"/>
  <c r="C43" i="126"/>
  <c r="E42" i="126"/>
  <c r="C42" i="126"/>
  <c r="E41" i="126"/>
  <c r="C41" i="126"/>
  <c r="E40" i="126"/>
  <c r="C40" i="126"/>
  <c r="E39" i="126"/>
  <c r="C39" i="126"/>
  <c r="E38" i="126"/>
  <c r="C38" i="126"/>
  <c r="E37" i="126"/>
  <c r="C37" i="126"/>
  <c r="C36" i="126"/>
  <c r="C35" i="126"/>
  <c r="C34" i="126"/>
  <c r="C33" i="126"/>
  <c r="C32" i="126"/>
  <c r="C31" i="126"/>
  <c r="C30" i="126"/>
  <c r="C29" i="126"/>
  <c r="C28" i="126"/>
  <c r="C27" i="126"/>
  <c r="C26" i="126"/>
  <c r="H25" i="126"/>
  <c r="C25" i="126" s="1"/>
  <c r="H24" i="126"/>
  <c r="C24" i="126" s="1"/>
  <c r="H23" i="126"/>
  <c r="C23" i="126" s="1"/>
  <c r="J17" i="126"/>
  <c r="J16" i="126"/>
  <c r="J15" i="126"/>
  <c r="G13" i="126"/>
  <c r="F13" i="126"/>
  <c r="H12" i="126"/>
  <c r="F8" i="126"/>
  <c r="L166" i="2" l="1"/>
  <c r="L8" i="138"/>
  <c r="F12" i="126"/>
  <c r="F10" i="126" s="1"/>
  <c r="M57" i="173"/>
  <c r="M168" i="2"/>
  <c r="J18" i="126"/>
  <c r="I57" i="173"/>
  <c r="W57" i="173" s="1"/>
  <c r="X57" i="173" s="1"/>
  <c r="I168" i="2"/>
  <c r="J12" i="126"/>
  <c r="J19" i="126"/>
  <c r="F9" i="126"/>
  <c r="G9" i="126" s="1"/>
  <c r="T170" i="2"/>
  <c r="H170" i="2"/>
  <c r="AC170" i="2" s="1"/>
  <c r="G170" i="2"/>
  <c r="F170" i="2"/>
  <c r="E170" i="2"/>
  <c r="D170" i="2"/>
  <c r="H26" i="125"/>
  <c r="C26" i="125" s="1"/>
  <c r="H27" i="125"/>
  <c r="C27" i="125" s="1"/>
  <c r="H28" i="125"/>
  <c r="C28" i="125" s="1"/>
  <c r="H29" i="125"/>
  <c r="C29" i="125" s="1"/>
  <c r="E43" i="125"/>
  <c r="C43" i="125"/>
  <c r="E42" i="125"/>
  <c r="C42" i="125"/>
  <c r="E41" i="125"/>
  <c r="C41" i="125"/>
  <c r="E40" i="125"/>
  <c r="C40" i="125"/>
  <c r="E39" i="125"/>
  <c r="C39" i="125"/>
  <c r="E38" i="125"/>
  <c r="C38" i="125"/>
  <c r="E37" i="125"/>
  <c r="C37" i="125"/>
  <c r="C36" i="125"/>
  <c r="C35" i="125"/>
  <c r="C34" i="125"/>
  <c r="C33" i="125"/>
  <c r="C32" i="125"/>
  <c r="C31" i="125"/>
  <c r="C30" i="125"/>
  <c r="H25" i="125"/>
  <c r="C25" i="125" s="1"/>
  <c r="H24" i="125"/>
  <c r="C24" i="125" s="1"/>
  <c r="H23" i="125"/>
  <c r="C23" i="125" s="1"/>
  <c r="J17" i="125"/>
  <c r="J16" i="125"/>
  <c r="J15" i="125"/>
  <c r="G13" i="125"/>
  <c r="F13" i="125"/>
  <c r="H12" i="125"/>
  <c r="F8" i="125"/>
  <c r="J13" i="126" l="1"/>
  <c r="F11" i="126" s="1"/>
  <c r="V168" i="2"/>
  <c r="W168" i="2" s="1"/>
  <c r="AG170" i="2"/>
  <c r="J18" i="125"/>
  <c r="I59" i="173"/>
  <c r="W59" i="173" s="1"/>
  <c r="X59" i="173" s="1"/>
  <c r="I8" i="127"/>
  <c r="W8" i="127" s="1"/>
  <c r="X8" i="127" s="1"/>
  <c r="I9" i="126"/>
  <c r="K57" i="173"/>
  <c r="K168" i="2"/>
  <c r="Y168" i="2"/>
  <c r="Z168" i="2" s="1"/>
  <c r="AH168" i="2"/>
  <c r="AI168" i="2" s="1"/>
  <c r="F12" i="125"/>
  <c r="M59" i="173"/>
  <c r="M8" i="127"/>
  <c r="M170" i="2"/>
  <c r="I170" i="2"/>
  <c r="J12" i="125"/>
  <c r="J19" i="125"/>
  <c r="F9" i="125"/>
  <c r="G9" i="125" s="1"/>
  <c r="T171" i="2"/>
  <c r="H171" i="2"/>
  <c r="G171" i="2"/>
  <c r="F171" i="2"/>
  <c r="E171" i="2"/>
  <c r="D171" i="2"/>
  <c r="E43" i="124"/>
  <c r="C43" i="124"/>
  <c r="E42" i="124"/>
  <c r="C42" i="124"/>
  <c r="E41" i="124"/>
  <c r="C41" i="124"/>
  <c r="E40" i="124"/>
  <c r="C40" i="124"/>
  <c r="E39" i="124"/>
  <c r="C39" i="124"/>
  <c r="E38" i="124"/>
  <c r="C38" i="124"/>
  <c r="E37" i="124"/>
  <c r="C37" i="124"/>
  <c r="C36" i="124"/>
  <c r="C35" i="124"/>
  <c r="C34" i="124"/>
  <c r="C33" i="124"/>
  <c r="C32" i="124"/>
  <c r="C31" i="124"/>
  <c r="C30" i="124"/>
  <c r="C29" i="124"/>
  <c r="C28" i="124"/>
  <c r="C27" i="124"/>
  <c r="C26" i="124"/>
  <c r="H25" i="124"/>
  <c r="C25" i="124" s="1"/>
  <c r="H24" i="124"/>
  <c r="C24" i="124" s="1"/>
  <c r="H23" i="124"/>
  <c r="C23" i="124" s="1"/>
  <c r="J17" i="124"/>
  <c r="J16" i="124"/>
  <c r="J15" i="124"/>
  <c r="G13" i="124"/>
  <c r="F13" i="124"/>
  <c r="H12" i="124"/>
  <c r="F8" i="124"/>
  <c r="AG171" i="2" l="1"/>
  <c r="AC171" i="2"/>
  <c r="M171" i="2"/>
  <c r="L168" i="2"/>
  <c r="L57" i="173"/>
  <c r="F10" i="125"/>
  <c r="V170" i="2"/>
  <c r="W170" i="2" s="1"/>
  <c r="J19" i="124"/>
  <c r="I60" i="173"/>
  <c r="W60" i="173" s="1"/>
  <c r="X60" i="173" s="1"/>
  <c r="I9" i="127"/>
  <c r="W9" i="127" s="1"/>
  <c r="X9" i="127" s="1"/>
  <c r="K59" i="173"/>
  <c r="K8" i="127"/>
  <c r="J13" i="125"/>
  <c r="F11" i="125" s="1"/>
  <c r="F12" i="124"/>
  <c r="M60" i="173"/>
  <c r="M9" i="127"/>
  <c r="I171" i="2"/>
  <c r="AH170" i="2"/>
  <c r="AI170" i="2" s="1"/>
  <c r="Y170" i="2"/>
  <c r="Z170" i="2" s="1"/>
  <c r="I9" i="125"/>
  <c r="K170" i="2"/>
  <c r="F9" i="124"/>
  <c r="G9" i="124" s="1"/>
  <c r="J18" i="124"/>
  <c r="J12" i="124"/>
  <c r="K24" i="123"/>
  <c r="E43" i="123"/>
  <c r="C43" i="123"/>
  <c r="E42" i="123"/>
  <c r="C42" i="123"/>
  <c r="E41" i="123"/>
  <c r="C41" i="123"/>
  <c r="E40" i="123"/>
  <c r="C40" i="123"/>
  <c r="E39" i="123"/>
  <c r="C39" i="123"/>
  <c r="C38" i="123"/>
  <c r="C37" i="123"/>
  <c r="C36" i="123"/>
  <c r="C35" i="123"/>
  <c r="C34" i="123"/>
  <c r="C33" i="123"/>
  <c r="C32" i="123"/>
  <c r="C31" i="123"/>
  <c r="C30" i="123"/>
  <c r="C29" i="123"/>
  <c r="C28" i="123"/>
  <c r="C27" i="123"/>
  <c r="C26" i="123"/>
  <c r="K25" i="123"/>
  <c r="K23" i="123"/>
  <c r="J16" i="123"/>
  <c r="J15" i="123"/>
  <c r="F7" i="123"/>
  <c r="J13" i="124" l="1"/>
  <c r="F11" i="124" s="1"/>
  <c r="V171" i="2"/>
  <c r="W171" i="2" s="1"/>
  <c r="Y171" i="2"/>
  <c r="Z171" i="2" s="1"/>
  <c r="H10" i="127"/>
  <c r="V10" i="127" s="1"/>
  <c r="H56" i="173"/>
  <c r="V56" i="173" s="1"/>
  <c r="H167" i="2"/>
  <c r="AC167" i="2" s="1"/>
  <c r="I9" i="124"/>
  <c r="K60" i="173"/>
  <c r="K9" i="127"/>
  <c r="K171" i="2"/>
  <c r="AH171" i="2"/>
  <c r="AI171" i="2" s="1"/>
  <c r="L170" i="2"/>
  <c r="L59" i="173"/>
  <c r="L8" i="127"/>
  <c r="G13" i="123"/>
  <c r="F10" i="124"/>
  <c r="H23" i="123"/>
  <c r="C23" i="123" s="1"/>
  <c r="F13" i="123"/>
  <c r="H25" i="123"/>
  <c r="C25" i="123" s="1"/>
  <c r="F8" i="123"/>
  <c r="H12" i="123"/>
  <c r="H24" i="123"/>
  <c r="C24" i="123" s="1"/>
  <c r="F18" i="123"/>
  <c r="J17" i="123" s="1"/>
  <c r="T172" i="2"/>
  <c r="H172" i="2"/>
  <c r="AC172" i="2" s="1"/>
  <c r="G172" i="2"/>
  <c r="F172" i="2"/>
  <c r="E172" i="2"/>
  <c r="D172" i="2"/>
  <c r="E43" i="122"/>
  <c r="C43" i="122"/>
  <c r="E42" i="122"/>
  <c r="C42" i="122"/>
  <c r="E41" i="122"/>
  <c r="C41" i="122"/>
  <c r="E40" i="122"/>
  <c r="C40" i="122"/>
  <c r="E39" i="122"/>
  <c r="C39" i="122"/>
  <c r="E38" i="122"/>
  <c r="C38" i="122"/>
  <c r="E37" i="122"/>
  <c r="C37" i="122"/>
  <c r="C36" i="122"/>
  <c r="C35" i="122"/>
  <c r="C34" i="122"/>
  <c r="C33" i="122"/>
  <c r="C32" i="122"/>
  <c r="C31" i="122"/>
  <c r="C30" i="122"/>
  <c r="C29" i="122"/>
  <c r="H28" i="122"/>
  <c r="C28" i="122" s="1"/>
  <c r="H27" i="122"/>
  <c r="C27" i="122" s="1"/>
  <c r="H26" i="122"/>
  <c r="C26" i="122" s="1"/>
  <c r="H25" i="122"/>
  <c r="C25" i="122" s="1"/>
  <c r="H24" i="122"/>
  <c r="C24" i="122" s="1"/>
  <c r="H23" i="122"/>
  <c r="C23" i="122" s="1"/>
  <c r="J17" i="122"/>
  <c r="J16" i="122"/>
  <c r="J15" i="122"/>
  <c r="G13" i="122"/>
  <c r="F13" i="122"/>
  <c r="H12" i="122"/>
  <c r="F8" i="122"/>
  <c r="L60" i="173" l="1"/>
  <c r="I61" i="173"/>
  <c r="W61" i="173" s="1"/>
  <c r="X61" i="173" s="1"/>
  <c r="M61" i="173"/>
  <c r="L171" i="2"/>
  <c r="L9" i="127"/>
  <c r="AG167" i="2"/>
  <c r="AK168" i="2"/>
  <c r="AG172" i="2"/>
  <c r="I56" i="173"/>
  <c r="W56" i="173" s="1"/>
  <c r="X56" i="173" s="1"/>
  <c r="I167" i="2"/>
  <c r="M56" i="173"/>
  <c r="M167" i="2"/>
  <c r="F12" i="122"/>
  <c r="M11" i="127"/>
  <c r="F9" i="122"/>
  <c r="G9" i="122" s="1"/>
  <c r="I11" i="127"/>
  <c r="W11" i="127" s="1"/>
  <c r="X11" i="127" s="1"/>
  <c r="F12" i="123"/>
  <c r="M10" i="127"/>
  <c r="J19" i="123"/>
  <c r="I10" i="127"/>
  <c r="W10" i="127" s="1"/>
  <c r="X10" i="127" s="1"/>
  <c r="F9" i="123"/>
  <c r="G9" i="123" s="1"/>
  <c r="J12" i="123"/>
  <c r="J18" i="123"/>
  <c r="I172" i="2"/>
  <c r="M172" i="2"/>
  <c r="J18" i="122"/>
  <c r="J12" i="122"/>
  <c r="J19" i="122"/>
  <c r="T173" i="2"/>
  <c r="H173" i="2"/>
  <c r="G173" i="2"/>
  <c r="F173" i="2"/>
  <c r="E173" i="2"/>
  <c r="D173" i="2"/>
  <c r="E43" i="121"/>
  <c r="C43" i="121"/>
  <c r="E42" i="121"/>
  <c r="C42" i="121"/>
  <c r="E41" i="121"/>
  <c r="C41" i="121"/>
  <c r="E40" i="121"/>
  <c r="C40" i="121"/>
  <c r="E39" i="121"/>
  <c r="C39" i="121"/>
  <c r="E38" i="121"/>
  <c r="C38" i="121"/>
  <c r="E37" i="121"/>
  <c r="C37" i="121"/>
  <c r="C36" i="121"/>
  <c r="C35" i="121"/>
  <c r="C34" i="121"/>
  <c r="C33" i="121"/>
  <c r="C32" i="121"/>
  <c r="C31" i="121"/>
  <c r="C30" i="121"/>
  <c r="C29" i="121"/>
  <c r="H28" i="121"/>
  <c r="C28" i="121" s="1"/>
  <c r="H27" i="121"/>
  <c r="C27" i="121" s="1"/>
  <c r="H26" i="121"/>
  <c r="C26" i="121" s="1"/>
  <c r="H25" i="121"/>
  <c r="C25" i="121" s="1"/>
  <c r="H24" i="121"/>
  <c r="C24" i="121" s="1"/>
  <c r="H23" i="121"/>
  <c r="C23" i="121" s="1"/>
  <c r="J17" i="121"/>
  <c r="J16" i="121"/>
  <c r="J15" i="121"/>
  <c r="G13" i="121"/>
  <c r="F13" i="121"/>
  <c r="H12" i="121"/>
  <c r="F8" i="121"/>
  <c r="M24" i="119"/>
  <c r="M25" i="119"/>
  <c r="M26" i="119"/>
  <c r="M27" i="119"/>
  <c r="AG173" i="2" l="1"/>
  <c r="AC173" i="2"/>
  <c r="K61" i="173"/>
  <c r="J13" i="122"/>
  <c r="F11" i="122" s="1"/>
  <c r="K172" i="2"/>
  <c r="J13" i="123"/>
  <c r="F11" i="123" s="1"/>
  <c r="V167" i="2"/>
  <c r="W167" i="2" s="1"/>
  <c r="F10" i="122"/>
  <c r="V172" i="2"/>
  <c r="W172" i="2" s="1"/>
  <c r="AL168" i="2"/>
  <c r="AM168" i="2" s="1"/>
  <c r="F9" i="121"/>
  <c r="G9" i="121" s="1"/>
  <c r="I62" i="173"/>
  <c r="W62" i="173" s="1"/>
  <c r="X62" i="173" s="1"/>
  <c r="I12" i="127"/>
  <c r="W12" i="127" s="1"/>
  <c r="X12" i="127" s="1"/>
  <c r="F12" i="121"/>
  <c r="M62" i="173"/>
  <c r="M12" i="127"/>
  <c r="K56" i="173"/>
  <c r="K167" i="2"/>
  <c r="AH167" i="2"/>
  <c r="AI167" i="2" s="1"/>
  <c r="Y167" i="2"/>
  <c r="Z167" i="2" s="1"/>
  <c r="AH172" i="2"/>
  <c r="AI172" i="2" s="1"/>
  <c r="Y172" i="2"/>
  <c r="Z172" i="2" s="1"/>
  <c r="I9" i="122"/>
  <c r="K11" i="127"/>
  <c r="F10" i="123"/>
  <c r="I9" i="123"/>
  <c r="K10" i="127"/>
  <c r="I173" i="2"/>
  <c r="M173" i="2"/>
  <c r="J18" i="121"/>
  <c r="J12" i="121"/>
  <c r="J19" i="121"/>
  <c r="T174" i="2"/>
  <c r="G174" i="2"/>
  <c r="F174" i="2"/>
  <c r="E174" i="2"/>
  <c r="D174" i="2"/>
  <c r="M23" i="119"/>
  <c r="J7" i="119"/>
  <c r="F7" i="119" s="1"/>
  <c r="L61" i="173" l="1"/>
  <c r="K173" i="2"/>
  <c r="V173" i="2"/>
  <c r="W173" i="2" s="1"/>
  <c r="L172" i="2"/>
  <c r="F10" i="121"/>
  <c r="J13" i="121"/>
  <c r="F11" i="121" s="1"/>
  <c r="L11" i="127"/>
  <c r="H174" i="2"/>
  <c r="AC174" i="2" s="1"/>
  <c r="H63" i="173"/>
  <c r="V63" i="173" s="1"/>
  <c r="H13" i="127"/>
  <c r="V13" i="127" s="1"/>
  <c r="L56" i="173"/>
  <c r="L167" i="2"/>
  <c r="B168" i="2" s="1"/>
  <c r="I9" i="121"/>
  <c r="K62" i="173"/>
  <c r="K12" i="127"/>
  <c r="AH173" i="2"/>
  <c r="AI173" i="2" s="1"/>
  <c r="Y173" i="2"/>
  <c r="Z173" i="2" s="1"/>
  <c r="L10" i="127"/>
  <c r="K23" i="118"/>
  <c r="G176" i="2"/>
  <c r="F176" i="2"/>
  <c r="E176" i="2"/>
  <c r="D176" i="2"/>
  <c r="T176" i="2"/>
  <c r="K26" i="120"/>
  <c r="K27" i="120"/>
  <c r="K28" i="120"/>
  <c r="K29" i="120"/>
  <c r="K30" i="120"/>
  <c r="K31" i="120"/>
  <c r="K32" i="120"/>
  <c r="K33" i="120"/>
  <c r="K34" i="120"/>
  <c r="K35" i="120"/>
  <c r="K36" i="120"/>
  <c r="K37" i="120"/>
  <c r="K38" i="120"/>
  <c r="E42" i="120"/>
  <c r="C42" i="120"/>
  <c r="E41" i="120"/>
  <c r="C41" i="120"/>
  <c r="E40" i="120"/>
  <c r="C40" i="120"/>
  <c r="E39" i="120"/>
  <c r="C39" i="120"/>
  <c r="K25" i="120"/>
  <c r="K24" i="120"/>
  <c r="K23" i="120"/>
  <c r="J16" i="120"/>
  <c r="J15" i="120"/>
  <c r="F7" i="120"/>
  <c r="AG174" i="2" l="1"/>
  <c r="H176" i="2"/>
  <c r="H455" i="173"/>
  <c r="V455" i="173" s="1"/>
  <c r="H65" i="173"/>
  <c r="V65" i="173" s="1"/>
  <c r="H15" i="127"/>
  <c r="V15" i="127" s="1"/>
  <c r="L173" i="2"/>
  <c r="L62" i="173"/>
  <c r="L12" i="127"/>
  <c r="H31" i="120"/>
  <c r="C31" i="120" s="1"/>
  <c r="H30" i="120"/>
  <c r="C30" i="120" s="1"/>
  <c r="H28" i="120"/>
  <c r="C28" i="120" s="1"/>
  <c r="H32" i="120"/>
  <c r="C32" i="120" s="1"/>
  <c r="H36" i="120"/>
  <c r="C36" i="120" s="1"/>
  <c r="H38" i="120"/>
  <c r="C38" i="120" s="1"/>
  <c r="H34" i="120"/>
  <c r="C34" i="120" s="1"/>
  <c r="H35" i="120"/>
  <c r="C35" i="120" s="1"/>
  <c r="H12" i="120"/>
  <c r="H37" i="120"/>
  <c r="C37" i="120" s="1"/>
  <c r="H33" i="120"/>
  <c r="C33" i="120" s="1"/>
  <c r="H29" i="120"/>
  <c r="C29" i="120" s="1"/>
  <c r="H27" i="120"/>
  <c r="C27" i="120" s="1"/>
  <c r="H26" i="120"/>
  <c r="C26" i="120" s="1"/>
  <c r="H23" i="120"/>
  <c r="C23" i="120" s="1"/>
  <c r="G13" i="120"/>
  <c r="F13" i="120"/>
  <c r="H25" i="120"/>
  <c r="C25" i="120" s="1"/>
  <c r="H24" i="120"/>
  <c r="C24" i="120" s="1"/>
  <c r="F8" i="120"/>
  <c r="F18" i="120"/>
  <c r="J17" i="120" s="1"/>
  <c r="AG176" i="2" l="1"/>
  <c r="AC176" i="2"/>
  <c r="M455" i="173"/>
  <c r="M65" i="173"/>
  <c r="M15" i="127"/>
  <c r="I176" i="2"/>
  <c r="I455" i="173"/>
  <c r="W455" i="173" s="1"/>
  <c r="X455" i="173" s="1"/>
  <c r="I65" i="173"/>
  <c r="W65" i="173" s="1"/>
  <c r="X65" i="173" s="1"/>
  <c r="I15" i="127"/>
  <c r="W15" i="127" s="1"/>
  <c r="X15" i="127" s="1"/>
  <c r="F12" i="120"/>
  <c r="M176" i="2"/>
  <c r="J19" i="120"/>
  <c r="F9" i="120"/>
  <c r="G9" i="120" s="1"/>
  <c r="J18" i="120"/>
  <c r="J12" i="120"/>
  <c r="E43" i="119"/>
  <c r="C43" i="119"/>
  <c r="E42" i="119"/>
  <c r="C42" i="119"/>
  <c r="E41" i="119"/>
  <c r="C41" i="119"/>
  <c r="E40" i="119"/>
  <c r="C40" i="119"/>
  <c r="E39" i="119"/>
  <c r="C39" i="119"/>
  <c r="E38" i="119"/>
  <c r="C38" i="119"/>
  <c r="E37" i="119"/>
  <c r="C37" i="119"/>
  <c r="E36" i="119"/>
  <c r="C36" i="119"/>
  <c r="E35" i="119"/>
  <c r="C35" i="119"/>
  <c r="E34" i="119"/>
  <c r="C34" i="119"/>
  <c r="E33" i="119"/>
  <c r="C33" i="119"/>
  <c r="E32" i="119"/>
  <c r="C32" i="119"/>
  <c r="E31" i="119"/>
  <c r="C31" i="119"/>
  <c r="E30" i="119"/>
  <c r="C30" i="119"/>
  <c r="H26" i="119"/>
  <c r="C26" i="119" s="1"/>
  <c r="H25" i="119"/>
  <c r="C25" i="119" s="1"/>
  <c r="H24" i="119"/>
  <c r="C24" i="119" s="1"/>
  <c r="F13" i="119"/>
  <c r="J16" i="119"/>
  <c r="J15" i="119"/>
  <c r="G13" i="119"/>
  <c r="H12" i="119"/>
  <c r="O11" i="119"/>
  <c r="O10" i="119"/>
  <c r="V176" i="2" l="1"/>
  <c r="W176" i="2" s="1"/>
  <c r="F10" i="120"/>
  <c r="J13" i="120"/>
  <c r="F11" i="120" s="1"/>
  <c r="Y176" i="2"/>
  <c r="Z176" i="2" s="1"/>
  <c r="AH176" i="2"/>
  <c r="AI176" i="2" s="1"/>
  <c r="M63" i="173"/>
  <c r="M13" i="127"/>
  <c r="K455" i="173"/>
  <c r="K65" i="173"/>
  <c r="K15" i="127"/>
  <c r="I9" i="120"/>
  <c r="K176" i="2"/>
  <c r="F12" i="119"/>
  <c r="F10" i="119" s="1"/>
  <c r="M174" i="2"/>
  <c r="H27" i="119"/>
  <c r="C27" i="119" s="1"/>
  <c r="F18" i="119"/>
  <c r="J17" i="119" s="1"/>
  <c r="H23" i="119"/>
  <c r="F8" i="119"/>
  <c r="T175" i="2"/>
  <c r="G175" i="2"/>
  <c r="F175" i="2"/>
  <c r="E175" i="2"/>
  <c r="D175" i="2"/>
  <c r="C38" i="118"/>
  <c r="E43" i="118"/>
  <c r="C43" i="118"/>
  <c r="E42" i="118"/>
  <c r="C42" i="118"/>
  <c r="E41" i="118"/>
  <c r="C41" i="118"/>
  <c r="E40" i="118"/>
  <c r="C40" i="118"/>
  <c r="E39" i="118"/>
  <c r="C39" i="118"/>
  <c r="K25" i="118"/>
  <c r="K24" i="118"/>
  <c r="J16" i="118"/>
  <c r="J15" i="118"/>
  <c r="F7" i="118"/>
  <c r="J13" i="119" l="1"/>
  <c r="V174" i="2"/>
  <c r="F18" i="118"/>
  <c r="J17" i="118" s="1"/>
  <c r="H64" i="173"/>
  <c r="V64" i="173" s="1"/>
  <c r="H14" i="127"/>
  <c r="V14" i="127" s="1"/>
  <c r="I174" i="2"/>
  <c r="I63" i="173"/>
  <c r="W63" i="173" s="1"/>
  <c r="X63" i="173" s="1"/>
  <c r="I13" i="127"/>
  <c r="W13" i="127" s="1"/>
  <c r="X13" i="127" s="1"/>
  <c r="L176" i="2"/>
  <c r="L455" i="173"/>
  <c r="L65" i="173"/>
  <c r="L15" i="127"/>
  <c r="H175" i="2"/>
  <c r="AC175" i="2" s="1"/>
  <c r="O12" i="119"/>
  <c r="C23" i="119"/>
  <c r="J19" i="119"/>
  <c r="J18" i="119"/>
  <c r="F9" i="119"/>
  <c r="G9" i="119" s="1"/>
  <c r="J12" i="119"/>
  <c r="C37" i="118"/>
  <c r="C34" i="118"/>
  <c r="F13" i="118"/>
  <c r="C36" i="118"/>
  <c r="C35" i="118"/>
  <c r="F8" i="118"/>
  <c r="C27" i="118"/>
  <c r="C31" i="118"/>
  <c r="H25" i="118"/>
  <c r="C25" i="118" s="1"/>
  <c r="C28" i="118"/>
  <c r="C26" i="118"/>
  <c r="C30" i="118"/>
  <c r="C29" i="118"/>
  <c r="G13" i="118"/>
  <c r="H24" i="118"/>
  <c r="C24" i="118" s="1"/>
  <c r="C32" i="118"/>
  <c r="H12" i="118"/>
  <c r="H23" i="118"/>
  <c r="C23" i="118" s="1"/>
  <c r="C33" i="118"/>
  <c r="T177" i="2"/>
  <c r="H177" i="2"/>
  <c r="G177" i="2"/>
  <c r="F177" i="2"/>
  <c r="E177" i="2"/>
  <c r="D177" i="2"/>
  <c r="H31" i="116"/>
  <c r="C31" i="116" s="1"/>
  <c r="H30" i="116"/>
  <c r="C30" i="116" s="1"/>
  <c r="H29" i="116"/>
  <c r="C29" i="116" s="1"/>
  <c r="H23" i="116"/>
  <c r="C23" i="116" s="1"/>
  <c r="E43" i="116"/>
  <c r="C43" i="116"/>
  <c r="E42" i="116"/>
  <c r="C42" i="116"/>
  <c r="E41" i="116"/>
  <c r="C41" i="116"/>
  <c r="E40" i="116"/>
  <c r="C40" i="116"/>
  <c r="E39" i="116"/>
  <c r="C39" i="116"/>
  <c r="E38" i="116"/>
  <c r="C38" i="116"/>
  <c r="E37" i="116"/>
  <c r="C37" i="116"/>
  <c r="C36" i="116"/>
  <c r="C35" i="116"/>
  <c r="C34" i="116"/>
  <c r="C33" i="116"/>
  <c r="C32" i="116"/>
  <c r="H28" i="116"/>
  <c r="C28" i="116" s="1"/>
  <c r="H27" i="116"/>
  <c r="C27" i="116" s="1"/>
  <c r="H26" i="116"/>
  <c r="C26" i="116" s="1"/>
  <c r="H25" i="116"/>
  <c r="C25" i="116" s="1"/>
  <c r="H24" i="116"/>
  <c r="C24" i="116" s="1"/>
  <c r="J17" i="116"/>
  <c r="J16" i="116"/>
  <c r="J15" i="116"/>
  <c r="G13" i="116"/>
  <c r="F13" i="116"/>
  <c r="H12" i="116"/>
  <c r="F8" i="116"/>
  <c r="AG177" i="2" l="1"/>
  <c r="AC177" i="2"/>
  <c r="F11" i="119"/>
  <c r="L63" i="173" s="1"/>
  <c r="AH174" i="2"/>
  <c r="AI174" i="2" s="1"/>
  <c r="W174" i="2"/>
  <c r="AG175" i="2"/>
  <c r="Y174" i="2"/>
  <c r="Z174" i="2" s="1"/>
  <c r="M64" i="173"/>
  <c r="M14" i="127"/>
  <c r="F9" i="116"/>
  <c r="G9" i="116" s="1"/>
  <c r="I66" i="173"/>
  <c r="W66" i="173" s="1"/>
  <c r="X66" i="173" s="1"/>
  <c r="I16" i="127"/>
  <c r="W16" i="127" s="1"/>
  <c r="X16" i="127" s="1"/>
  <c r="F12" i="116"/>
  <c r="M66" i="173"/>
  <c r="M16" i="127"/>
  <c r="K63" i="173"/>
  <c r="K13" i="127"/>
  <c r="I64" i="173"/>
  <c r="W64" i="173" s="1"/>
  <c r="X64" i="173" s="1"/>
  <c r="I14" i="127"/>
  <c r="W14" i="127" s="1"/>
  <c r="X14" i="127" s="1"/>
  <c r="M177" i="2"/>
  <c r="I177" i="2"/>
  <c r="I9" i="119"/>
  <c r="K174" i="2"/>
  <c r="F12" i="118"/>
  <c r="M175" i="2"/>
  <c r="F9" i="118"/>
  <c r="G9" i="118" s="1"/>
  <c r="I175" i="2"/>
  <c r="J19" i="118"/>
  <c r="J12" i="118"/>
  <c r="J18" i="118"/>
  <c r="J18" i="116"/>
  <c r="J12" i="116"/>
  <c r="J19" i="116"/>
  <c r="T178" i="2"/>
  <c r="H178" i="2"/>
  <c r="G178" i="2"/>
  <c r="F178" i="2"/>
  <c r="E178" i="2"/>
  <c r="D178" i="2"/>
  <c r="E43" i="115"/>
  <c r="C43" i="115"/>
  <c r="E42" i="115"/>
  <c r="C42" i="115"/>
  <c r="E41" i="115"/>
  <c r="C41" i="115"/>
  <c r="E40" i="115"/>
  <c r="C40" i="115"/>
  <c r="E39" i="115"/>
  <c r="C39" i="115"/>
  <c r="E38" i="115"/>
  <c r="C38" i="115"/>
  <c r="E37" i="115"/>
  <c r="C37" i="115"/>
  <c r="C36" i="115"/>
  <c r="C35" i="115"/>
  <c r="C33" i="115"/>
  <c r="C32" i="115"/>
  <c r="C31" i="115"/>
  <c r="C30" i="115"/>
  <c r="C29" i="115"/>
  <c r="H28" i="115"/>
  <c r="C28" i="115" s="1"/>
  <c r="H27" i="115"/>
  <c r="C27" i="115" s="1"/>
  <c r="H26" i="115"/>
  <c r="C26" i="115" s="1"/>
  <c r="H25" i="115"/>
  <c r="C25" i="115" s="1"/>
  <c r="H24" i="115"/>
  <c r="C24" i="115" s="1"/>
  <c r="H23" i="115"/>
  <c r="C23" i="115" s="1"/>
  <c r="J17" i="115"/>
  <c r="J16" i="115"/>
  <c r="J15" i="115"/>
  <c r="G13" i="115"/>
  <c r="F13" i="115"/>
  <c r="H12" i="115"/>
  <c r="F8" i="115"/>
  <c r="AG178" i="2" l="1"/>
  <c r="AC178" i="2"/>
  <c r="V177" i="2"/>
  <c r="W177" i="2" s="1"/>
  <c r="K177" i="2"/>
  <c r="L174" i="2"/>
  <c r="L13" i="127"/>
  <c r="J13" i="116"/>
  <c r="F11" i="116" s="1"/>
  <c r="F10" i="116"/>
  <c r="F10" i="118"/>
  <c r="V175" i="2"/>
  <c r="W175" i="2" s="1"/>
  <c r="I9" i="116"/>
  <c r="K66" i="173"/>
  <c r="K16" i="127"/>
  <c r="J19" i="115"/>
  <c r="I67" i="173"/>
  <c r="W67" i="173" s="1"/>
  <c r="X67" i="173" s="1"/>
  <c r="I17" i="127"/>
  <c r="W17" i="127" s="1"/>
  <c r="X17" i="127" s="1"/>
  <c r="F12" i="115"/>
  <c r="M67" i="173"/>
  <c r="M17" i="127"/>
  <c r="I9" i="118"/>
  <c r="K64" i="173"/>
  <c r="K14" i="127"/>
  <c r="AH177" i="2"/>
  <c r="AI177" i="2" s="1"/>
  <c r="Y177" i="2"/>
  <c r="Z177" i="2" s="1"/>
  <c r="AH175" i="2"/>
  <c r="AI175" i="2" s="1"/>
  <c r="Y175" i="2"/>
  <c r="Z175" i="2" s="1"/>
  <c r="J13" i="118"/>
  <c r="F11" i="118" s="1"/>
  <c r="K175" i="2"/>
  <c r="I178" i="2"/>
  <c r="M178" i="2"/>
  <c r="J18" i="115"/>
  <c r="F9" i="115"/>
  <c r="G9" i="115" s="1"/>
  <c r="C34" i="115"/>
  <c r="J12" i="115"/>
  <c r="T179" i="2"/>
  <c r="H179" i="2"/>
  <c r="G179" i="2"/>
  <c r="F179" i="2"/>
  <c r="E179" i="2"/>
  <c r="D179" i="2"/>
  <c r="H36" i="114"/>
  <c r="C36" i="114" s="1"/>
  <c r="H35" i="114"/>
  <c r="E35" i="114" s="1"/>
  <c r="H34" i="114"/>
  <c r="E34" i="114" s="1"/>
  <c r="H33" i="114"/>
  <c r="C33" i="114" s="1"/>
  <c r="H32" i="114"/>
  <c r="C32" i="114" s="1"/>
  <c r="H31" i="114"/>
  <c r="C31" i="114" s="1"/>
  <c r="H30" i="114"/>
  <c r="C30" i="114" s="1"/>
  <c r="H29" i="114"/>
  <c r="C29" i="114" s="1"/>
  <c r="E43" i="114"/>
  <c r="C43" i="114"/>
  <c r="E42" i="114"/>
  <c r="C42" i="114"/>
  <c r="E41" i="114"/>
  <c r="C41" i="114"/>
  <c r="E40" i="114"/>
  <c r="C40" i="114"/>
  <c r="E39" i="114"/>
  <c r="C39" i="114"/>
  <c r="E38" i="114"/>
  <c r="C38" i="114"/>
  <c r="E37" i="114"/>
  <c r="C37" i="114"/>
  <c r="H28" i="114"/>
  <c r="C28" i="114" s="1"/>
  <c r="H27" i="114"/>
  <c r="C27" i="114" s="1"/>
  <c r="H26" i="114"/>
  <c r="C26" i="114" s="1"/>
  <c r="H25" i="114"/>
  <c r="C25" i="114" s="1"/>
  <c r="H24" i="114"/>
  <c r="C24" i="114" s="1"/>
  <c r="H23" i="114"/>
  <c r="C23" i="114" s="1"/>
  <c r="J17" i="114"/>
  <c r="J16" i="114"/>
  <c r="J15" i="114"/>
  <c r="G13" i="114"/>
  <c r="F13" i="114"/>
  <c r="H12" i="114"/>
  <c r="F8" i="114"/>
  <c r="AG179" i="2" l="1"/>
  <c r="AC179" i="2"/>
  <c r="C34" i="114"/>
  <c r="J13" i="115"/>
  <c r="F11" i="115" s="1"/>
  <c r="E36" i="114"/>
  <c r="F10" i="115"/>
  <c r="V178" i="2"/>
  <c r="W178" i="2" s="1"/>
  <c r="F12" i="114"/>
  <c r="M456" i="173"/>
  <c r="M68" i="173"/>
  <c r="M18" i="127"/>
  <c r="K67" i="173"/>
  <c r="K17" i="127"/>
  <c r="L177" i="2"/>
  <c r="L66" i="173"/>
  <c r="L16" i="127"/>
  <c r="F9" i="114"/>
  <c r="G9" i="114" s="1"/>
  <c r="I456" i="173"/>
  <c r="W456" i="173" s="1"/>
  <c r="X456" i="173" s="1"/>
  <c r="I68" i="173"/>
  <c r="W68" i="173" s="1"/>
  <c r="X68" i="173" s="1"/>
  <c r="I18" i="127"/>
  <c r="W18" i="127" s="1"/>
  <c r="X18" i="127" s="1"/>
  <c r="L175" i="2"/>
  <c r="L64" i="173"/>
  <c r="L14" i="127"/>
  <c r="AH178" i="2"/>
  <c r="AI178" i="2" s="1"/>
  <c r="Y178" i="2"/>
  <c r="Z178" i="2" s="1"/>
  <c r="M179" i="2"/>
  <c r="I179" i="2"/>
  <c r="I9" i="115"/>
  <c r="K178" i="2"/>
  <c r="C35" i="114"/>
  <c r="J18" i="114"/>
  <c r="J12" i="114"/>
  <c r="J19" i="114"/>
  <c r="T180" i="2"/>
  <c r="AH180" i="2"/>
  <c r="AG180" i="2"/>
  <c r="F180" i="2"/>
  <c r="E180" i="2"/>
  <c r="D180" i="2"/>
  <c r="H28" i="113"/>
  <c r="C28" i="113" s="1"/>
  <c r="E43" i="113"/>
  <c r="C43" i="113"/>
  <c r="E42" i="113"/>
  <c r="C42" i="113"/>
  <c r="E41" i="113"/>
  <c r="C41" i="113"/>
  <c r="E40" i="113"/>
  <c r="C40" i="113"/>
  <c r="E39" i="113"/>
  <c r="C39" i="113"/>
  <c r="E38" i="113"/>
  <c r="C38" i="113"/>
  <c r="E37" i="113"/>
  <c r="C37" i="113"/>
  <c r="E36" i="113"/>
  <c r="C36" i="113"/>
  <c r="E35" i="113"/>
  <c r="C35" i="113"/>
  <c r="E34" i="113"/>
  <c r="C34" i="113"/>
  <c r="C33" i="113"/>
  <c r="C32" i="113"/>
  <c r="C31" i="113"/>
  <c r="C30" i="113"/>
  <c r="C29" i="113"/>
  <c r="H27" i="113"/>
  <c r="C27" i="113" s="1"/>
  <c r="H26" i="113"/>
  <c r="C26" i="113" s="1"/>
  <c r="H25" i="113"/>
  <c r="C25" i="113" s="1"/>
  <c r="H24" i="113"/>
  <c r="C24" i="113" s="1"/>
  <c r="H23" i="113"/>
  <c r="C23" i="113" s="1"/>
  <c r="J17" i="113"/>
  <c r="J16" i="113"/>
  <c r="J15" i="113"/>
  <c r="G13" i="113"/>
  <c r="F13" i="113"/>
  <c r="H12" i="113"/>
  <c r="F12" i="113" s="1"/>
  <c r="F10" i="113" s="1"/>
  <c r="F8" i="113"/>
  <c r="J19" i="113" s="1"/>
  <c r="K179" i="2" l="1"/>
  <c r="J13" i="114"/>
  <c r="F11" i="114" s="1"/>
  <c r="F10" i="114"/>
  <c r="V179" i="2"/>
  <c r="W179" i="2" s="1"/>
  <c r="L178" i="2"/>
  <c r="L67" i="173"/>
  <c r="L17" i="127"/>
  <c r="I9" i="114"/>
  <c r="K456" i="173"/>
  <c r="K68" i="173"/>
  <c r="K18" i="127"/>
  <c r="AH179" i="2"/>
  <c r="AI179" i="2" s="1"/>
  <c r="Y179" i="2"/>
  <c r="Z179" i="2" s="1"/>
  <c r="AI180" i="2"/>
  <c r="F9" i="113"/>
  <c r="G9" i="113" s="1"/>
  <c r="I9" i="113" s="1"/>
  <c r="J13" i="113"/>
  <c r="J18" i="113"/>
  <c r="J12" i="113"/>
  <c r="T181" i="2"/>
  <c r="H181" i="2"/>
  <c r="G181" i="2"/>
  <c r="F181" i="2"/>
  <c r="E181" i="2"/>
  <c r="D181" i="2"/>
  <c r="H25" i="112"/>
  <c r="C25" i="112" s="1"/>
  <c r="H26" i="112"/>
  <c r="H27" i="112"/>
  <c r="C27" i="112" s="1"/>
  <c r="E43" i="112"/>
  <c r="C43" i="112"/>
  <c r="E42" i="112"/>
  <c r="C42" i="112"/>
  <c r="E41" i="112"/>
  <c r="C41" i="112"/>
  <c r="E40" i="112"/>
  <c r="C40" i="112"/>
  <c r="E39" i="112"/>
  <c r="C39" i="112"/>
  <c r="E38" i="112"/>
  <c r="C38" i="112"/>
  <c r="E37" i="112"/>
  <c r="C37" i="112"/>
  <c r="E36" i="112"/>
  <c r="C36" i="112"/>
  <c r="E35" i="112"/>
  <c r="C35" i="112"/>
  <c r="E34" i="112"/>
  <c r="C34" i="112"/>
  <c r="C33" i="112"/>
  <c r="C32" i="112"/>
  <c r="C31" i="112"/>
  <c r="C30" i="112"/>
  <c r="C29" i="112"/>
  <c r="C28" i="112"/>
  <c r="C26" i="112"/>
  <c r="H24" i="112"/>
  <c r="C24" i="112" s="1"/>
  <c r="H23" i="112"/>
  <c r="C23" i="112" s="1"/>
  <c r="J17" i="112"/>
  <c r="J16" i="112"/>
  <c r="J15" i="112"/>
  <c r="G13" i="112"/>
  <c r="F13" i="112"/>
  <c r="H12" i="112"/>
  <c r="F8" i="112"/>
  <c r="AG181" i="2" l="1"/>
  <c r="AC181" i="2"/>
  <c r="F12" i="112"/>
  <c r="J13" i="112" s="1"/>
  <c r="M70" i="173"/>
  <c r="M20" i="127"/>
  <c r="L179" i="2"/>
  <c r="L456" i="173"/>
  <c r="G471" i="173" s="1"/>
  <c r="F471" i="173" s="1"/>
  <c r="L68" i="173"/>
  <c r="L18" i="127"/>
  <c r="F9" i="112"/>
  <c r="G9" i="112" s="1"/>
  <c r="I70" i="173"/>
  <c r="W70" i="173" s="1"/>
  <c r="X70" i="173" s="1"/>
  <c r="I20" i="127"/>
  <c r="W20" i="127" s="1"/>
  <c r="X20" i="127" s="1"/>
  <c r="M181" i="2"/>
  <c r="I181" i="2"/>
  <c r="F11" i="113"/>
  <c r="J18" i="112"/>
  <c r="J12" i="112"/>
  <c r="J19" i="112"/>
  <c r="T182" i="2"/>
  <c r="G182" i="2"/>
  <c r="F182" i="2"/>
  <c r="E182" i="2"/>
  <c r="D182" i="2"/>
  <c r="E43" i="111"/>
  <c r="C43" i="111"/>
  <c r="E42" i="111"/>
  <c r="C42" i="111"/>
  <c r="E41" i="111"/>
  <c r="C41" i="111"/>
  <c r="E40" i="111"/>
  <c r="C40" i="111"/>
  <c r="E39" i="111"/>
  <c r="C39" i="111"/>
  <c r="E38" i="111"/>
  <c r="C38" i="111"/>
  <c r="E37" i="111"/>
  <c r="C37" i="111"/>
  <c r="E36" i="111"/>
  <c r="C36" i="111"/>
  <c r="E35" i="111"/>
  <c r="C35" i="111"/>
  <c r="E34" i="111"/>
  <c r="C34" i="111"/>
  <c r="K29" i="111"/>
  <c r="K28" i="111"/>
  <c r="K27" i="111"/>
  <c r="K26" i="111"/>
  <c r="K25" i="111"/>
  <c r="K24" i="111"/>
  <c r="K23" i="111"/>
  <c r="J16" i="111"/>
  <c r="J15" i="111"/>
  <c r="F7" i="111"/>
  <c r="K181" i="2" l="1"/>
  <c r="F10" i="112"/>
  <c r="V181" i="2"/>
  <c r="W181" i="2" s="1"/>
  <c r="F18" i="111"/>
  <c r="J17" i="111" s="1"/>
  <c r="H71" i="173"/>
  <c r="V71" i="173" s="1"/>
  <c r="H21" i="127"/>
  <c r="V21" i="127" s="1"/>
  <c r="I9" i="112"/>
  <c r="K70" i="173"/>
  <c r="K20" i="127"/>
  <c r="AH181" i="2"/>
  <c r="AI181" i="2" s="1"/>
  <c r="Y181" i="2"/>
  <c r="Z181" i="2" s="1"/>
  <c r="H182" i="2"/>
  <c r="H23" i="111"/>
  <c r="C23" i="111" s="1"/>
  <c r="F11" i="112"/>
  <c r="F8" i="111"/>
  <c r="F13" i="111"/>
  <c r="H24" i="111"/>
  <c r="C24" i="111" s="1"/>
  <c r="H26" i="111"/>
  <c r="C26" i="111" s="1"/>
  <c r="H27" i="111"/>
  <c r="C27" i="111" s="1"/>
  <c r="H25" i="111"/>
  <c r="C25" i="111" s="1"/>
  <c r="H28" i="111"/>
  <c r="C28" i="111" s="1"/>
  <c r="H29" i="111"/>
  <c r="C29" i="111" s="1"/>
  <c r="G13" i="111"/>
  <c r="H12" i="111"/>
  <c r="T183" i="2"/>
  <c r="G183" i="2"/>
  <c r="F183" i="2"/>
  <c r="E183" i="2"/>
  <c r="D183" i="2"/>
  <c r="L31" i="110"/>
  <c r="L30" i="110"/>
  <c r="L29" i="110"/>
  <c r="L28" i="110"/>
  <c r="E43" i="110"/>
  <c r="C43" i="110"/>
  <c r="E42" i="110"/>
  <c r="C42" i="110"/>
  <c r="E41" i="110"/>
  <c r="C41" i="110"/>
  <c r="E40" i="110"/>
  <c r="C40" i="110"/>
  <c r="E39" i="110"/>
  <c r="C39" i="110"/>
  <c r="E38" i="110"/>
  <c r="C38" i="110"/>
  <c r="E37" i="110"/>
  <c r="C37" i="110"/>
  <c r="E36" i="110"/>
  <c r="C36" i="110"/>
  <c r="E35" i="110"/>
  <c r="C35" i="110"/>
  <c r="E34" i="110"/>
  <c r="C34" i="110"/>
  <c r="E33" i="110"/>
  <c r="C33" i="110"/>
  <c r="E32" i="110"/>
  <c r="C32" i="110"/>
  <c r="L27" i="110"/>
  <c r="L26" i="110"/>
  <c r="L25" i="110"/>
  <c r="L24" i="110"/>
  <c r="L23" i="110"/>
  <c r="J16" i="110"/>
  <c r="J15" i="110"/>
  <c r="N11" i="110"/>
  <c r="N10" i="110"/>
  <c r="F7" i="110"/>
  <c r="AG182" i="2" l="1"/>
  <c r="AC182" i="2"/>
  <c r="I71" i="173"/>
  <c r="W71" i="173" s="1"/>
  <c r="X71" i="173" s="1"/>
  <c r="I21" i="127"/>
  <c r="W21" i="127" s="1"/>
  <c r="X21" i="127" s="1"/>
  <c r="H31" i="110"/>
  <c r="E31" i="110" s="1"/>
  <c r="L181" i="2"/>
  <c r="L70" i="173"/>
  <c r="L20" i="127"/>
  <c r="F18" i="110"/>
  <c r="J17" i="110" s="1"/>
  <c r="H72" i="173"/>
  <c r="V72" i="173" s="1"/>
  <c r="H22" i="127"/>
  <c r="V22" i="127" s="1"/>
  <c r="H28" i="110"/>
  <c r="C28" i="110" s="1"/>
  <c r="M71" i="173"/>
  <c r="M21" i="127"/>
  <c r="H183" i="2"/>
  <c r="F12" i="111"/>
  <c r="M182" i="2"/>
  <c r="H30" i="110"/>
  <c r="E30" i="110" s="1"/>
  <c r="J12" i="111"/>
  <c r="I182" i="2"/>
  <c r="J18" i="111"/>
  <c r="F9" i="111"/>
  <c r="G9" i="111" s="1"/>
  <c r="J19" i="111"/>
  <c r="H29" i="110"/>
  <c r="C29" i="110" s="1"/>
  <c r="H26" i="110"/>
  <c r="C26" i="110" s="1"/>
  <c r="H23" i="110"/>
  <c r="C23" i="110" s="1"/>
  <c r="H12" i="110"/>
  <c r="G13" i="110"/>
  <c r="H24" i="110"/>
  <c r="C24" i="110" s="1"/>
  <c r="H27" i="110"/>
  <c r="C27" i="110" s="1"/>
  <c r="H25" i="110"/>
  <c r="C25" i="110" s="1"/>
  <c r="F8" i="110"/>
  <c r="F13" i="110"/>
  <c r="T184" i="2"/>
  <c r="H184" i="2"/>
  <c r="G184" i="2"/>
  <c r="F184" i="2"/>
  <c r="E184" i="2"/>
  <c r="D184" i="2"/>
  <c r="E43" i="109"/>
  <c r="C43" i="109"/>
  <c r="E42" i="109"/>
  <c r="C42" i="109"/>
  <c r="E41" i="109"/>
  <c r="C41" i="109"/>
  <c r="E40" i="109"/>
  <c r="C40" i="109"/>
  <c r="E39" i="109"/>
  <c r="C39" i="109"/>
  <c r="E38" i="109"/>
  <c r="C38" i="109"/>
  <c r="E37" i="109"/>
  <c r="C37" i="109"/>
  <c r="E36" i="109"/>
  <c r="C36" i="109"/>
  <c r="E35" i="109"/>
  <c r="C35" i="109"/>
  <c r="E34" i="109"/>
  <c r="C34" i="109"/>
  <c r="C33" i="109"/>
  <c r="C32" i="109"/>
  <c r="C31" i="109"/>
  <c r="C30" i="109"/>
  <c r="C29" i="109"/>
  <c r="C28" i="109"/>
  <c r="C27" i="109"/>
  <c r="C26" i="109"/>
  <c r="H25" i="109"/>
  <c r="C25" i="109" s="1"/>
  <c r="H24" i="109"/>
  <c r="C24" i="109" s="1"/>
  <c r="H23" i="109"/>
  <c r="C23" i="109" s="1"/>
  <c r="J17" i="109"/>
  <c r="J16" i="109"/>
  <c r="J15" i="109"/>
  <c r="G13" i="109"/>
  <c r="F13" i="109"/>
  <c r="H12" i="109"/>
  <c r="F8" i="109"/>
  <c r="K161" i="99"/>
  <c r="K160" i="99"/>
  <c r="K159" i="99"/>
  <c r="H144" i="99"/>
  <c r="H152" i="99"/>
  <c r="H151" i="99"/>
  <c r="H150" i="99"/>
  <c r="H149" i="99"/>
  <c r="H148" i="99"/>
  <c r="H146" i="99"/>
  <c r="H145" i="99"/>
  <c r="H147" i="99"/>
  <c r="I141" i="99"/>
  <c r="I161" i="99" s="1"/>
  <c r="H141" i="99"/>
  <c r="H161" i="99" s="1"/>
  <c r="I133" i="99"/>
  <c r="I159" i="99" s="1"/>
  <c r="H133" i="99"/>
  <c r="I113" i="99"/>
  <c r="H113" i="99"/>
  <c r="H160" i="99" s="1"/>
  <c r="L141" i="99"/>
  <c r="L161" i="99" s="1"/>
  <c r="L133" i="99"/>
  <c r="M133" i="99" s="1"/>
  <c r="M160" i="99" s="1"/>
  <c r="L113" i="99"/>
  <c r="M113" i="99" s="1"/>
  <c r="M159" i="99" s="1"/>
  <c r="AG184" i="2" l="1"/>
  <c r="AC184" i="2"/>
  <c r="AG183" i="2"/>
  <c r="AC183" i="2"/>
  <c r="C30" i="110"/>
  <c r="F10" i="111"/>
  <c r="J13" i="111"/>
  <c r="F11" i="111" s="1"/>
  <c r="V182" i="2"/>
  <c r="W182" i="2" s="1"/>
  <c r="C31" i="110"/>
  <c r="M184" i="2"/>
  <c r="M73" i="173"/>
  <c r="M23" i="127"/>
  <c r="I183" i="2"/>
  <c r="I72" i="173"/>
  <c r="W72" i="173" s="1"/>
  <c r="X72" i="173" s="1"/>
  <c r="I22" i="127"/>
  <c r="W22" i="127" s="1"/>
  <c r="X22" i="127" s="1"/>
  <c r="M72" i="173"/>
  <c r="M22" i="127"/>
  <c r="K71" i="173"/>
  <c r="K21" i="127"/>
  <c r="F9" i="109"/>
  <c r="G9" i="109" s="1"/>
  <c r="K184" i="2" s="1"/>
  <c r="I73" i="173"/>
  <c r="W73" i="173" s="1"/>
  <c r="X73" i="173" s="1"/>
  <c r="I23" i="127"/>
  <c r="W23" i="127" s="1"/>
  <c r="X23" i="127" s="1"/>
  <c r="AH182" i="2"/>
  <c r="AI182" i="2" s="1"/>
  <c r="Y182" i="2"/>
  <c r="Z182" i="2" s="1"/>
  <c r="K113" i="99"/>
  <c r="J160" i="99" s="1"/>
  <c r="K133" i="99"/>
  <c r="J159" i="99" s="1"/>
  <c r="F12" i="109"/>
  <c r="I9" i="111"/>
  <c r="K182" i="2"/>
  <c r="H159" i="99"/>
  <c r="I160" i="99"/>
  <c r="K141" i="99"/>
  <c r="J161" i="99" s="1"/>
  <c r="L160" i="99"/>
  <c r="F12" i="110"/>
  <c r="M183" i="2"/>
  <c r="L159" i="99"/>
  <c r="I184" i="2"/>
  <c r="N12" i="110"/>
  <c r="J18" i="110"/>
  <c r="J12" i="110"/>
  <c r="F9" i="110"/>
  <c r="G9" i="110" s="1"/>
  <c r="J19" i="110"/>
  <c r="J18" i="109"/>
  <c r="J12" i="109"/>
  <c r="J19" i="109"/>
  <c r="L143" i="99"/>
  <c r="M141" i="99"/>
  <c r="M161" i="99" s="1"/>
  <c r="T185" i="2"/>
  <c r="H185" i="2"/>
  <c r="G185" i="2"/>
  <c r="F185" i="2"/>
  <c r="E185" i="2"/>
  <c r="D185" i="2"/>
  <c r="H25" i="108"/>
  <c r="C25" i="108" s="1"/>
  <c r="E43" i="108"/>
  <c r="C43" i="108"/>
  <c r="E42" i="108"/>
  <c r="C42" i="108"/>
  <c r="E41" i="108"/>
  <c r="C41" i="108"/>
  <c r="E40" i="108"/>
  <c r="C40" i="108"/>
  <c r="E39" i="108"/>
  <c r="C39" i="108"/>
  <c r="E38" i="108"/>
  <c r="C38" i="108"/>
  <c r="E37" i="108"/>
  <c r="C37" i="108"/>
  <c r="E36" i="108"/>
  <c r="C36" i="108"/>
  <c r="E35" i="108"/>
  <c r="C35" i="108"/>
  <c r="E34" i="108"/>
  <c r="C34" i="108"/>
  <c r="C33" i="108"/>
  <c r="C32" i="108"/>
  <c r="C31" i="108"/>
  <c r="C30" i="108"/>
  <c r="C29" i="108"/>
  <c r="C28" i="108"/>
  <c r="C27" i="108"/>
  <c r="C26" i="108"/>
  <c r="H24" i="108"/>
  <c r="C24" i="108" s="1"/>
  <c r="H23" i="108"/>
  <c r="C23" i="108" s="1"/>
  <c r="J17" i="108"/>
  <c r="J16" i="108"/>
  <c r="J15" i="108"/>
  <c r="G13" i="108"/>
  <c r="F13" i="108"/>
  <c r="H12" i="108"/>
  <c r="F8" i="108"/>
  <c r="AG185" i="2" l="1"/>
  <c r="AC185" i="2"/>
  <c r="L182" i="2"/>
  <c r="F12" i="108"/>
  <c r="V185" i="2" s="1"/>
  <c r="L21" i="127"/>
  <c r="J13" i="110"/>
  <c r="F11" i="110" s="1"/>
  <c r="V183" i="2"/>
  <c r="W183" i="2" s="1"/>
  <c r="F10" i="109"/>
  <c r="V184" i="2"/>
  <c r="W184" i="2" s="1"/>
  <c r="L71" i="173"/>
  <c r="J13" i="109"/>
  <c r="F10" i="110"/>
  <c r="AH183" i="2"/>
  <c r="AI183" i="2" s="1"/>
  <c r="Y183" i="2"/>
  <c r="Z183" i="2" s="1"/>
  <c r="I9" i="109"/>
  <c r="K73" i="173"/>
  <c r="K23" i="127"/>
  <c r="K72" i="173"/>
  <c r="K22" i="127"/>
  <c r="F9" i="108"/>
  <c r="G9" i="108" s="1"/>
  <c r="I74" i="173"/>
  <c r="W74" i="173" s="1"/>
  <c r="X74" i="173" s="1"/>
  <c r="I24" i="127"/>
  <c r="W24" i="127" s="1"/>
  <c r="X24" i="127" s="1"/>
  <c r="M185" i="2"/>
  <c r="M74" i="173"/>
  <c r="M24" i="127"/>
  <c r="AH184" i="2"/>
  <c r="AI184" i="2" s="1"/>
  <c r="Y184" i="2"/>
  <c r="Z184" i="2" s="1"/>
  <c r="I185" i="2"/>
  <c r="I9" i="110"/>
  <c r="K183" i="2"/>
  <c r="F11" i="109"/>
  <c r="J18" i="108"/>
  <c r="J12" i="108"/>
  <c r="J19" i="108"/>
  <c r="T186" i="2"/>
  <c r="G186" i="2"/>
  <c r="F186" i="2"/>
  <c r="E186" i="2"/>
  <c r="D186" i="2"/>
  <c r="L25" i="107"/>
  <c r="E43" i="107"/>
  <c r="C43" i="107"/>
  <c r="E42" i="107"/>
  <c r="C42" i="107"/>
  <c r="E41" i="107"/>
  <c r="C41" i="107"/>
  <c r="E40" i="107"/>
  <c r="C40" i="107"/>
  <c r="E39" i="107"/>
  <c r="C39" i="107"/>
  <c r="E38" i="107"/>
  <c r="C38" i="107"/>
  <c r="E37" i="107"/>
  <c r="C37" i="107"/>
  <c r="E36" i="107"/>
  <c r="C36" i="107"/>
  <c r="E35" i="107"/>
  <c r="C35" i="107"/>
  <c r="E34" i="107"/>
  <c r="C34" i="107"/>
  <c r="E33" i="107"/>
  <c r="C33" i="107"/>
  <c r="E32" i="107"/>
  <c r="C32" i="107"/>
  <c r="E31" i="107"/>
  <c r="C31" i="107"/>
  <c r="E30" i="107"/>
  <c r="C30" i="107"/>
  <c r="C29" i="107"/>
  <c r="C28" i="107"/>
  <c r="C27" i="107"/>
  <c r="C26" i="107"/>
  <c r="L24" i="107"/>
  <c r="L23" i="107"/>
  <c r="J16" i="107"/>
  <c r="J15" i="107"/>
  <c r="N11" i="107"/>
  <c r="N10" i="107"/>
  <c r="F7" i="107"/>
  <c r="J13" i="108" l="1"/>
  <c r="K185" i="2"/>
  <c r="F10" i="108"/>
  <c r="W185" i="2"/>
  <c r="L183" i="2"/>
  <c r="L72" i="173"/>
  <c r="L22" i="127"/>
  <c r="L184" i="2"/>
  <c r="L73" i="173"/>
  <c r="L23" i="127"/>
  <c r="F18" i="107"/>
  <c r="J17" i="107" s="1"/>
  <c r="H75" i="173"/>
  <c r="V75" i="173" s="1"/>
  <c r="H25" i="127"/>
  <c r="V25" i="127" s="1"/>
  <c r="I9" i="108"/>
  <c r="K74" i="173"/>
  <c r="K24" i="127"/>
  <c r="H25" i="107"/>
  <c r="C25" i="107" s="1"/>
  <c r="AH185" i="2"/>
  <c r="AI185" i="2" s="1"/>
  <c r="Y185" i="2"/>
  <c r="Z185" i="2" s="1"/>
  <c r="H186" i="2"/>
  <c r="F11" i="108"/>
  <c r="H23" i="107"/>
  <c r="G13" i="107"/>
  <c r="H24" i="107"/>
  <c r="C24" i="107" s="1"/>
  <c r="H12" i="107"/>
  <c r="F8" i="107"/>
  <c r="F13" i="107"/>
  <c r="T187" i="2"/>
  <c r="G187" i="2"/>
  <c r="F187" i="2"/>
  <c r="E187" i="2"/>
  <c r="D187" i="2"/>
  <c r="E43" i="106"/>
  <c r="C43" i="106"/>
  <c r="E42" i="106"/>
  <c r="C42" i="106"/>
  <c r="E41" i="106"/>
  <c r="C41" i="106"/>
  <c r="E40" i="106"/>
  <c r="C40" i="106"/>
  <c r="E39" i="106"/>
  <c r="C39" i="106"/>
  <c r="E38" i="106"/>
  <c r="C38" i="106"/>
  <c r="E37" i="106"/>
  <c r="C37" i="106"/>
  <c r="E36" i="106"/>
  <c r="C36" i="106"/>
  <c r="E35" i="106"/>
  <c r="C35" i="106"/>
  <c r="E34" i="106"/>
  <c r="C34" i="106"/>
  <c r="E33" i="106"/>
  <c r="C33" i="106"/>
  <c r="E32" i="106"/>
  <c r="C32" i="106"/>
  <c r="E31" i="106"/>
  <c r="C31" i="106"/>
  <c r="E30" i="106"/>
  <c r="C30" i="106"/>
  <c r="L24" i="106"/>
  <c r="L23" i="106"/>
  <c r="J16" i="106"/>
  <c r="J15" i="106"/>
  <c r="N11" i="106"/>
  <c r="N10" i="106"/>
  <c r="F7" i="106"/>
  <c r="AG186" i="2" l="1"/>
  <c r="AC186" i="2"/>
  <c r="N12" i="107"/>
  <c r="F18" i="106"/>
  <c r="J17" i="106" s="1"/>
  <c r="H76" i="173"/>
  <c r="H26" i="127"/>
  <c r="V26" i="127" s="1"/>
  <c r="I186" i="2"/>
  <c r="AH186" i="2" s="1"/>
  <c r="AI186" i="2" s="1"/>
  <c r="I75" i="173"/>
  <c r="W75" i="173" s="1"/>
  <c r="X75" i="173" s="1"/>
  <c r="I25" i="127"/>
  <c r="W25" i="127" s="1"/>
  <c r="X25" i="127" s="1"/>
  <c r="M75" i="173"/>
  <c r="M25" i="127"/>
  <c r="L185" i="2"/>
  <c r="L74" i="173"/>
  <c r="L24" i="127"/>
  <c r="H187" i="2"/>
  <c r="AC187" i="2" s="1"/>
  <c r="C23" i="107"/>
  <c r="F12" i="107"/>
  <c r="M186" i="2"/>
  <c r="J18" i="107"/>
  <c r="F9" i="107"/>
  <c r="G9" i="107" s="1"/>
  <c r="J19" i="107"/>
  <c r="J12" i="107"/>
  <c r="H12" i="106"/>
  <c r="F13" i="106"/>
  <c r="H23" i="106"/>
  <c r="C23" i="106" s="1"/>
  <c r="C28" i="106"/>
  <c r="C27" i="106"/>
  <c r="C25" i="106"/>
  <c r="G13" i="106"/>
  <c r="F8" i="106"/>
  <c r="H24" i="106"/>
  <c r="C24" i="106" s="1"/>
  <c r="C26" i="106"/>
  <c r="C29" i="106"/>
  <c r="G71" i="99"/>
  <c r="S7" i="99"/>
  <c r="H7" i="99"/>
  <c r="V7" i="99" s="1"/>
  <c r="G7" i="99"/>
  <c r="F7" i="99"/>
  <c r="E7" i="99"/>
  <c r="D7" i="99"/>
  <c r="T189" i="2"/>
  <c r="H189" i="2"/>
  <c r="G189" i="2"/>
  <c r="F189" i="2"/>
  <c r="E189" i="2"/>
  <c r="D189" i="2"/>
  <c r="E43" i="105"/>
  <c r="C43" i="105"/>
  <c r="E42" i="105"/>
  <c r="C42" i="105"/>
  <c r="E41" i="105"/>
  <c r="C41" i="105"/>
  <c r="E40" i="105"/>
  <c r="C40" i="105"/>
  <c r="E39" i="105"/>
  <c r="C39" i="105"/>
  <c r="E38" i="105"/>
  <c r="C38" i="105"/>
  <c r="E37" i="105"/>
  <c r="C37" i="105"/>
  <c r="E36" i="105"/>
  <c r="C36" i="105"/>
  <c r="E35" i="105"/>
  <c r="C35" i="105"/>
  <c r="E34" i="105"/>
  <c r="C34" i="105"/>
  <c r="C33" i="105"/>
  <c r="C32" i="105"/>
  <c r="C31" i="105"/>
  <c r="C30" i="105"/>
  <c r="C29" i="105"/>
  <c r="C28" i="105"/>
  <c r="C27" i="105"/>
  <c r="C26" i="105"/>
  <c r="C25" i="105"/>
  <c r="H24" i="105"/>
  <c r="C24" i="105" s="1"/>
  <c r="H23" i="105"/>
  <c r="C23" i="105" s="1"/>
  <c r="J17" i="105"/>
  <c r="J16" i="105"/>
  <c r="J15" i="105"/>
  <c r="G13" i="105"/>
  <c r="F13" i="105"/>
  <c r="H12" i="105"/>
  <c r="F8" i="105"/>
  <c r="AG189" i="2" l="1"/>
  <c r="AC189" i="2"/>
  <c r="V186" i="2"/>
  <c r="W186" i="2" s="1"/>
  <c r="J18" i="106"/>
  <c r="Y186" i="2"/>
  <c r="Z186" i="2" s="1"/>
  <c r="AG187" i="2"/>
  <c r="AK187" i="2"/>
  <c r="AO187" i="2" s="1"/>
  <c r="I76" i="173"/>
  <c r="I26" i="127"/>
  <c r="W26" i="127" s="1"/>
  <c r="X26" i="127" s="1"/>
  <c r="V76" i="173"/>
  <c r="H85" i="173"/>
  <c r="M7" i="99"/>
  <c r="M232" i="99"/>
  <c r="M9" i="138"/>
  <c r="J12" i="106"/>
  <c r="K75" i="173"/>
  <c r="K25" i="127"/>
  <c r="F9" i="105"/>
  <c r="G9" i="105" s="1"/>
  <c r="I232" i="99"/>
  <c r="W232" i="99" s="1"/>
  <c r="X232" i="99" s="1"/>
  <c r="I9" i="138"/>
  <c r="W9" i="138" s="1"/>
  <c r="X9" i="138" s="1"/>
  <c r="M76" i="173"/>
  <c r="H97" i="173" s="1"/>
  <c r="M26" i="127"/>
  <c r="F12" i="105"/>
  <c r="M189" i="2"/>
  <c r="I189" i="2"/>
  <c r="F12" i="106"/>
  <c r="M187" i="2"/>
  <c r="J19" i="106"/>
  <c r="I187" i="2"/>
  <c r="I7" i="99"/>
  <c r="W7" i="99" s="1"/>
  <c r="X7" i="99" s="1"/>
  <c r="J13" i="107"/>
  <c r="F11" i="107" s="1"/>
  <c r="F10" i="107"/>
  <c r="I9" i="107"/>
  <c r="K186" i="2"/>
  <c r="N12" i="106"/>
  <c r="F9" i="106"/>
  <c r="G9" i="106" s="1"/>
  <c r="J18" i="105"/>
  <c r="J12" i="105"/>
  <c r="J19" i="105"/>
  <c r="S8" i="99"/>
  <c r="G8" i="99"/>
  <c r="F8" i="99"/>
  <c r="E8" i="99"/>
  <c r="D8" i="99"/>
  <c r="T190" i="2"/>
  <c r="G190" i="2"/>
  <c r="F190" i="2"/>
  <c r="E190" i="2"/>
  <c r="D190" i="2"/>
  <c r="K30" i="104"/>
  <c r="E43" i="104"/>
  <c r="C43" i="104"/>
  <c r="E42" i="104"/>
  <c r="C42" i="104"/>
  <c r="E41" i="104"/>
  <c r="C41" i="104"/>
  <c r="E40" i="104"/>
  <c r="C40" i="104"/>
  <c r="E39" i="104"/>
  <c r="C39" i="104"/>
  <c r="E38" i="104"/>
  <c r="C38" i="104"/>
  <c r="E37" i="104"/>
  <c r="C37" i="104"/>
  <c r="E36" i="104"/>
  <c r="C36" i="104"/>
  <c r="C35" i="104"/>
  <c r="C34" i="104"/>
  <c r="C33" i="104"/>
  <c r="C32" i="104"/>
  <c r="C31" i="104"/>
  <c r="K29" i="104"/>
  <c r="K28" i="104"/>
  <c r="K27" i="104"/>
  <c r="K26" i="104"/>
  <c r="K25" i="104"/>
  <c r="K24" i="104"/>
  <c r="K23" i="104"/>
  <c r="J16" i="104"/>
  <c r="J15" i="104"/>
  <c r="F7" i="104"/>
  <c r="J13" i="106" l="1"/>
  <c r="F11" i="106" s="1"/>
  <c r="K7" i="99"/>
  <c r="K189" i="2"/>
  <c r="F10" i="106"/>
  <c r="V187" i="2"/>
  <c r="W187" i="2" s="1"/>
  <c r="F10" i="105"/>
  <c r="V189" i="2"/>
  <c r="W189" i="2" s="1"/>
  <c r="AL187" i="2"/>
  <c r="AM187" i="2" s="1"/>
  <c r="J13" i="105"/>
  <c r="F11" i="105" s="1"/>
  <c r="I9" i="105"/>
  <c r="K232" i="99"/>
  <c r="K9" i="138"/>
  <c r="L186" i="2"/>
  <c r="L75" i="173"/>
  <c r="L25" i="127"/>
  <c r="H30" i="104"/>
  <c r="C30" i="104" s="1"/>
  <c r="K76" i="173"/>
  <c r="K26" i="127"/>
  <c r="H190" i="2"/>
  <c r="H190" i="99"/>
  <c r="V190" i="99" s="1"/>
  <c r="W76" i="173"/>
  <c r="X76" i="173" s="1"/>
  <c r="I85" i="173"/>
  <c r="AH189" i="2"/>
  <c r="AI189" i="2" s="1"/>
  <c r="Y189" i="2"/>
  <c r="Z189" i="2" s="1"/>
  <c r="AH187" i="2"/>
  <c r="AI187" i="2" s="1"/>
  <c r="Y187" i="2"/>
  <c r="Z187" i="2" s="1"/>
  <c r="H8" i="99"/>
  <c r="V8" i="99" s="1"/>
  <c r="I9" i="106"/>
  <c r="K187" i="2"/>
  <c r="F13" i="104"/>
  <c r="G13" i="104"/>
  <c r="F8" i="104"/>
  <c r="H12" i="104"/>
  <c r="H23" i="104"/>
  <c r="C23" i="104" s="1"/>
  <c r="H26" i="104"/>
  <c r="C26" i="104" s="1"/>
  <c r="H28" i="104"/>
  <c r="C28" i="104" s="1"/>
  <c r="H29" i="104"/>
  <c r="C29" i="104" s="1"/>
  <c r="H27" i="104"/>
  <c r="C27" i="104" s="1"/>
  <c r="H25" i="104"/>
  <c r="C25" i="104" s="1"/>
  <c r="F18" i="104"/>
  <c r="J17" i="104" s="1"/>
  <c r="H24" i="104"/>
  <c r="C24" i="104" s="1"/>
  <c r="S10" i="99"/>
  <c r="G10" i="99"/>
  <c r="F10" i="99"/>
  <c r="E10" i="99"/>
  <c r="D10" i="99"/>
  <c r="S9" i="99"/>
  <c r="H9" i="99"/>
  <c r="V9" i="99" s="1"/>
  <c r="G9" i="99"/>
  <c r="F9" i="99"/>
  <c r="E9" i="99"/>
  <c r="D9" i="99"/>
  <c r="T191" i="2"/>
  <c r="AH191" i="2"/>
  <c r="AG191" i="2"/>
  <c r="F191" i="2"/>
  <c r="E191" i="2"/>
  <c r="D191" i="2"/>
  <c r="E43" i="103"/>
  <c r="C43" i="103"/>
  <c r="E42" i="103"/>
  <c r="C42" i="103"/>
  <c r="E41" i="103"/>
  <c r="C41" i="103"/>
  <c r="E40" i="103"/>
  <c r="C40" i="103"/>
  <c r="E39" i="103"/>
  <c r="C39" i="103"/>
  <c r="E38" i="103"/>
  <c r="C38" i="103"/>
  <c r="E37" i="103"/>
  <c r="C37" i="103"/>
  <c r="E36" i="103"/>
  <c r="C36" i="103"/>
  <c r="E35" i="103"/>
  <c r="C35" i="103"/>
  <c r="E34" i="103"/>
  <c r="C34" i="103"/>
  <c r="C33" i="103"/>
  <c r="C32" i="103"/>
  <c r="C31" i="103"/>
  <c r="C30" i="103"/>
  <c r="C29" i="103"/>
  <c r="C28" i="103"/>
  <c r="C27" i="103"/>
  <c r="C26" i="103"/>
  <c r="C25" i="103"/>
  <c r="C24" i="103"/>
  <c r="H23" i="103"/>
  <c r="C23" i="103" s="1"/>
  <c r="J17" i="103"/>
  <c r="J16" i="103"/>
  <c r="J15" i="103"/>
  <c r="G13" i="103"/>
  <c r="F13" i="103"/>
  <c r="H12" i="103"/>
  <c r="F8" i="103"/>
  <c r="T192" i="2"/>
  <c r="G192" i="2"/>
  <c r="F192" i="2"/>
  <c r="E192" i="2"/>
  <c r="D192" i="2"/>
  <c r="E43" i="102"/>
  <c r="C43" i="102"/>
  <c r="E42" i="102"/>
  <c r="C42" i="102"/>
  <c r="E41" i="102"/>
  <c r="C41" i="102"/>
  <c r="E40" i="102"/>
  <c r="C40" i="102"/>
  <c r="E39" i="102"/>
  <c r="C39" i="102"/>
  <c r="E38" i="102"/>
  <c r="C38" i="102"/>
  <c r="E37" i="102"/>
  <c r="C37" i="102"/>
  <c r="E36" i="102"/>
  <c r="C36" i="102"/>
  <c r="C35" i="102"/>
  <c r="C34" i="102"/>
  <c r="C33" i="102"/>
  <c r="C32" i="102"/>
  <c r="C31" i="102"/>
  <c r="C30" i="102"/>
  <c r="K29" i="102"/>
  <c r="K28" i="102"/>
  <c r="K27" i="102"/>
  <c r="K26" i="102"/>
  <c r="K25" i="102"/>
  <c r="K24" i="102"/>
  <c r="K23" i="102"/>
  <c r="J16" i="102"/>
  <c r="J15" i="102"/>
  <c r="F7" i="102"/>
  <c r="AG190" i="2" l="1"/>
  <c r="AC190" i="2"/>
  <c r="I190" i="99"/>
  <c r="W190" i="99" s="1"/>
  <c r="X190" i="99" s="1"/>
  <c r="L187" i="2"/>
  <c r="M190" i="99"/>
  <c r="L76" i="173"/>
  <c r="L85" i="173" s="1"/>
  <c r="L26" i="127"/>
  <c r="B187" i="2"/>
  <c r="AP187" i="2"/>
  <c r="AQ187" i="2" s="1"/>
  <c r="F18" i="102"/>
  <c r="J17" i="102" s="1"/>
  <c r="H211" i="99"/>
  <c r="V211" i="99" s="1"/>
  <c r="M9" i="99"/>
  <c r="M233" i="99"/>
  <c r="L232" i="99"/>
  <c r="L9" i="138"/>
  <c r="H96" i="173"/>
  <c r="J85" i="173"/>
  <c r="H98" i="173" s="1"/>
  <c r="F9" i="103"/>
  <c r="G9" i="103" s="1"/>
  <c r="I233" i="99"/>
  <c r="W233" i="99" s="1"/>
  <c r="X233" i="99" s="1"/>
  <c r="H10" i="99"/>
  <c r="V10" i="99" s="1"/>
  <c r="H192" i="2"/>
  <c r="F12" i="103"/>
  <c r="F12" i="104"/>
  <c r="M190" i="2"/>
  <c r="M8" i="99"/>
  <c r="I9" i="99"/>
  <c r="W9" i="99" s="1"/>
  <c r="X9" i="99" s="1"/>
  <c r="F9" i="104"/>
  <c r="G9" i="104" s="1"/>
  <c r="I8" i="99"/>
  <c r="W8" i="99" s="1"/>
  <c r="X8" i="99" s="1"/>
  <c r="I190" i="2"/>
  <c r="L189" i="2"/>
  <c r="L7" i="99"/>
  <c r="J12" i="104"/>
  <c r="J19" i="104"/>
  <c r="J18" i="104"/>
  <c r="AI191" i="2"/>
  <c r="J18" i="103"/>
  <c r="J12" i="103"/>
  <c r="F11" i="103" s="1"/>
  <c r="J19" i="103"/>
  <c r="F13" i="102"/>
  <c r="H29" i="102"/>
  <c r="C29" i="102" s="1"/>
  <c r="G13" i="102"/>
  <c r="H24" i="102"/>
  <c r="C24" i="102" s="1"/>
  <c r="H26" i="102"/>
  <c r="C26" i="102" s="1"/>
  <c r="H28" i="102"/>
  <c r="C28" i="102" s="1"/>
  <c r="H12" i="102"/>
  <c r="H23" i="102"/>
  <c r="C23" i="102" s="1"/>
  <c r="H27" i="102"/>
  <c r="C27" i="102" s="1"/>
  <c r="F8" i="102"/>
  <c r="H25" i="102"/>
  <c r="C25" i="102" s="1"/>
  <c r="J7" i="101"/>
  <c r="AG192" i="2" l="1"/>
  <c r="AC192" i="2"/>
  <c r="L80" i="173"/>
  <c r="H92" i="173" s="1"/>
  <c r="M211" i="99"/>
  <c r="I211" i="99"/>
  <c r="W211" i="99" s="1"/>
  <c r="X211" i="99" s="1"/>
  <c r="K190" i="99"/>
  <c r="J13" i="104"/>
  <c r="F11" i="104" s="1"/>
  <c r="V190" i="2"/>
  <c r="W190" i="2" s="1"/>
  <c r="F10" i="104"/>
  <c r="I9" i="103"/>
  <c r="K233" i="99"/>
  <c r="L9" i="99"/>
  <c r="L233" i="99"/>
  <c r="K9" i="99"/>
  <c r="AH190" i="2"/>
  <c r="AI190" i="2" s="1"/>
  <c r="Y190" i="2"/>
  <c r="Z190" i="2" s="1"/>
  <c r="F12" i="102"/>
  <c r="M192" i="2"/>
  <c r="M10" i="99"/>
  <c r="J13" i="103"/>
  <c r="F10" i="103"/>
  <c r="I192" i="2"/>
  <c r="I10" i="99"/>
  <c r="W10" i="99" s="1"/>
  <c r="X10" i="99" s="1"/>
  <c r="I9" i="104"/>
  <c r="K8" i="99"/>
  <c r="K190" i="2"/>
  <c r="J19" i="102"/>
  <c r="F9" i="102"/>
  <c r="G9" i="102" s="1"/>
  <c r="J18" i="102"/>
  <c r="J12" i="102"/>
  <c r="S11" i="99"/>
  <c r="G11" i="99"/>
  <c r="F11" i="99"/>
  <c r="E11" i="99"/>
  <c r="D11" i="99"/>
  <c r="T193" i="2"/>
  <c r="G193" i="2"/>
  <c r="F193" i="2"/>
  <c r="E193" i="2"/>
  <c r="D193" i="2"/>
  <c r="C32" i="101"/>
  <c r="C33" i="101"/>
  <c r="C34" i="101"/>
  <c r="C35" i="101"/>
  <c r="C36" i="101"/>
  <c r="K23" i="101"/>
  <c r="K24" i="101"/>
  <c r="K25" i="101"/>
  <c r="K26" i="101"/>
  <c r="K27" i="101"/>
  <c r="K28" i="101"/>
  <c r="K29" i="101"/>
  <c r="E43" i="101"/>
  <c r="C43" i="101"/>
  <c r="E42" i="101"/>
  <c r="C42" i="101"/>
  <c r="E41" i="101"/>
  <c r="C41" i="101"/>
  <c r="E40" i="101"/>
  <c r="C40" i="101"/>
  <c r="E39" i="101"/>
  <c r="C39" i="101"/>
  <c r="E38" i="101"/>
  <c r="C38" i="101"/>
  <c r="E37" i="101"/>
  <c r="C37" i="101"/>
  <c r="E36" i="101"/>
  <c r="J16" i="101"/>
  <c r="J15" i="101"/>
  <c r="F7" i="101"/>
  <c r="L82" i="173" l="1"/>
  <c r="L83" i="173" s="1"/>
  <c r="H100" i="173" s="1"/>
  <c r="F10" i="102"/>
  <c r="K211" i="99"/>
  <c r="L190" i="99"/>
  <c r="L190" i="2"/>
  <c r="L8" i="99"/>
  <c r="J13" i="102"/>
  <c r="F11" i="102" s="1"/>
  <c r="V192" i="2"/>
  <c r="W192" i="2" s="1"/>
  <c r="H107" i="173"/>
  <c r="H105" i="173"/>
  <c r="H93" i="173"/>
  <c r="H101" i="173" s="1"/>
  <c r="H193" i="2"/>
  <c r="H212" i="99"/>
  <c r="V212" i="99" s="1"/>
  <c r="AH192" i="2"/>
  <c r="AI192" i="2" s="1"/>
  <c r="Y192" i="2"/>
  <c r="Z192" i="2" s="1"/>
  <c r="I9" i="102"/>
  <c r="K10" i="99"/>
  <c r="K192" i="2"/>
  <c r="H11" i="99"/>
  <c r="V11" i="99" s="1"/>
  <c r="F13" i="101"/>
  <c r="F8" i="101"/>
  <c r="H29" i="101"/>
  <c r="C29" i="101" s="1"/>
  <c r="G13" i="101"/>
  <c r="C30" i="101"/>
  <c r="H26" i="101"/>
  <c r="C26" i="101" s="1"/>
  <c r="H25" i="101"/>
  <c r="C25" i="101" s="1"/>
  <c r="H28" i="101"/>
  <c r="C28" i="101" s="1"/>
  <c r="H24" i="101"/>
  <c r="C24" i="101" s="1"/>
  <c r="C31" i="101"/>
  <c r="H27" i="101"/>
  <c r="C27" i="101" s="1"/>
  <c r="H23" i="101"/>
  <c r="C23" i="101" s="1"/>
  <c r="H12" i="101"/>
  <c r="F18" i="101"/>
  <c r="J17" i="101" s="1"/>
  <c r="F71" i="99"/>
  <c r="F77" i="99"/>
  <c r="F73" i="99"/>
  <c r="AG193" i="2" l="1"/>
  <c r="AC193" i="2"/>
  <c r="L87" i="173"/>
  <c r="L88" i="173" s="1"/>
  <c r="I212" i="99"/>
  <c r="W212" i="99" s="1"/>
  <c r="X212" i="99" s="1"/>
  <c r="L211" i="99"/>
  <c r="L10" i="99"/>
  <c r="L192" i="2"/>
  <c r="M11" i="99"/>
  <c r="M212" i="99"/>
  <c r="J19" i="101"/>
  <c r="I11" i="99"/>
  <c r="W11" i="99" s="1"/>
  <c r="X11" i="99" s="1"/>
  <c r="F9" i="101"/>
  <c r="G9" i="101" s="1"/>
  <c r="I193" i="2"/>
  <c r="J12" i="101"/>
  <c r="F12" i="101"/>
  <c r="M193" i="2"/>
  <c r="J18" i="101"/>
  <c r="S12" i="99"/>
  <c r="G12" i="99"/>
  <c r="F12" i="99"/>
  <c r="E12" i="99"/>
  <c r="D12" i="99"/>
  <c r="T194" i="2"/>
  <c r="G194" i="2"/>
  <c r="F194" i="2"/>
  <c r="E194" i="2"/>
  <c r="D194" i="2"/>
  <c r="L24" i="100"/>
  <c r="L25" i="100"/>
  <c r="L26" i="100"/>
  <c r="L27" i="100"/>
  <c r="L23" i="100"/>
  <c r="F7" i="100"/>
  <c r="E43" i="100"/>
  <c r="C43" i="100"/>
  <c r="E42" i="100"/>
  <c r="C42" i="100"/>
  <c r="E41" i="100"/>
  <c r="C41" i="100"/>
  <c r="E40" i="100"/>
  <c r="C40" i="100"/>
  <c r="E39" i="100"/>
  <c r="C39" i="100"/>
  <c r="E38" i="100"/>
  <c r="C38" i="100"/>
  <c r="E37" i="100"/>
  <c r="C37" i="100"/>
  <c r="E36" i="100"/>
  <c r="C36" i="100"/>
  <c r="E35" i="100"/>
  <c r="C35" i="100"/>
  <c r="E34" i="100"/>
  <c r="C34" i="100"/>
  <c r="E33" i="100"/>
  <c r="C33" i="100"/>
  <c r="E32" i="100"/>
  <c r="C32" i="100"/>
  <c r="E31" i="100"/>
  <c r="C31" i="100"/>
  <c r="E30" i="100"/>
  <c r="C30" i="100"/>
  <c r="J16" i="100"/>
  <c r="J15" i="100"/>
  <c r="N11" i="100"/>
  <c r="N10" i="100"/>
  <c r="J13" i="101" l="1"/>
  <c r="F11" i="101" s="1"/>
  <c r="V193" i="2"/>
  <c r="W193" i="2" s="1"/>
  <c r="H194" i="2"/>
  <c r="H191" i="99"/>
  <c r="V191" i="99" s="1"/>
  <c r="I9" i="101"/>
  <c r="K212" i="99"/>
  <c r="AH193" i="2"/>
  <c r="AI193" i="2" s="1"/>
  <c r="Y193" i="2"/>
  <c r="Z193" i="2" s="1"/>
  <c r="H12" i="99"/>
  <c r="V12" i="99" s="1"/>
  <c r="K193" i="2"/>
  <c r="K11" i="99"/>
  <c r="F10" i="101"/>
  <c r="H25" i="100"/>
  <c r="C25" i="100" s="1"/>
  <c r="F13" i="100"/>
  <c r="H27" i="100"/>
  <c r="C27" i="100" s="1"/>
  <c r="F8" i="100"/>
  <c r="H26" i="100"/>
  <c r="C26" i="100" s="1"/>
  <c r="H12" i="100"/>
  <c r="H24" i="100"/>
  <c r="C24" i="100" s="1"/>
  <c r="F18" i="100"/>
  <c r="J17" i="100" s="1"/>
  <c r="H23" i="100"/>
  <c r="G13" i="100"/>
  <c r="H63" i="99"/>
  <c r="G82" i="99" s="1"/>
  <c r="L66" i="99"/>
  <c r="W56" i="99"/>
  <c r="V56" i="99"/>
  <c r="S56" i="99"/>
  <c r="G56" i="99"/>
  <c r="F56" i="99"/>
  <c r="E56" i="99"/>
  <c r="D56" i="99"/>
  <c r="S55" i="99"/>
  <c r="H55" i="99"/>
  <c r="V55" i="99" s="1"/>
  <c r="G55" i="99"/>
  <c r="F55" i="99"/>
  <c r="E55" i="99"/>
  <c r="D55" i="99"/>
  <c r="S54" i="99"/>
  <c r="H54" i="99"/>
  <c r="V54" i="99" s="1"/>
  <c r="G54" i="99"/>
  <c r="F54" i="99"/>
  <c r="E54" i="99"/>
  <c r="D54" i="99"/>
  <c r="S53" i="99"/>
  <c r="H53" i="99"/>
  <c r="V53" i="99" s="1"/>
  <c r="G53" i="99"/>
  <c r="F53" i="99"/>
  <c r="E53" i="99"/>
  <c r="D53" i="99"/>
  <c r="S52" i="99"/>
  <c r="H52" i="99"/>
  <c r="V52" i="99" s="1"/>
  <c r="G52" i="99"/>
  <c r="F52" i="99"/>
  <c r="E52" i="99"/>
  <c r="D52" i="99"/>
  <c r="S51" i="99"/>
  <c r="G51" i="99"/>
  <c r="F51" i="99"/>
  <c r="E51" i="99"/>
  <c r="D51" i="99"/>
  <c r="S50" i="99"/>
  <c r="G50" i="99"/>
  <c r="F50" i="99"/>
  <c r="E50" i="99"/>
  <c r="D50" i="99"/>
  <c r="S49" i="99"/>
  <c r="G49" i="99"/>
  <c r="F49" i="99"/>
  <c r="E49" i="99"/>
  <c r="D49" i="99"/>
  <c r="S48" i="99"/>
  <c r="G48" i="99"/>
  <c r="F48" i="99"/>
  <c r="E48" i="99"/>
  <c r="D48" i="99"/>
  <c r="S47" i="99"/>
  <c r="G47" i="99"/>
  <c r="F47" i="99"/>
  <c r="E47" i="99"/>
  <c r="D47" i="99"/>
  <c r="S46" i="99"/>
  <c r="H46" i="99"/>
  <c r="V46" i="99" s="1"/>
  <c r="G46" i="99"/>
  <c r="F46" i="99"/>
  <c r="E46" i="99"/>
  <c r="D46" i="99"/>
  <c r="S44" i="99"/>
  <c r="H44" i="99"/>
  <c r="V44" i="99" s="1"/>
  <c r="G44" i="99"/>
  <c r="F44" i="99"/>
  <c r="E44" i="99"/>
  <c r="D44" i="99"/>
  <c r="S43" i="99"/>
  <c r="H43" i="99"/>
  <c r="V43" i="99" s="1"/>
  <c r="G43" i="99"/>
  <c r="F43" i="99"/>
  <c r="E43" i="99"/>
  <c r="D43" i="99"/>
  <c r="S42" i="99"/>
  <c r="H42" i="99"/>
  <c r="V42" i="99" s="1"/>
  <c r="G42" i="99"/>
  <c r="F42" i="99"/>
  <c r="E42" i="99"/>
  <c r="D42" i="99"/>
  <c r="S41" i="99"/>
  <c r="H41" i="99"/>
  <c r="V41" i="99" s="1"/>
  <c r="G41" i="99"/>
  <c r="F41" i="99"/>
  <c r="E41" i="99"/>
  <c r="D41" i="99"/>
  <c r="S40" i="99"/>
  <c r="H40" i="99"/>
  <c r="V40" i="99" s="1"/>
  <c r="G40" i="99"/>
  <c r="F40" i="99"/>
  <c r="E40" i="99"/>
  <c r="D40" i="99"/>
  <c r="S39" i="99"/>
  <c r="H39" i="99"/>
  <c r="V39" i="99" s="1"/>
  <c r="G39" i="99"/>
  <c r="F39" i="99"/>
  <c r="E39" i="99"/>
  <c r="D39" i="99"/>
  <c r="S38" i="99"/>
  <c r="H38" i="99"/>
  <c r="V38" i="99" s="1"/>
  <c r="G38" i="99"/>
  <c r="F38" i="99"/>
  <c r="E38" i="99"/>
  <c r="D38" i="99"/>
  <c r="W37" i="99"/>
  <c r="V37" i="99"/>
  <c r="S37" i="99"/>
  <c r="G37" i="99"/>
  <c r="F37" i="99"/>
  <c r="E37" i="99"/>
  <c r="D37" i="99"/>
  <c r="S36" i="99"/>
  <c r="G36" i="99"/>
  <c r="F36" i="99"/>
  <c r="E36" i="99"/>
  <c r="D36" i="99"/>
  <c r="S35" i="99"/>
  <c r="H35" i="99"/>
  <c r="V35" i="99" s="1"/>
  <c r="G35" i="99"/>
  <c r="F35" i="99"/>
  <c r="E35" i="99"/>
  <c r="D35" i="99"/>
  <c r="S34" i="99"/>
  <c r="G34" i="99"/>
  <c r="F34" i="99"/>
  <c r="E34" i="99"/>
  <c r="D34" i="99"/>
  <c r="S33" i="99"/>
  <c r="H33" i="99"/>
  <c r="V33" i="99" s="1"/>
  <c r="G33" i="99"/>
  <c r="F33" i="99"/>
  <c r="E33" i="99"/>
  <c r="D33" i="99"/>
  <c r="S32" i="99"/>
  <c r="G32" i="99"/>
  <c r="F32" i="99"/>
  <c r="E32" i="99"/>
  <c r="D32" i="99"/>
  <c r="S30" i="99"/>
  <c r="G30" i="99"/>
  <c r="F30" i="99"/>
  <c r="E30" i="99"/>
  <c r="D30" i="99"/>
  <c r="S29" i="99"/>
  <c r="H29" i="99"/>
  <c r="V29" i="99" s="1"/>
  <c r="G29" i="99"/>
  <c r="F29" i="99"/>
  <c r="E29" i="99"/>
  <c r="D29" i="99"/>
  <c r="S28" i="99"/>
  <c r="H28" i="99"/>
  <c r="V28" i="99" s="1"/>
  <c r="G28" i="99"/>
  <c r="F28" i="99"/>
  <c r="E28" i="99"/>
  <c r="D28" i="99"/>
  <c r="W27" i="99"/>
  <c r="V27" i="99"/>
  <c r="S27" i="99"/>
  <c r="F27" i="99"/>
  <c r="E27" i="99"/>
  <c r="D27" i="99"/>
  <c r="S26" i="99"/>
  <c r="H26" i="99"/>
  <c r="V26" i="99" s="1"/>
  <c r="G26" i="99"/>
  <c r="F26" i="99"/>
  <c r="E26" i="99"/>
  <c r="D26" i="99"/>
  <c r="S25" i="99"/>
  <c r="H25" i="99"/>
  <c r="V25" i="99" s="1"/>
  <c r="G25" i="99"/>
  <c r="F25" i="99"/>
  <c r="E25" i="99"/>
  <c r="D25" i="99"/>
  <c r="S24" i="99"/>
  <c r="H24" i="99"/>
  <c r="V24" i="99" s="1"/>
  <c r="G24" i="99"/>
  <c r="F24" i="99"/>
  <c r="E24" i="99"/>
  <c r="D24" i="99"/>
  <c r="S23" i="99"/>
  <c r="G23" i="99"/>
  <c r="F23" i="99"/>
  <c r="E23" i="99"/>
  <c r="D23" i="99"/>
  <c r="S22" i="99"/>
  <c r="G22" i="99"/>
  <c r="F22" i="99"/>
  <c r="E22" i="99"/>
  <c r="D22" i="99"/>
  <c r="S20" i="99"/>
  <c r="G20" i="99"/>
  <c r="F20" i="99"/>
  <c r="E20" i="99"/>
  <c r="D20" i="99"/>
  <c r="S19" i="99"/>
  <c r="H19" i="99"/>
  <c r="V19" i="99" s="1"/>
  <c r="G19" i="99"/>
  <c r="F19" i="99"/>
  <c r="E19" i="99"/>
  <c r="D19" i="99"/>
  <c r="S18" i="99"/>
  <c r="G18" i="99"/>
  <c r="F18" i="99"/>
  <c r="E18" i="99"/>
  <c r="D18" i="99"/>
  <c r="S17" i="99"/>
  <c r="H17" i="99"/>
  <c r="V17" i="99" s="1"/>
  <c r="G17" i="99"/>
  <c r="F17" i="99"/>
  <c r="E17" i="99"/>
  <c r="D17" i="99"/>
  <c r="S16" i="99"/>
  <c r="H16" i="99"/>
  <c r="V16" i="99" s="1"/>
  <c r="G16" i="99"/>
  <c r="F16" i="99"/>
  <c r="E16" i="99"/>
  <c r="D16" i="99"/>
  <c r="S15" i="99"/>
  <c r="G15" i="99"/>
  <c r="F15" i="99"/>
  <c r="E15" i="99"/>
  <c r="D15" i="99"/>
  <c r="S14" i="99"/>
  <c r="W14" i="99"/>
  <c r="V14" i="99"/>
  <c r="F14" i="99"/>
  <c r="E14" i="99"/>
  <c r="D14" i="99"/>
  <c r="S13" i="99"/>
  <c r="H13" i="99"/>
  <c r="V13" i="99" s="1"/>
  <c r="G13" i="99"/>
  <c r="F13" i="99"/>
  <c r="E13" i="99"/>
  <c r="D13" i="99"/>
  <c r="T195" i="2"/>
  <c r="H195" i="2"/>
  <c r="G195" i="2"/>
  <c r="F195" i="2"/>
  <c r="E195" i="2"/>
  <c r="D195" i="2"/>
  <c r="E43" i="98"/>
  <c r="C43" i="98"/>
  <c r="E42" i="98"/>
  <c r="C42" i="98"/>
  <c r="E41" i="98"/>
  <c r="C41" i="98"/>
  <c r="E40" i="98"/>
  <c r="C40" i="98"/>
  <c r="E39" i="98"/>
  <c r="C39" i="98"/>
  <c r="E38" i="98"/>
  <c r="C38" i="98"/>
  <c r="E37" i="98"/>
  <c r="C37" i="98"/>
  <c r="E36" i="98"/>
  <c r="C36" i="98"/>
  <c r="E35" i="98"/>
  <c r="C35" i="98"/>
  <c r="E34" i="98"/>
  <c r="C34" i="98"/>
  <c r="C33" i="98"/>
  <c r="C32" i="98"/>
  <c r="C31" i="98"/>
  <c r="C30" i="98"/>
  <c r="C29" i="98"/>
  <c r="C28" i="98"/>
  <c r="C27" i="98"/>
  <c r="C26" i="98"/>
  <c r="C25" i="98"/>
  <c r="H24" i="98"/>
  <c r="C24" i="98" s="1"/>
  <c r="H23" i="98"/>
  <c r="C23" i="98" s="1"/>
  <c r="J17" i="98"/>
  <c r="J16" i="98"/>
  <c r="J15" i="98"/>
  <c r="G13" i="98"/>
  <c r="F13" i="98"/>
  <c r="H12" i="98"/>
  <c r="F8" i="98"/>
  <c r="AG195" i="2" l="1"/>
  <c r="AC195" i="2"/>
  <c r="AG194" i="2"/>
  <c r="AC194" i="2"/>
  <c r="L212" i="99"/>
  <c r="M191" i="99"/>
  <c r="F12" i="98"/>
  <c r="F10" i="98" s="1"/>
  <c r="I191" i="99"/>
  <c r="W191" i="99" s="1"/>
  <c r="X191" i="99" s="1"/>
  <c r="F9" i="98"/>
  <c r="G9" i="98" s="1"/>
  <c r="I192" i="99"/>
  <c r="W192" i="99" s="1"/>
  <c r="X192" i="99" s="1"/>
  <c r="M13" i="99"/>
  <c r="M192" i="99"/>
  <c r="M195" i="2"/>
  <c r="I195" i="2"/>
  <c r="F9" i="100"/>
  <c r="G9" i="100" s="1"/>
  <c r="I194" i="2"/>
  <c r="I12" i="99"/>
  <c r="W12" i="99" s="1"/>
  <c r="X12" i="99" s="1"/>
  <c r="I13" i="99"/>
  <c r="W13" i="99" s="1"/>
  <c r="X13" i="99" s="1"/>
  <c r="F12" i="100"/>
  <c r="F10" i="100" s="1"/>
  <c r="M194" i="2"/>
  <c r="M12" i="99"/>
  <c r="X56" i="99"/>
  <c r="X37" i="99"/>
  <c r="L193" i="2"/>
  <c r="L11" i="99"/>
  <c r="J12" i="100"/>
  <c r="J19" i="100"/>
  <c r="J18" i="100"/>
  <c r="C23" i="100"/>
  <c r="N12" i="100"/>
  <c r="X14" i="99"/>
  <c r="X27" i="99"/>
  <c r="J18" i="98"/>
  <c r="J12" i="98"/>
  <c r="F11" i="98" s="1"/>
  <c r="J19" i="98"/>
  <c r="T196" i="2"/>
  <c r="AH196" i="2"/>
  <c r="AG196" i="2"/>
  <c r="F196" i="2"/>
  <c r="E196" i="2"/>
  <c r="D196" i="2"/>
  <c r="H28" i="97"/>
  <c r="C28" i="97" s="1"/>
  <c r="H27" i="97"/>
  <c r="C27" i="97" s="1"/>
  <c r="E43" i="97"/>
  <c r="C43" i="97"/>
  <c r="E42" i="97"/>
  <c r="C42" i="97"/>
  <c r="E41" i="97"/>
  <c r="C41" i="97"/>
  <c r="E40" i="97"/>
  <c r="C40" i="97"/>
  <c r="E39" i="97"/>
  <c r="C39" i="97"/>
  <c r="E38" i="97"/>
  <c r="C38" i="97"/>
  <c r="E37" i="97"/>
  <c r="C37" i="97"/>
  <c r="E36" i="97"/>
  <c r="C36" i="97"/>
  <c r="E35" i="97"/>
  <c r="C35" i="97"/>
  <c r="E34" i="97"/>
  <c r="C34" i="97"/>
  <c r="C33" i="97"/>
  <c r="C32" i="97"/>
  <c r="C31" i="97"/>
  <c r="C30" i="97"/>
  <c r="C29" i="97"/>
  <c r="H26" i="97"/>
  <c r="C26" i="97" s="1"/>
  <c r="H25" i="97"/>
  <c r="C25" i="97" s="1"/>
  <c r="H24" i="97"/>
  <c r="C24" i="97" s="1"/>
  <c r="H23" i="97"/>
  <c r="C23" i="97" s="1"/>
  <c r="J17" i="97"/>
  <c r="J16" i="97"/>
  <c r="J15" i="97"/>
  <c r="G13" i="97"/>
  <c r="F13" i="97"/>
  <c r="H12" i="97"/>
  <c r="F12" i="97" s="1"/>
  <c r="J13" i="97" s="1"/>
  <c r="F8" i="97"/>
  <c r="J18" i="97" s="1"/>
  <c r="J13" i="98" l="1"/>
  <c r="V195" i="2"/>
  <c r="W195" i="2" s="1"/>
  <c r="L192" i="99"/>
  <c r="K13" i="99"/>
  <c r="K191" i="99"/>
  <c r="J13" i="100"/>
  <c r="F11" i="100" s="1"/>
  <c r="V194" i="2"/>
  <c r="W194" i="2" s="1"/>
  <c r="K195" i="2"/>
  <c r="I9" i="98"/>
  <c r="K192" i="99"/>
  <c r="AH195" i="2"/>
  <c r="AI195" i="2" s="1"/>
  <c r="Y195" i="2"/>
  <c r="Z195" i="2" s="1"/>
  <c r="AH194" i="2"/>
  <c r="AI194" i="2" s="1"/>
  <c r="Y194" i="2"/>
  <c r="Z194" i="2" s="1"/>
  <c r="I9" i="100"/>
  <c r="K12" i="99"/>
  <c r="K194" i="2"/>
  <c r="L195" i="2"/>
  <c r="L13" i="99"/>
  <c r="AI196" i="2"/>
  <c r="F10" i="97"/>
  <c r="J12" i="97"/>
  <c r="F11" i="97" s="1"/>
  <c r="J19" i="97"/>
  <c r="F9" i="97"/>
  <c r="G9" i="97" s="1"/>
  <c r="I9" i="97" s="1"/>
  <c r="T197" i="2"/>
  <c r="G197" i="2"/>
  <c r="F197" i="2"/>
  <c r="E197" i="2"/>
  <c r="D197" i="2"/>
  <c r="K31" i="96"/>
  <c r="K30" i="96"/>
  <c r="E43" i="96"/>
  <c r="C43" i="96"/>
  <c r="E42" i="96"/>
  <c r="C42" i="96"/>
  <c r="E41" i="96"/>
  <c r="C41" i="96"/>
  <c r="E40" i="96"/>
  <c r="C40" i="96"/>
  <c r="E39" i="96"/>
  <c r="C39" i="96"/>
  <c r="E38" i="96"/>
  <c r="C38" i="96"/>
  <c r="E37" i="96"/>
  <c r="C37" i="96"/>
  <c r="E36" i="96"/>
  <c r="C36" i="96"/>
  <c r="K29" i="96"/>
  <c r="K28" i="96"/>
  <c r="K27" i="96"/>
  <c r="K26" i="96"/>
  <c r="K25" i="96"/>
  <c r="K24" i="96"/>
  <c r="K23" i="96"/>
  <c r="J16" i="96"/>
  <c r="J15" i="96"/>
  <c r="F7" i="96"/>
  <c r="T200" i="2"/>
  <c r="G200" i="2"/>
  <c r="F200" i="2"/>
  <c r="E200" i="2"/>
  <c r="D200" i="2"/>
  <c r="F7" i="5"/>
  <c r="F7" i="95"/>
  <c r="E43" i="95"/>
  <c r="C43" i="95"/>
  <c r="E42" i="95"/>
  <c r="C42" i="95"/>
  <c r="E41" i="95"/>
  <c r="C41" i="95"/>
  <c r="E40" i="95"/>
  <c r="C40" i="95"/>
  <c r="E39" i="95"/>
  <c r="C39" i="95"/>
  <c r="E38" i="95"/>
  <c r="C38" i="95"/>
  <c r="E37" i="95"/>
  <c r="C37" i="95"/>
  <c r="E36" i="95"/>
  <c r="C36" i="95"/>
  <c r="E35" i="95"/>
  <c r="C35" i="95"/>
  <c r="E34" i="95"/>
  <c r="C34" i="95"/>
  <c r="E33" i="95"/>
  <c r="C33" i="95"/>
  <c r="E32" i="95"/>
  <c r="C32" i="95"/>
  <c r="E31" i="95"/>
  <c r="C31" i="95"/>
  <c r="E30" i="95"/>
  <c r="C30" i="95"/>
  <c r="L29" i="95"/>
  <c r="L28" i="95"/>
  <c r="L27" i="95"/>
  <c r="L26" i="95"/>
  <c r="L25" i="95"/>
  <c r="L24" i="95"/>
  <c r="L23" i="95"/>
  <c r="J16" i="95"/>
  <c r="J15" i="95"/>
  <c r="N11" i="95"/>
  <c r="N10" i="95"/>
  <c r="L191" i="99" l="1"/>
  <c r="L194" i="2"/>
  <c r="L12" i="99"/>
  <c r="H15" i="99"/>
  <c r="V15" i="99" s="1"/>
  <c r="H167" i="99"/>
  <c r="V167" i="99" s="1"/>
  <c r="H18" i="99"/>
  <c r="V18" i="99" s="1"/>
  <c r="H170" i="99"/>
  <c r="V170" i="99" s="1"/>
  <c r="H197" i="2"/>
  <c r="AC197" i="2" s="1"/>
  <c r="H200" i="2"/>
  <c r="H30" i="96"/>
  <c r="G13" i="96"/>
  <c r="H31" i="96"/>
  <c r="F13" i="96"/>
  <c r="H24" i="96"/>
  <c r="C24" i="96" s="1"/>
  <c r="H12" i="96"/>
  <c r="H23" i="96"/>
  <c r="C23" i="96" s="1"/>
  <c r="H26" i="96"/>
  <c r="H28" i="96"/>
  <c r="F18" i="96"/>
  <c r="J17" i="96" s="1"/>
  <c r="F8" i="96"/>
  <c r="H25" i="96"/>
  <c r="C25" i="96" s="1"/>
  <c r="H27" i="96"/>
  <c r="H29" i="96"/>
  <c r="G13" i="95"/>
  <c r="H27" i="95"/>
  <c r="C27" i="95" s="1"/>
  <c r="H12" i="95"/>
  <c r="H24" i="95"/>
  <c r="C24" i="95" s="1"/>
  <c r="H25" i="95"/>
  <c r="C25" i="95" s="1"/>
  <c r="H29" i="95"/>
  <c r="C29" i="95" s="1"/>
  <c r="F13" i="95"/>
  <c r="H28" i="95"/>
  <c r="C28" i="95" s="1"/>
  <c r="F18" i="95"/>
  <c r="J17" i="95" s="1"/>
  <c r="H23" i="95"/>
  <c r="H26" i="95"/>
  <c r="C26" i="95" s="1"/>
  <c r="F8" i="95"/>
  <c r="T198" i="2"/>
  <c r="H198" i="2"/>
  <c r="AC198" i="2" s="1"/>
  <c r="G198" i="2"/>
  <c r="F198" i="2"/>
  <c r="E198" i="2"/>
  <c r="D198" i="2"/>
  <c r="T201" i="2"/>
  <c r="T199" i="2"/>
  <c r="H199" i="2"/>
  <c r="AC199" i="2" s="1"/>
  <c r="G199" i="2"/>
  <c r="F199" i="2"/>
  <c r="E199" i="2"/>
  <c r="D199" i="2"/>
  <c r="H201" i="2"/>
  <c r="AC201" i="2" s="1"/>
  <c r="G201" i="2"/>
  <c r="F201" i="2"/>
  <c r="E201" i="2"/>
  <c r="D201" i="2"/>
  <c r="AG200" i="2" l="1"/>
  <c r="AC200" i="2"/>
  <c r="M170" i="99"/>
  <c r="I167" i="99"/>
  <c r="W167" i="99" s="1"/>
  <c r="X167" i="99" s="1"/>
  <c r="I170" i="99"/>
  <c r="W170" i="99" s="1"/>
  <c r="X170" i="99" s="1"/>
  <c r="M167" i="99"/>
  <c r="I18" i="99"/>
  <c r="W18" i="99" s="1"/>
  <c r="X18" i="99" s="1"/>
  <c r="I200" i="2"/>
  <c r="I15" i="99"/>
  <c r="I197" i="2"/>
  <c r="F12" i="95"/>
  <c r="M18" i="99"/>
  <c r="M200" i="2"/>
  <c r="F12" i="96"/>
  <c r="M15" i="99"/>
  <c r="M197" i="2"/>
  <c r="J19" i="96"/>
  <c r="J18" i="96"/>
  <c r="J12" i="96"/>
  <c r="F9" i="96"/>
  <c r="G9" i="96" s="1"/>
  <c r="F9" i="95"/>
  <c r="G9" i="95" s="1"/>
  <c r="J19" i="95"/>
  <c r="J18" i="95"/>
  <c r="J12" i="95"/>
  <c r="C23" i="95"/>
  <c r="N12" i="95"/>
  <c r="AG201" i="2"/>
  <c r="AG199" i="2"/>
  <c r="AG198" i="2"/>
  <c r="AG197" i="2"/>
  <c r="H24" i="93"/>
  <c r="H25" i="93"/>
  <c r="H26" i="93"/>
  <c r="E43" i="93"/>
  <c r="C43" i="93"/>
  <c r="E42" i="93"/>
  <c r="C42" i="93"/>
  <c r="E41" i="93"/>
  <c r="C41" i="93"/>
  <c r="E40" i="93"/>
  <c r="C40" i="93"/>
  <c r="E39" i="93"/>
  <c r="C39" i="93"/>
  <c r="E38" i="93"/>
  <c r="C38" i="93"/>
  <c r="E37" i="93"/>
  <c r="C37" i="93"/>
  <c r="E36" i="93"/>
  <c r="C36" i="93"/>
  <c r="E35" i="93"/>
  <c r="C35" i="93"/>
  <c r="E34" i="93"/>
  <c r="C34" i="93"/>
  <c r="C33" i="93"/>
  <c r="C32" i="93"/>
  <c r="C31" i="93"/>
  <c r="C30" i="93"/>
  <c r="C29" i="93"/>
  <c r="C28" i="93"/>
  <c r="C27" i="93"/>
  <c r="H23" i="93"/>
  <c r="C23" i="93" s="1"/>
  <c r="J17" i="93"/>
  <c r="J16" i="93"/>
  <c r="J15" i="93"/>
  <c r="G13" i="93"/>
  <c r="F13" i="93"/>
  <c r="H12" i="93"/>
  <c r="F8" i="93"/>
  <c r="E43" i="92"/>
  <c r="C43" i="92"/>
  <c r="E42" i="92"/>
  <c r="C42" i="92"/>
  <c r="E41" i="92"/>
  <c r="C41" i="92"/>
  <c r="E40" i="92"/>
  <c r="C40" i="92"/>
  <c r="E39" i="92"/>
  <c r="C39" i="92"/>
  <c r="E38" i="92"/>
  <c r="C38" i="92"/>
  <c r="E37" i="92"/>
  <c r="C37" i="92"/>
  <c r="E36" i="92"/>
  <c r="C36" i="92"/>
  <c r="E35" i="92"/>
  <c r="C35" i="92"/>
  <c r="E34" i="92"/>
  <c r="C34" i="92"/>
  <c r="C33" i="92"/>
  <c r="C32" i="92"/>
  <c r="C31" i="92"/>
  <c r="C30" i="92"/>
  <c r="C29" i="92"/>
  <c r="C28" i="92"/>
  <c r="C27" i="92"/>
  <c r="H23" i="92"/>
  <c r="C23" i="92" s="1"/>
  <c r="J17" i="92"/>
  <c r="J16" i="92"/>
  <c r="J15" i="92"/>
  <c r="G13" i="92"/>
  <c r="F13" i="92"/>
  <c r="H12" i="92"/>
  <c r="F8" i="92"/>
  <c r="E43" i="91"/>
  <c r="C43" i="91"/>
  <c r="E42" i="91"/>
  <c r="C42" i="91"/>
  <c r="E41" i="91"/>
  <c r="C41" i="91"/>
  <c r="E40" i="91"/>
  <c r="C40" i="91"/>
  <c r="E39" i="91"/>
  <c r="C39" i="91"/>
  <c r="E38" i="91"/>
  <c r="C38" i="91"/>
  <c r="E37" i="91"/>
  <c r="C37" i="91"/>
  <c r="E36" i="91"/>
  <c r="C36" i="91"/>
  <c r="E35" i="91"/>
  <c r="C35" i="91"/>
  <c r="E34" i="91"/>
  <c r="C34" i="91"/>
  <c r="C33" i="91"/>
  <c r="C32" i="91"/>
  <c r="C31" i="91"/>
  <c r="C30" i="91"/>
  <c r="C29" i="91"/>
  <c r="C28" i="91"/>
  <c r="C27" i="91"/>
  <c r="H24" i="91"/>
  <c r="C24" i="91" s="1"/>
  <c r="H23" i="91"/>
  <c r="C23" i="91" s="1"/>
  <c r="J17" i="91"/>
  <c r="J16" i="91"/>
  <c r="J15" i="91"/>
  <c r="G13" i="91"/>
  <c r="F13" i="91"/>
  <c r="H12" i="91"/>
  <c r="F8" i="91"/>
  <c r="H26" i="90"/>
  <c r="C26" i="90" s="1"/>
  <c r="E43" i="90"/>
  <c r="C43" i="90"/>
  <c r="E42" i="90"/>
  <c r="C42" i="90"/>
  <c r="E41" i="90"/>
  <c r="C41" i="90"/>
  <c r="E40" i="90"/>
  <c r="C40" i="90"/>
  <c r="E39" i="90"/>
  <c r="C39" i="90"/>
  <c r="E38" i="90"/>
  <c r="C38" i="90"/>
  <c r="E37" i="90"/>
  <c r="C37" i="90"/>
  <c r="E36" i="90"/>
  <c r="C36" i="90"/>
  <c r="E35" i="90"/>
  <c r="C35" i="90"/>
  <c r="E34" i="90"/>
  <c r="C34" i="90"/>
  <c r="C33" i="90"/>
  <c r="C32" i="90"/>
  <c r="C31" i="90"/>
  <c r="C30" i="90"/>
  <c r="C29" i="90"/>
  <c r="C28" i="90"/>
  <c r="C27" i="90"/>
  <c r="H25" i="90"/>
  <c r="C25" i="90" s="1"/>
  <c r="H24" i="90"/>
  <c r="C24" i="90" s="1"/>
  <c r="H23" i="90"/>
  <c r="C23" i="90" s="1"/>
  <c r="J17" i="90"/>
  <c r="J16" i="90"/>
  <c r="J15" i="90"/>
  <c r="G13" i="90"/>
  <c r="F13" i="90"/>
  <c r="H12" i="90"/>
  <c r="F12" i="90" s="1"/>
  <c r="F10" i="90" s="1"/>
  <c r="F8" i="90"/>
  <c r="F9" i="90" s="1"/>
  <c r="G9" i="90" s="1"/>
  <c r="I9" i="90" s="1"/>
  <c r="I168" i="99" l="1"/>
  <c r="W168" i="99" s="1"/>
  <c r="X168" i="99" s="1"/>
  <c r="K167" i="99"/>
  <c r="I169" i="99"/>
  <c r="W169" i="99" s="1"/>
  <c r="X169" i="99" s="1"/>
  <c r="M168" i="99"/>
  <c r="M169" i="99"/>
  <c r="K170" i="99"/>
  <c r="J13" i="95"/>
  <c r="F11" i="95" s="1"/>
  <c r="V200" i="2"/>
  <c r="W200" i="2" s="1"/>
  <c r="J13" i="96"/>
  <c r="F11" i="96" s="1"/>
  <c r="V197" i="2"/>
  <c r="W197" i="2" s="1"/>
  <c r="M234" i="99"/>
  <c r="M10" i="138"/>
  <c r="F10" i="95"/>
  <c r="I234" i="99"/>
  <c r="W234" i="99" s="1"/>
  <c r="X234" i="99" s="1"/>
  <c r="I10" i="138"/>
  <c r="W10" i="138" s="1"/>
  <c r="X10" i="138" s="1"/>
  <c r="F10" i="96"/>
  <c r="AH197" i="2"/>
  <c r="AI197" i="2" s="1"/>
  <c r="Y197" i="2"/>
  <c r="Z197" i="2" s="1"/>
  <c r="AH200" i="2"/>
  <c r="AI200" i="2" s="1"/>
  <c r="Y200" i="2"/>
  <c r="Z200" i="2" s="1"/>
  <c r="F9" i="91"/>
  <c r="G9" i="91" s="1"/>
  <c r="I19" i="99"/>
  <c r="W19" i="99" s="1"/>
  <c r="X19" i="99" s="1"/>
  <c r="I201" i="2"/>
  <c r="F9" i="92"/>
  <c r="G9" i="92" s="1"/>
  <c r="I17" i="99"/>
  <c r="W17" i="99" s="1"/>
  <c r="X17" i="99" s="1"/>
  <c r="I199" i="2"/>
  <c r="F12" i="93"/>
  <c r="M16" i="99"/>
  <c r="M198" i="2"/>
  <c r="I9" i="96"/>
  <c r="K15" i="99"/>
  <c r="K197" i="2"/>
  <c r="W15" i="99"/>
  <c r="X15" i="99" s="1"/>
  <c r="F12" i="91"/>
  <c r="F10" i="91" s="1"/>
  <c r="M19" i="99"/>
  <c r="M201" i="2"/>
  <c r="F12" i="92"/>
  <c r="M17" i="99"/>
  <c r="M199" i="2"/>
  <c r="I9" i="95"/>
  <c r="K18" i="99"/>
  <c r="K200" i="2"/>
  <c r="F9" i="93"/>
  <c r="G9" i="93" s="1"/>
  <c r="I16" i="99"/>
  <c r="W16" i="99" s="1"/>
  <c r="X16" i="99" s="1"/>
  <c r="I198" i="2"/>
  <c r="J18" i="93"/>
  <c r="J12" i="93"/>
  <c r="J19" i="93"/>
  <c r="J18" i="92"/>
  <c r="J12" i="92"/>
  <c r="J19" i="92"/>
  <c r="J18" i="91"/>
  <c r="J19" i="91"/>
  <c r="J12" i="91"/>
  <c r="J13" i="90"/>
  <c r="J18" i="90"/>
  <c r="J12" i="90"/>
  <c r="J19" i="90"/>
  <c r="K169" i="99" l="1"/>
  <c r="L170" i="99"/>
  <c r="K168" i="99"/>
  <c r="V198" i="2"/>
  <c r="W198" i="2" s="1"/>
  <c r="V199" i="2"/>
  <c r="W199" i="2" s="1"/>
  <c r="L200" i="2"/>
  <c r="J13" i="92"/>
  <c r="F11" i="92" s="1"/>
  <c r="J13" i="93"/>
  <c r="F10" i="93"/>
  <c r="L167" i="99"/>
  <c r="L15" i="99"/>
  <c r="L197" i="2"/>
  <c r="F10" i="92"/>
  <c r="J13" i="91"/>
  <c r="V201" i="2"/>
  <c r="W201" i="2" s="1"/>
  <c r="L18" i="99"/>
  <c r="K234" i="99"/>
  <c r="K10" i="138"/>
  <c r="AH198" i="2"/>
  <c r="AI198" i="2" s="1"/>
  <c r="Y198" i="2"/>
  <c r="Z198" i="2" s="1"/>
  <c r="AH201" i="2"/>
  <c r="AI201" i="2" s="1"/>
  <c r="Y201" i="2"/>
  <c r="Z201" i="2" s="1"/>
  <c r="AH199" i="2"/>
  <c r="AI199" i="2" s="1"/>
  <c r="Y199" i="2"/>
  <c r="Z199" i="2" s="1"/>
  <c r="I9" i="93"/>
  <c r="K16" i="99"/>
  <c r="K198" i="2"/>
  <c r="I9" i="92"/>
  <c r="K17" i="99"/>
  <c r="K199" i="2"/>
  <c r="F11" i="90"/>
  <c r="I9" i="91"/>
  <c r="K19" i="99"/>
  <c r="K201" i="2"/>
  <c r="F11" i="93"/>
  <c r="F11" i="91"/>
  <c r="T202" i="2"/>
  <c r="G202" i="2"/>
  <c r="F202" i="2"/>
  <c r="E202" i="2"/>
  <c r="D202" i="2"/>
  <c r="E43" i="89"/>
  <c r="C43" i="89"/>
  <c r="E42" i="89"/>
  <c r="C42" i="89"/>
  <c r="E41" i="89"/>
  <c r="C41" i="89"/>
  <c r="E40" i="89"/>
  <c r="C40" i="89"/>
  <c r="E39" i="89"/>
  <c r="C39" i="89"/>
  <c r="E38" i="89"/>
  <c r="C38" i="89"/>
  <c r="E37" i="89"/>
  <c r="C37" i="89"/>
  <c r="E36" i="89"/>
  <c r="C36" i="89"/>
  <c r="K29" i="89"/>
  <c r="K28" i="89"/>
  <c r="K27" i="89"/>
  <c r="K26" i="89"/>
  <c r="K25" i="89"/>
  <c r="K24" i="89"/>
  <c r="K23" i="89"/>
  <c r="J16" i="89"/>
  <c r="J15" i="89"/>
  <c r="F7" i="89"/>
  <c r="L168" i="99" l="1"/>
  <c r="H213" i="99"/>
  <c r="V213" i="99" s="1"/>
  <c r="L169" i="99"/>
  <c r="H25" i="89"/>
  <c r="C25" i="89" s="1"/>
  <c r="F13" i="89"/>
  <c r="L234" i="99"/>
  <c r="L10" i="138"/>
  <c r="L16" i="99"/>
  <c r="L198" i="2"/>
  <c r="H202" i="2"/>
  <c r="H20" i="99"/>
  <c r="L19" i="99"/>
  <c r="L201" i="2"/>
  <c r="L17" i="99"/>
  <c r="L199" i="2"/>
  <c r="H12" i="89"/>
  <c r="H23" i="89"/>
  <c r="C23" i="89" s="1"/>
  <c r="H29" i="89"/>
  <c r="F8" i="89"/>
  <c r="H27" i="89"/>
  <c r="G13" i="89"/>
  <c r="H24" i="89"/>
  <c r="C24" i="89" s="1"/>
  <c r="F18" i="89"/>
  <c r="J17" i="89" s="1"/>
  <c r="H26" i="89"/>
  <c r="H28" i="89"/>
  <c r="T204" i="2"/>
  <c r="G204" i="2"/>
  <c r="F204" i="2"/>
  <c r="E204" i="2"/>
  <c r="D204" i="2"/>
  <c r="F7" i="88"/>
  <c r="E43" i="88"/>
  <c r="C43" i="88"/>
  <c r="E42" i="88"/>
  <c r="C42" i="88"/>
  <c r="E41" i="88"/>
  <c r="C41" i="88"/>
  <c r="E40" i="88"/>
  <c r="C40" i="88"/>
  <c r="E39" i="88"/>
  <c r="C39" i="88"/>
  <c r="E38" i="88"/>
  <c r="C38" i="88"/>
  <c r="E37" i="88"/>
  <c r="C37" i="88"/>
  <c r="E36" i="88"/>
  <c r="C36" i="88"/>
  <c r="E35" i="88"/>
  <c r="C35" i="88"/>
  <c r="E34" i="88"/>
  <c r="C34" i="88"/>
  <c r="E33" i="88"/>
  <c r="C33" i="88"/>
  <c r="E32" i="88"/>
  <c r="C32" i="88"/>
  <c r="E31" i="88"/>
  <c r="C31" i="88"/>
  <c r="E30" i="88"/>
  <c r="C30" i="88"/>
  <c r="L24" i="88"/>
  <c r="L23" i="88"/>
  <c r="J16" i="88"/>
  <c r="J15" i="88"/>
  <c r="N11" i="88"/>
  <c r="N10" i="88"/>
  <c r="AG202" i="2" l="1"/>
  <c r="AC202" i="2"/>
  <c r="M213" i="99"/>
  <c r="I213" i="99"/>
  <c r="W213" i="99" s="1"/>
  <c r="X213" i="99" s="1"/>
  <c r="J19" i="89"/>
  <c r="H22" i="99"/>
  <c r="V22" i="99" s="1"/>
  <c r="H193" i="99"/>
  <c r="V193" i="99" s="1"/>
  <c r="V20" i="99"/>
  <c r="H204" i="2"/>
  <c r="F12" i="89"/>
  <c r="M20" i="99"/>
  <c r="M202" i="2"/>
  <c r="J12" i="89"/>
  <c r="I20" i="99"/>
  <c r="I202" i="2"/>
  <c r="F9" i="89"/>
  <c r="G9" i="89" s="1"/>
  <c r="J18" i="89"/>
  <c r="H12" i="88"/>
  <c r="H24" i="88"/>
  <c r="C24" i="88" s="1"/>
  <c r="F13" i="88"/>
  <c r="G13" i="88"/>
  <c r="F18" i="88"/>
  <c r="J17" i="88" s="1"/>
  <c r="H23" i="88"/>
  <c r="F8" i="88"/>
  <c r="T205" i="2"/>
  <c r="G205" i="2"/>
  <c r="F205" i="2"/>
  <c r="E205" i="2"/>
  <c r="D205" i="2"/>
  <c r="K26" i="87"/>
  <c r="K27" i="87"/>
  <c r="K28" i="87"/>
  <c r="K29" i="87"/>
  <c r="K30" i="87"/>
  <c r="K31" i="87"/>
  <c r="K32" i="87"/>
  <c r="E43" i="87"/>
  <c r="C43" i="87"/>
  <c r="E42" i="87"/>
  <c r="C42" i="87"/>
  <c r="E41" i="87"/>
  <c r="C41" i="87"/>
  <c r="E40" i="87"/>
  <c r="C40" i="87"/>
  <c r="E39" i="87"/>
  <c r="C39" i="87"/>
  <c r="E38" i="87"/>
  <c r="C38" i="87"/>
  <c r="E37" i="87"/>
  <c r="C37" i="87"/>
  <c r="E36" i="87"/>
  <c r="C36" i="87"/>
  <c r="K25" i="87"/>
  <c r="K24" i="87"/>
  <c r="K23" i="87"/>
  <c r="J16" i="87"/>
  <c r="J15" i="87"/>
  <c r="F7" i="87"/>
  <c r="AG204" i="2" l="1"/>
  <c r="AC204" i="2"/>
  <c r="M193" i="99"/>
  <c r="V202" i="2"/>
  <c r="W202" i="2" s="1"/>
  <c r="I193" i="99"/>
  <c r="W193" i="99" s="1"/>
  <c r="X193" i="99" s="1"/>
  <c r="K20" i="99"/>
  <c r="K213" i="99"/>
  <c r="H23" i="99"/>
  <c r="V23" i="99" s="1"/>
  <c r="H214" i="99"/>
  <c r="V214" i="99" s="1"/>
  <c r="AH202" i="2"/>
  <c r="AI202" i="2" s="1"/>
  <c r="Y202" i="2"/>
  <c r="Z202" i="2" s="1"/>
  <c r="H205" i="2"/>
  <c r="I22" i="99"/>
  <c r="W22" i="99" s="1"/>
  <c r="X22" i="99" s="1"/>
  <c r="I204" i="2"/>
  <c r="F12" i="88"/>
  <c r="M22" i="99"/>
  <c r="M204" i="2"/>
  <c r="W20" i="99"/>
  <c r="X20" i="99" s="1"/>
  <c r="J13" i="89"/>
  <c r="F11" i="89" s="1"/>
  <c r="F10" i="89"/>
  <c r="I9" i="89"/>
  <c r="K202" i="2"/>
  <c r="J19" i="88"/>
  <c r="F9" i="88"/>
  <c r="G9" i="88" s="1"/>
  <c r="J18" i="88"/>
  <c r="J12" i="88"/>
  <c r="N12" i="88"/>
  <c r="C23" i="88"/>
  <c r="H31" i="87"/>
  <c r="F13" i="87"/>
  <c r="H28" i="87"/>
  <c r="H27" i="87"/>
  <c r="H32" i="87"/>
  <c r="H12" i="87"/>
  <c r="H29" i="87"/>
  <c r="H30" i="87"/>
  <c r="H26" i="87"/>
  <c r="H24" i="87"/>
  <c r="C24" i="87" s="1"/>
  <c r="H23" i="87"/>
  <c r="C23" i="87" s="1"/>
  <c r="F8" i="87"/>
  <c r="G13" i="87"/>
  <c r="F12" i="87"/>
  <c r="H25" i="87"/>
  <c r="C25" i="87" s="1"/>
  <c r="F18" i="87"/>
  <c r="J17" i="87" s="1"/>
  <c r="T206" i="2"/>
  <c r="H206" i="2"/>
  <c r="G206" i="2"/>
  <c r="F206" i="2"/>
  <c r="E206" i="2"/>
  <c r="D206" i="2"/>
  <c r="E43" i="86"/>
  <c r="C43" i="86"/>
  <c r="E42" i="86"/>
  <c r="C42" i="86"/>
  <c r="E41" i="86"/>
  <c r="C41" i="86"/>
  <c r="E40" i="86"/>
  <c r="C40" i="86"/>
  <c r="E39" i="86"/>
  <c r="C39" i="86"/>
  <c r="E38" i="86"/>
  <c r="C38" i="86"/>
  <c r="E37" i="86"/>
  <c r="C37" i="86"/>
  <c r="E36" i="86"/>
  <c r="C36" i="86"/>
  <c r="E35" i="86"/>
  <c r="C35" i="86"/>
  <c r="E34" i="86"/>
  <c r="C34" i="86"/>
  <c r="C33" i="86"/>
  <c r="C32" i="86"/>
  <c r="C31" i="86"/>
  <c r="C30" i="86"/>
  <c r="C29" i="86"/>
  <c r="C28" i="86"/>
  <c r="C27" i="86"/>
  <c r="C26" i="86"/>
  <c r="H25" i="86"/>
  <c r="C25" i="86" s="1"/>
  <c r="H24" i="86"/>
  <c r="C24" i="86" s="1"/>
  <c r="H23" i="86"/>
  <c r="C23" i="86" s="1"/>
  <c r="J17" i="86"/>
  <c r="J16" i="86"/>
  <c r="J15" i="86"/>
  <c r="G13" i="86"/>
  <c r="F13" i="86"/>
  <c r="H12" i="86"/>
  <c r="F8" i="86"/>
  <c r="AG205" i="2" l="1"/>
  <c r="AC205" i="2"/>
  <c r="AG206" i="2"/>
  <c r="AC206" i="2"/>
  <c r="I194" i="99"/>
  <c r="W194" i="99" s="1"/>
  <c r="X194" i="99" s="1"/>
  <c r="I214" i="99"/>
  <c r="W214" i="99" s="1"/>
  <c r="X214" i="99" s="1"/>
  <c r="K193" i="99"/>
  <c r="L213" i="99"/>
  <c r="V204" i="2"/>
  <c r="W204" i="2" s="1"/>
  <c r="F12" i="86"/>
  <c r="V206" i="2" s="1"/>
  <c r="M214" i="99"/>
  <c r="J13" i="87"/>
  <c r="V205" i="2"/>
  <c r="M24" i="99"/>
  <c r="M194" i="99"/>
  <c r="AH204" i="2"/>
  <c r="AI204" i="2" s="1"/>
  <c r="Y204" i="2"/>
  <c r="Z204" i="2" s="1"/>
  <c r="J19" i="87"/>
  <c r="I23" i="99"/>
  <c r="I205" i="2"/>
  <c r="I9" i="88"/>
  <c r="K22" i="99"/>
  <c r="K204" i="2"/>
  <c r="J13" i="88"/>
  <c r="F11" i="88" s="1"/>
  <c r="F10" i="88"/>
  <c r="M206" i="2"/>
  <c r="M23" i="99"/>
  <c r="M205" i="2"/>
  <c r="L202" i="2"/>
  <c r="B202" i="2" s="1"/>
  <c r="L20" i="99"/>
  <c r="F9" i="86"/>
  <c r="G9" i="86" s="1"/>
  <c r="I24" i="99"/>
  <c r="W24" i="99" s="1"/>
  <c r="X24" i="99" s="1"/>
  <c r="I206" i="2"/>
  <c r="F10" i="87"/>
  <c r="F9" i="87"/>
  <c r="G9" i="87" s="1"/>
  <c r="J12" i="87"/>
  <c r="J18" i="87"/>
  <c r="J18" i="86"/>
  <c r="J12" i="86"/>
  <c r="F11" i="86" s="1"/>
  <c r="J19" i="86"/>
  <c r="T207" i="2"/>
  <c r="H207" i="2"/>
  <c r="G207" i="2"/>
  <c r="F207" i="2"/>
  <c r="E207" i="2"/>
  <c r="D207" i="2"/>
  <c r="E43" i="85"/>
  <c r="C43" i="85"/>
  <c r="E42" i="85"/>
  <c r="C42" i="85"/>
  <c r="E41" i="85"/>
  <c r="C41" i="85"/>
  <c r="E40" i="85"/>
  <c r="C40" i="85"/>
  <c r="E39" i="85"/>
  <c r="C39" i="85"/>
  <c r="E38" i="85"/>
  <c r="C38" i="85"/>
  <c r="E37" i="85"/>
  <c r="C37" i="85"/>
  <c r="E36" i="85"/>
  <c r="C36" i="85"/>
  <c r="E35" i="85"/>
  <c r="C35" i="85"/>
  <c r="E34" i="85"/>
  <c r="C34" i="85"/>
  <c r="C33" i="85"/>
  <c r="C32" i="85"/>
  <c r="C31" i="85"/>
  <c r="C30" i="85"/>
  <c r="C29" i="85"/>
  <c r="H28" i="85"/>
  <c r="C28" i="85" s="1"/>
  <c r="H27" i="85"/>
  <c r="C27" i="85" s="1"/>
  <c r="H26" i="85"/>
  <c r="C26" i="85" s="1"/>
  <c r="H25" i="85"/>
  <c r="C25" i="85" s="1"/>
  <c r="H24" i="85"/>
  <c r="C24" i="85" s="1"/>
  <c r="H23" i="85"/>
  <c r="C23" i="85" s="1"/>
  <c r="J17" i="85"/>
  <c r="J16" i="85"/>
  <c r="J15" i="85"/>
  <c r="G13" i="85"/>
  <c r="F13" i="85"/>
  <c r="H12" i="85"/>
  <c r="F8" i="85"/>
  <c r="AG207" i="2" l="1"/>
  <c r="AC207" i="2"/>
  <c r="J13" i="86"/>
  <c r="F10" i="86"/>
  <c r="W206" i="2"/>
  <c r="L194" i="99"/>
  <c r="L193" i="99"/>
  <c r="K214" i="99"/>
  <c r="K194" i="99"/>
  <c r="W205" i="2"/>
  <c r="F11" i="87"/>
  <c r="M207" i="2"/>
  <c r="M235" i="99"/>
  <c r="M11" i="138"/>
  <c r="I207" i="2"/>
  <c r="I235" i="99"/>
  <c r="W235" i="99" s="1"/>
  <c r="X235" i="99" s="1"/>
  <c r="I11" i="138"/>
  <c r="W11" i="138" s="1"/>
  <c r="X11" i="138" s="1"/>
  <c r="AH206" i="2"/>
  <c r="AI206" i="2" s="1"/>
  <c r="Y206" i="2"/>
  <c r="Z206" i="2" s="1"/>
  <c r="AH205" i="2"/>
  <c r="AI205" i="2" s="1"/>
  <c r="Y205" i="2"/>
  <c r="Z205" i="2" s="1"/>
  <c r="I9" i="87"/>
  <c r="K23" i="99"/>
  <c r="K205" i="2"/>
  <c r="J18" i="85"/>
  <c r="I25" i="99"/>
  <c r="W25" i="99" s="1"/>
  <c r="X25" i="99" s="1"/>
  <c r="F12" i="85"/>
  <c r="M25" i="99"/>
  <c r="I9" i="86"/>
  <c r="K24" i="99"/>
  <c r="K206" i="2"/>
  <c r="W23" i="99"/>
  <c r="X23" i="99" s="1"/>
  <c r="L24" i="99"/>
  <c r="L206" i="2"/>
  <c r="L22" i="99"/>
  <c r="L204" i="2"/>
  <c r="J12" i="85"/>
  <c r="J19" i="85"/>
  <c r="F9" i="85"/>
  <c r="G9" i="85" s="1"/>
  <c r="T243" i="2"/>
  <c r="L214" i="99" l="1"/>
  <c r="L205" i="2"/>
  <c r="L23" i="99"/>
  <c r="J13" i="85"/>
  <c r="F11" i="85" s="1"/>
  <c r="V207" i="2"/>
  <c r="W207" i="2" s="1"/>
  <c r="F10" i="85"/>
  <c r="AH207" i="2"/>
  <c r="AI207" i="2" s="1"/>
  <c r="Y207" i="2"/>
  <c r="Z207" i="2" s="1"/>
  <c r="K235" i="99"/>
  <c r="K11" i="138"/>
  <c r="I9" i="85"/>
  <c r="K25" i="99"/>
  <c r="K207" i="2"/>
  <c r="T208" i="2"/>
  <c r="H208" i="2"/>
  <c r="G208" i="2"/>
  <c r="F208" i="2"/>
  <c r="E208" i="2"/>
  <c r="D208" i="2"/>
  <c r="T209" i="2"/>
  <c r="AH209" i="2"/>
  <c r="AG209" i="2"/>
  <c r="F209" i="2"/>
  <c r="E209" i="2"/>
  <c r="D209" i="2"/>
  <c r="H28" i="84"/>
  <c r="C28" i="84" s="1"/>
  <c r="H27" i="84"/>
  <c r="C27" i="84" s="1"/>
  <c r="E43" i="84"/>
  <c r="C43" i="84"/>
  <c r="E42" i="84"/>
  <c r="C42" i="84"/>
  <c r="E41" i="84"/>
  <c r="C41" i="84"/>
  <c r="E40" i="84"/>
  <c r="C40" i="84"/>
  <c r="E39" i="84"/>
  <c r="C39" i="84"/>
  <c r="E38" i="84"/>
  <c r="C38" i="84"/>
  <c r="E37" i="84"/>
  <c r="C37" i="84"/>
  <c r="E36" i="84"/>
  <c r="C36" i="84"/>
  <c r="E35" i="84"/>
  <c r="C35" i="84"/>
  <c r="E34" i="84"/>
  <c r="C34" i="84"/>
  <c r="C33" i="84"/>
  <c r="C32" i="84"/>
  <c r="C31" i="84"/>
  <c r="C30" i="84"/>
  <c r="C29" i="84"/>
  <c r="H26" i="84"/>
  <c r="C26" i="84" s="1"/>
  <c r="H25" i="84"/>
  <c r="C25" i="84" s="1"/>
  <c r="H24" i="84"/>
  <c r="C24" i="84" s="1"/>
  <c r="H23" i="84"/>
  <c r="C23" i="84" s="1"/>
  <c r="J17" i="84"/>
  <c r="J16" i="84"/>
  <c r="J15" i="84"/>
  <c r="G13" i="84"/>
  <c r="F13" i="84"/>
  <c r="H12" i="84"/>
  <c r="F8" i="84"/>
  <c r="E43" i="83"/>
  <c r="C43" i="83"/>
  <c r="E42" i="83"/>
  <c r="C42" i="83"/>
  <c r="E41" i="83"/>
  <c r="C41" i="83"/>
  <c r="E40" i="83"/>
  <c r="C40" i="83"/>
  <c r="E39" i="83"/>
  <c r="C39" i="83"/>
  <c r="E38" i="83"/>
  <c r="C38" i="83"/>
  <c r="E37" i="83"/>
  <c r="C37" i="83"/>
  <c r="E36" i="83"/>
  <c r="C36" i="83"/>
  <c r="E35" i="83"/>
  <c r="C35" i="83"/>
  <c r="E34" i="83"/>
  <c r="C34" i="83"/>
  <c r="C33" i="83"/>
  <c r="C32" i="83"/>
  <c r="C31" i="83"/>
  <c r="C30" i="83"/>
  <c r="C29" i="83"/>
  <c r="C28" i="83"/>
  <c r="C27" i="83"/>
  <c r="H26" i="83"/>
  <c r="C26" i="83" s="1"/>
  <c r="H25" i="83"/>
  <c r="C25" i="83" s="1"/>
  <c r="H24" i="83"/>
  <c r="C24" i="83" s="1"/>
  <c r="H23" i="83"/>
  <c r="C23" i="83" s="1"/>
  <c r="J17" i="83"/>
  <c r="J16" i="83"/>
  <c r="J15" i="83"/>
  <c r="G13" i="83"/>
  <c r="F13" i="83"/>
  <c r="H12" i="83"/>
  <c r="F8" i="83"/>
  <c r="J18" i="83" s="1"/>
  <c r="AG208" i="2" l="1"/>
  <c r="AC208" i="2"/>
  <c r="M171" i="99"/>
  <c r="L25" i="99"/>
  <c r="F12" i="83"/>
  <c r="J13" i="83" s="1"/>
  <c r="M172" i="99"/>
  <c r="L235" i="99"/>
  <c r="L11" i="138"/>
  <c r="I208" i="2"/>
  <c r="AH208" i="2" s="1"/>
  <c r="AI208" i="2" s="1"/>
  <c r="I171" i="99"/>
  <c r="W171" i="99" s="1"/>
  <c r="X171" i="99" s="1"/>
  <c r="L207" i="2"/>
  <c r="F12" i="84"/>
  <c r="M26" i="99"/>
  <c r="F9" i="83"/>
  <c r="G9" i="83" s="1"/>
  <c r="I9" i="83" s="1"/>
  <c r="M27" i="99"/>
  <c r="M209" i="2"/>
  <c r="J19" i="84"/>
  <c r="I26" i="99"/>
  <c r="M208" i="2"/>
  <c r="AI209" i="2"/>
  <c r="F9" i="84"/>
  <c r="G9" i="84" s="1"/>
  <c r="J18" i="84"/>
  <c r="J12" i="84"/>
  <c r="J12" i="83"/>
  <c r="F11" i="83" s="1"/>
  <c r="J19" i="83"/>
  <c r="T210" i="2"/>
  <c r="H210" i="2"/>
  <c r="G210" i="2"/>
  <c r="F210" i="2"/>
  <c r="E210" i="2"/>
  <c r="D210" i="2"/>
  <c r="E43" i="82"/>
  <c r="C43" i="82"/>
  <c r="E42" i="82"/>
  <c r="C42" i="82"/>
  <c r="E41" i="82"/>
  <c r="C41" i="82"/>
  <c r="E40" i="82"/>
  <c r="C40" i="82"/>
  <c r="E39" i="82"/>
  <c r="C39" i="82"/>
  <c r="E38" i="82"/>
  <c r="C38" i="82"/>
  <c r="E37" i="82"/>
  <c r="C37" i="82"/>
  <c r="E36" i="82"/>
  <c r="C36" i="82"/>
  <c r="E35" i="82"/>
  <c r="C35" i="82"/>
  <c r="E34" i="82"/>
  <c r="C34" i="82"/>
  <c r="C33" i="82"/>
  <c r="C32" i="82"/>
  <c r="C31" i="82"/>
  <c r="C30" i="82"/>
  <c r="C29" i="82"/>
  <c r="C28" i="82"/>
  <c r="C27" i="82"/>
  <c r="H26" i="82"/>
  <c r="C26" i="82" s="1"/>
  <c r="H25" i="82"/>
  <c r="C25" i="82" s="1"/>
  <c r="H24" i="82"/>
  <c r="C24" i="82" s="1"/>
  <c r="H23" i="82"/>
  <c r="C23" i="82" s="1"/>
  <c r="J17" i="82"/>
  <c r="J16" i="82"/>
  <c r="J15" i="82"/>
  <c r="G13" i="82"/>
  <c r="F13" i="82"/>
  <c r="H12" i="82"/>
  <c r="F8" i="82"/>
  <c r="AG210" i="2" l="1"/>
  <c r="AC210" i="2"/>
  <c r="K171" i="99"/>
  <c r="F10" i="83"/>
  <c r="F10" i="84"/>
  <c r="Y208" i="2"/>
  <c r="Z208" i="2" s="1"/>
  <c r="J13" i="84"/>
  <c r="F11" i="84" s="1"/>
  <c r="V208" i="2"/>
  <c r="W208" i="2" s="1"/>
  <c r="I210" i="2"/>
  <c r="Y210" i="2" s="1"/>
  <c r="Z210" i="2" s="1"/>
  <c r="I173" i="99"/>
  <c r="W173" i="99" s="1"/>
  <c r="X173" i="99" s="1"/>
  <c r="M210" i="2"/>
  <c r="M173" i="99"/>
  <c r="I9" i="84"/>
  <c r="K26" i="99"/>
  <c r="K208" i="2"/>
  <c r="W26" i="99"/>
  <c r="X26" i="99" s="1"/>
  <c r="F12" i="82"/>
  <c r="M28" i="99"/>
  <c r="J19" i="82"/>
  <c r="I28" i="99"/>
  <c r="W28" i="99" s="1"/>
  <c r="X28" i="99" s="1"/>
  <c r="F9" i="82"/>
  <c r="G9" i="82" s="1"/>
  <c r="J18" i="82"/>
  <c r="J12" i="82"/>
  <c r="T211" i="2"/>
  <c r="H211" i="2"/>
  <c r="G211" i="2"/>
  <c r="F211" i="2"/>
  <c r="E211" i="2"/>
  <c r="D211" i="2"/>
  <c r="H31" i="81"/>
  <c r="C31" i="81" s="1"/>
  <c r="H30" i="81"/>
  <c r="C30" i="81" s="1"/>
  <c r="H29" i="81"/>
  <c r="C29" i="81" s="1"/>
  <c r="H28" i="81"/>
  <c r="C28" i="81" s="1"/>
  <c r="H27" i="81"/>
  <c r="C27" i="81" s="1"/>
  <c r="E43" i="81"/>
  <c r="C43" i="81"/>
  <c r="E42" i="81"/>
  <c r="C42" i="81"/>
  <c r="E41" i="81"/>
  <c r="C41" i="81"/>
  <c r="E40" i="81"/>
  <c r="C40" i="81"/>
  <c r="E39" i="81"/>
  <c r="C39" i="81"/>
  <c r="E38" i="81"/>
  <c r="C38" i="81"/>
  <c r="E37" i="81"/>
  <c r="C37" i="81"/>
  <c r="E36" i="81"/>
  <c r="C36" i="81"/>
  <c r="E35" i="81"/>
  <c r="C35" i="81"/>
  <c r="E34" i="81"/>
  <c r="C34" i="81"/>
  <c r="C33" i="81"/>
  <c r="C32" i="81"/>
  <c r="H26" i="81"/>
  <c r="C26" i="81" s="1"/>
  <c r="H25" i="81"/>
  <c r="C25" i="81" s="1"/>
  <c r="H24" i="81"/>
  <c r="C24" i="81" s="1"/>
  <c r="H23" i="81"/>
  <c r="C23" i="81" s="1"/>
  <c r="J17" i="81"/>
  <c r="J16" i="81"/>
  <c r="J15" i="81"/>
  <c r="G13" i="81"/>
  <c r="F13" i="81"/>
  <c r="H12" i="81"/>
  <c r="F8" i="81"/>
  <c r="AG211" i="2" l="1"/>
  <c r="AC211" i="2"/>
  <c r="I195" i="99"/>
  <c r="W195" i="99" s="1"/>
  <c r="X195" i="99" s="1"/>
  <c r="M195" i="99"/>
  <c r="K173" i="99"/>
  <c r="J13" i="82"/>
  <c r="AH210" i="2"/>
  <c r="AI210" i="2" s="1"/>
  <c r="L171" i="99"/>
  <c r="L26" i="99"/>
  <c r="L208" i="2"/>
  <c r="F10" i="82"/>
  <c r="V210" i="2"/>
  <c r="W210" i="2" s="1"/>
  <c r="F12" i="81"/>
  <c r="M29" i="99"/>
  <c r="J18" i="81"/>
  <c r="I29" i="99"/>
  <c r="W29" i="99" s="1"/>
  <c r="X29" i="99" s="1"/>
  <c r="M211" i="2"/>
  <c r="I211" i="2"/>
  <c r="I9" i="82"/>
  <c r="K28" i="99"/>
  <c r="K210" i="2"/>
  <c r="F11" i="82"/>
  <c r="F9" i="81"/>
  <c r="G9" i="81" s="1"/>
  <c r="J12" i="81"/>
  <c r="J19" i="81"/>
  <c r="T212" i="2"/>
  <c r="G212" i="2"/>
  <c r="F212" i="2"/>
  <c r="E212" i="2"/>
  <c r="D212" i="2"/>
  <c r="E43" i="80"/>
  <c r="C43" i="80"/>
  <c r="E42" i="80"/>
  <c r="C42" i="80"/>
  <c r="E41" i="80"/>
  <c r="C41" i="80"/>
  <c r="E40" i="80"/>
  <c r="C40" i="80"/>
  <c r="E39" i="80"/>
  <c r="C39" i="80"/>
  <c r="E38" i="80"/>
  <c r="C38" i="80"/>
  <c r="E37" i="80"/>
  <c r="C37" i="80"/>
  <c r="E36" i="80"/>
  <c r="C36" i="80"/>
  <c r="K25" i="80"/>
  <c r="K24" i="80"/>
  <c r="K23" i="80"/>
  <c r="J16" i="80"/>
  <c r="J15" i="80"/>
  <c r="F7" i="80"/>
  <c r="F10" i="81" l="1"/>
  <c r="H174" i="99"/>
  <c r="V174" i="99" s="1"/>
  <c r="K195" i="99"/>
  <c r="L173" i="99"/>
  <c r="G13" i="80"/>
  <c r="J13" i="81"/>
  <c r="F11" i="81" s="1"/>
  <c r="V211" i="2"/>
  <c r="W211" i="2" s="1"/>
  <c r="AH211" i="2"/>
  <c r="AI211" i="2" s="1"/>
  <c r="Y211" i="2"/>
  <c r="Z211" i="2" s="1"/>
  <c r="I9" i="81"/>
  <c r="K29" i="99"/>
  <c r="K211" i="2"/>
  <c r="F13" i="80"/>
  <c r="L28" i="99"/>
  <c r="L210" i="2"/>
  <c r="F18" i="80"/>
  <c r="J17" i="80" s="1"/>
  <c r="H30" i="99"/>
  <c r="H212" i="2"/>
  <c r="H25" i="80"/>
  <c r="C25" i="80" s="1"/>
  <c r="F8" i="80"/>
  <c r="H23" i="80"/>
  <c r="C23" i="80" s="1"/>
  <c r="H24" i="80"/>
  <c r="C24" i="80" s="1"/>
  <c r="H12" i="80"/>
  <c r="T215" i="2"/>
  <c r="H215" i="2"/>
  <c r="G215" i="2"/>
  <c r="F215" i="2"/>
  <c r="E215" i="2"/>
  <c r="D215" i="2"/>
  <c r="E43" i="79"/>
  <c r="C43" i="79"/>
  <c r="E42" i="79"/>
  <c r="C42" i="79"/>
  <c r="E41" i="79"/>
  <c r="C41" i="79"/>
  <c r="E40" i="79"/>
  <c r="C40" i="79"/>
  <c r="E39" i="79"/>
  <c r="C39" i="79"/>
  <c r="E38" i="79"/>
  <c r="C38" i="79"/>
  <c r="E37" i="79"/>
  <c r="C37" i="79"/>
  <c r="E36" i="79"/>
  <c r="C36" i="79"/>
  <c r="E35" i="79"/>
  <c r="C35" i="79"/>
  <c r="E34" i="79"/>
  <c r="C34" i="79"/>
  <c r="C33" i="79"/>
  <c r="C32" i="79"/>
  <c r="C31" i="79"/>
  <c r="C30" i="79"/>
  <c r="C29" i="79"/>
  <c r="C28" i="79"/>
  <c r="C27" i="79"/>
  <c r="H26" i="79"/>
  <c r="C26" i="79" s="1"/>
  <c r="H25" i="79"/>
  <c r="C25" i="79" s="1"/>
  <c r="H24" i="79"/>
  <c r="C24" i="79" s="1"/>
  <c r="H23" i="79"/>
  <c r="C23" i="79" s="1"/>
  <c r="J17" i="79"/>
  <c r="J16" i="79"/>
  <c r="J15" i="79"/>
  <c r="G13" i="79"/>
  <c r="F13" i="79"/>
  <c r="H12" i="79"/>
  <c r="F8" i="79"/>
  <c r="AG212" i="2" l="1"/>
  <c r="AC212" i="2"/>
  <c r="AG215" i="2"/>
  <c r="AC215" i="2"/>
  <c r="I174" i="99"/>
  <c r="W174" i="99" s="1"/>
  <c r="X174" i="99" s="1"/>
  <c r="M174" i="99"/>
  <c r="M215" i="99"/>
  <c r="L195" i="99"/>
  <c r="L29" i="99"/>
  <c r="L211" i="2"/>
  <c r="I215" i="2"/>
  <c r="I215" i="99"/>
  <c r="W215" i="99" s="1"/>
  <c r="X215" i="99" s="1"/>
  <c r="F12" i="79"/>
  <c r="M33" i="99"/>
  <c r="M215" i="2"/>
  <c r="J18" i="80"/>
  <c r="I30" i="99"/>
  <c r="W30" i="99" s="1"/>
  <c r="I212" i="2"/>
  <c r="V30" i="99"/>
  <c r="J18" i="79"/>
  <c r="I33" i="99"/>
  <c r="W33" i="99" s="1"/>
  <c r="X33" i="99" s="1"/>
  <c r="F12" i="80"/>
  <c r="M30" i="99"/>
  <c r="M212" i="2"/>
  <c r="J19" i="80"/>
  <c r="F9" i="80"/>
  <c r="G9" i="80" s="1"/>
  <c r="J12" i="80"/>
  <c r="J12" i="79"/>
  <c r="F11" i="79" s="1"/>
  <c r="J19" i="79"/>
  <c r="F9" i="79"/>
  <c r="G9" i="79" s="1"/>
  <c r="L215" i="99" l="1"/>
  <c r="K174" i="99"/>
  <c r="K215" i="99"/>
  <c r="F10" i="79"/>
  <c r="F10" i="80"/>
  <c r="V212" i="2"/>
  <c r="W212" i="2" s="1"/>
  <c r="J13" i="79"/>
  <c r="V215" i="2"/>
  <c r="W215" i="2" s="1"/>
  <c r="Y215" i="2"/>
  <c r="Z215" i="2" s="1"/>
  <c r="AH215" i="2"/>
  <c r="AI215" i="2" s="1"/>
  <c r="AH212" i="2"/>
  <c r="AI212" i="2" s="1"/>
  <c r="Y212" i="2"/>
  <c r="Z212" i="2" s="1"/>
  <c r="X30" i="99"/>
  <c r="I9" i="79"/>
  <c r="K33" i="99"/>
  <c r="K215" i="2"/>
  <c r="I9" i="80"/>
  <c r="K30" i="99"/>
  <c r="K212" i="2"/>
  <c r="J13" i="80"/>
  <c r="F11" i="80" s="1"/>
  <c r="L33" i="99"/>
  <c r="L215" i="2"/>
  <c r="T214" i="2"/>
  <c r="G214" i="2"/>
  <c r="F214" i="2"/>
  <c r="E214" i="2"/>
  <c r="D214" i="2"/>
  <c r="K35" i="78"/>
  <c r="K34" i="78"/>
  <c r="E43" i="78"/>
  <c r="C43" i="78"/>
  <c r="E42" i="78"/>
  <c r="C42" i="78"/>
  <c r="E41" i="78"/>
  <c r="C41" i="78"/>
  <c r="E40" i="78"/>
  <c r="C40" i="78"/>
  <c r="E39" i="78"/>
  <c r="C39" i="78"/>
  <c r="E38" i="78"/>
  <c r="C38" i="78"/>
  <c r="E37" i="78"/>
  <c r="C37" i="78"/>
  <c r="E36" i="78"/>
  <c r="C36" i="78"/>
  <c r="K33" i="78"/>
  <c r="K32" i="78"/>
  <c r="K31" i="78"/>
  <c r="K30" i="78"/>
  <c r="K29" i="78"/>
  <c r="K28" i="78"/>
  <c r="K27" i="78"/>
  <c r="K26" i="78"/>
  <c r="K25" i="78"/>
  <c r="K24" i="78"/>
  <c r="K23" i="78"/>
  <c r="J16" i="78"/>
  <c r="J15" i="78"/>
  <c r="F7" i="78"/>
  <c r="L174" i="99" l="1"/>
  <c r="H214" i="2"/>
  <c r="H175" i="99"/>
  <c r="V175" i="99" s="1"/>
  <c r="L30" i="99"/>
  <c r="L212" i="2"/>
  <c r="B212" i="2" s="1"/>
  <c r="F18" i="78"/>
  <c r="J17" i="78" s="1"/>
  <c r="H32" i="99"/>
  <c r="H34" i="78"/>
  <c r="C34" i="78" s="1"/>
  <c r="H35" i="78"/>
  <c r="C35" i="78" s="1"/>
  <c r="F13" i="78"/>
  <c r="H12" i="78"/>
  <c r="H24" i="78"/>
  <c r="C24" i="78" s="1"/>
  <c r="H28" i="78"/>
  <c r="C28" i="78" s="1"/>
  <c r="H25" i="78"/>
  <c r="C25" i="78" s="1"/>
  <c r="H29" i="78"/>
  <c r="C29" i="78" s="1"/>
  <c r="H32" i="78"/>
  <c r="C32" i="78" s="1"/>
  <c r="H33" i="78"/>
  <c r="C33" i="78" s="1"/>
  <c r="H23" i="78"/>
  <c r="C23" i="78" s="1"/>
  <c r="H31" i="78"/>
  <c r="C31" i="78" s="1"/>
  <c r="F8" i="78"/>
  <c r="H26" i="78"/>
  <c r="C26" i="78" s="1"/>
  <c r="H30" i="78"/>
  <c r="C30" i="78" s="1"/>
  <c r="H27" i="78"/>
  <c r="C27" i="78" s="1"/>
  <c r="G13" i="78"/>
  <c r="T216" i="2"/>
  <c r="D216" i="2"/>
  <c r="AG214" i="2" l="1"/>
  <c r="AC214" i="2"/>
  <c r="I175" i="99"/>
  <c r="W175" i="99" s="1"/>
  <c r="X175" i="99" s="1"/>
  <c r="M175" i="99"/>
  <c r="V32" i="99"/>
  <c r="I32" i="99"/>
  <c r="W32" i="99" s="1"/>
  <c r="I214" i="2"/>
  <c r="F12" i="78"/>
  <c r="M32" i="99"/>
  <c r="M214" i="2"/>
  <c r="J19" i="78"/>
  <c r="F9" i="78"/>
  <c r="G9" i="78" s="1"/>
  <c r="J18" i="78"/>
  <c r="J12" i="78"/>
  <c r="G216" i="2"/>
  <c r="F216" i="2"/>
  <c r="E216" i="2"/>
  <c r="E43" i="76"/>
  <c r="C43" i="76"/>
  <c r="E42" i="76"/>
  <c r="C42" i="76"/>
  <c r="E41" i="76"/>
  <c r="C41" i="76"/>
  <c r="E40" i="76"/>
  <c r="C40" i="76"/>
  <c r="E39" i="76"/>
  <c r="C39" i="76"/>
  <c r="E38" i="76"/>
  <c r="C38" i="76"/>
  <c r="E37" i="76"/>
  <c r="C37" i="76"/>
  <c r="E36" i="76"/>
  <c r="C36" i="76"/>
  <c r="E35" i="76"/>
  <c r="C35" i="76"/>
  <c r="E34" i="76"/>
  <c r="C34" i="76"/>
  <c r="C33" i="76"/>
  <c r="C32" i="76"/>
  <c r="C31" i="76"/>
  <c r="C30" i="76"/>
  <c r="C29" i="76"/>
  <c r="K28" i="76"/>
  <c r="K27" i="76"/>
  <c r="K26" i="76"/>
  <c r="K25" i="76"/>
  <c r="K24" i="76"/>
  <c r="K23" i="76"/>
  <c r="J17" i="76"/>
  <c r="J16" i="76"/>
  <c r="J15" i="76"/>
  <c r="F7" i="76"/>
  <c r="K175" i="99" l="1"/>
  <c r="F10" i="78"/>
  <c r="J13" i="78"/>
  <c r="F11" i="78" s="1"/>
  <c r="V214" i="2"/>
  <c r="W214" i="2" s="1"/>
  <c r="H34" i="99"/>
  <c r="V34" i="99" s="1"/>
  <c r="H176" i="99"/>
  <c r="V176" i="99" s="1"/>
  <c r="AH214" i="2"/>
  <c r="AI214" i="2" s="1"/>
  <c r="Y214" i="2"/>
  <c r="Z214" i="2" s="1"/>
  <c r="I9" i="78"/>
  <c r="K32" i="99"/>
  <c r="K214" i="2"/>
  <c r="H216" i="2"/>
  <c r="X32" i="99"/>
  <c r="H24" i="76"/>
  <c r="C24" i="76" s="1"/>
  <c r="H27" i="76"/>
  <c r="C27" i="76" s="1"/>
  <c r="H25" i="76"/>
  <c r="C25" i="76" s="1"/>
  <c r="H28" i="76"/>
  <c r="C28" i="76" s="1"/>
  <c r="F8" i="76"/>
  <c r="G13" i="76"/>
  <c r="F13" i="76"/>
  <c r="H26" i="76"/>
  <c r="C26" i="76" s="1"/>
  <c r="H23" i="76"/>
  <c r="C23" i="76" s="1"/>
  <c r="H12" i="76"/>
  <c r="T217" i="2"/>
  <c r="H217" i="2"/>
  <c r="G217" i="2"/>
  <c r="F217" i="2"/>
  <c r="E217" i="2"/>
  <c r="D217" i="2"/>
  <c r="E43" i="75"/>
  <c r="C43" i="75"/>
  <c r="E42" i="75"/>
  <c r="C42" i="75"/>
  <c r="E41" i="75"/>
  <c r="C41" i="75"/>
  <c r="E40" i="75"/>
  <c r="C40" i="75"/>
  <c r="E39" i="75"/>
  <c r="C39" i="75"/>
  <c r="E38" i="75"/>
  <c r="C38" i="75"/>
  <c r="E37" i="75"/>
  <c r="C37" i="75"/>
  <c r="E36" i="75"/>
  <c r="C36" i="75"/>
  <c r="E35" i="75"/>
  <c r="C35" i="75"/>
  <c r="E34" i="75"/>
  <c r="C34" i="75"/>
  <c r="C33" i="75"/>
  <c r="C32" i="75"/>
  <c r="C31" i="75"/>
  <c r="C30" i="75"/>
  <c r="C29" i="75"/>
  <c r="C28" i="75"/>
  <c r="C27" i="75"/>
  <c r="H26" i="75"/>
  <c r="C26" i="75" s="1"/>
  <c r="H25" i="75"/>
  <c r="C25" i="75" s="1"/>
  <c r="H24" i="75"/>
  <c r="C24" i="75" s="1"/>
  <c r="H23" i="75"/>
  <c r="C23" i="75" s="1"/>
  <c r="J17" i="75"/>
  <c r="J16" i="75"/>
  <c r="J15" i="75"/>
  <c r="G13" i="75"/>
  <c r="F13" i="75"/>
  <c r="H12" i="75"/>
  <c r="F8" i="75"/>
  <c r="AG216" i="2" l="1"/>
  <c r="AC216" i="2"/>
  <c r="AG217" i="2"/>
  <c r="AC217" i="2"/>
  <c r="M176" i="99"/>
  <c r="I176" i="99"/>
  <c r="W176" i="99" s="1"/>
  <c r="X176" i="99" s="1"/>
  <c r="F9" i="76"/>
  <c r="G9" i="76" s="1"/>
  <c r="K34" i="99" s="1"/>
  <c r="J18" i="76"/>
  <c r="L175" i="99"/>
  <c r="L32" i="99"/>
  <c r="L214" i="2"/>
  <c r="I217" i="2"/>
  <c r="AH217" i="2" s="1"/>
  <c r="AI217" i="2" s="1"/>
  <c r="I196" i="99"/>
  <c r="W196" i="99" s="1"/>
  <c r="X196" i="99" s="1"/>
  <c r="M35" i="99"/>
  <c r="M196" i="99"/>
  <c r="F12" i="75"/>
  <c r="J12" i="76"/>
  <c r="M217" i="2"/>
  <c r="I9" i="76"/>
  <c r="J19" i="76"/>
  <c r="I34" i="99"/>
  <c r="W34" i="99" s="1"/>
  <c r="X34" i="99" s="1"/>
  <c r="I216" i="2"/>
  <c r="J18" i="75"/>
  <c r="I35" i="99"/>
  <c r="W35" i="99" s="1"/>
  <c r="X35" i="99" s="1"/>
  <c r="F12" i="76"/>
  <c r="M34" i="99"/>
  <c r="M216" i="2"/>
  <c r="J12" i="75"/>
  <c r="F11" i="75" s="1"/>
  <c r="J19" i="75"/>
  <c r="F9" i="75"/>
  <c r="G9" i="75" s="1"/>
  <c r="T218" i="2"/>
  <c r="K196" i="99" l="1"/>
  <c r="F10" i="75"/>
  <c r="L196" i="99"/>
  <c r="K176" i="99"/>
  <c r="K216" i="2"/>
  <c r="Y217" i="2"/>
  <c r="Z217" i="2" s="1"/>
  <c r="J13" i="75"/>
  <c r="V217" i="2"/>
  <c r="W217" i="2" s="1"/>
  <c r="J13" i="76"/>
  <c r="F11" i="76" s="1"/>
  <c r="V216" i="2"/>
  <c r="W216" i="2" s="1"/>
  <c r="F10" i="76"/>
  <c r="AH216" i="2"/>
  <c r="AI216" i="2" s="1"/>
  <c r="Y216" i="2"/>
  <c r="Z216" i="2" s="1"/>
  <c r="I9" i="75"/>
  <c r="K35" i="99"/>
  <c r="K217" i="2"/>
  <c r="L35" i="99"/>
  <c r="L217" i="2"/>
  <c r="G218" i="2"/>
  <c r="F218" i="2"/>
  <c r="E218" i="2"/>
  <c r="D218" i="2"/>
  <c r="K30" i="74"/>
  <c r="K31" i="74"/>
  <c r="K32" i="74"/>
  <c r="K33" i="74"/>
  <c r="F7" i="74"/>
  <c r="E43" i="74"/>
  <c r="C43" i="74"/>
  <c r="E42" i="74"/>
  <c r="C42" i="74"/>
  <c r="E41" i="74"/>
  <c r="C41" i="74"/>
  <c r="E40" i="74"/>
  <c r="C40" i="74"/>
  <c r="E39" i="74"/>
  <c r="C39" i="74"/>
  <c r="E38" i="74"/>
  <c r="C38" i="74"/>
  <c r="E37" i="74"/>
  <c r="C37" i="74"/>
  <c r="E36" i="74"/>
  <c r="C36" i="74"/>
  <c r="E35" i="74"/>
  <c r="C35" i="74"/>
  <c r="E34" i="74"/>
  <c r="C34" i="74"/>
  <c r="K23" i="74"/>
  <c r="K24" i="74"/>
  <c r="K25" i="74"/>
  <c r="K26" i="74"/>
  <c r="K27" i="74"/>
  <c r="K28" i="74"/>
  <c r="K29" i="74"/>
  <c r="J17" i="74"/>
  <c r="J16" i="74"/>
  <c r="J15" i="74"/>
  <c r="AH219" i="2"/>
  <c r="G219" i="2"/>
  <c r="F219" i="2"/>
  <c r="E219" i="2"/>
  <c r="D219" i="2"/>
  <c r="H220" i="2"/>
  <c r="G220" i="2"/>
  <c r="F220" i="2"/>
  <c r="E220" i="2"/>
  <c r="D220" i="2"/>
  <c r="T220" i="2"/>
  <c r="AG219" i="2"/>
  <c r="T219" i="2"/>
  <c r="H31" i="73"/>
  <c r="C31" i="73" s="1"/>
  <c r="H26" i="73"/>
  <c r="C26" i="73" s="1"/>
  <c r="H27" i="73"/>
  <c r="C27" i="73" s="1"/>
  <c r="H28" i="73"/>
  <c r="C28" i="73" s="1"/>
  <c r="H29" i="73"/>
  <c r="C29" i="73" s="1"/>
  <c r="H30" i="73"/>
  <c r="C30" i="73" s="1"/>
  <c r="E43" i="73"/>
  <c r="C43" i="73"/>
  <c r="E42" i="73"/>
  <c r="C42" i="73"/>
  <c r="E41" i="73"/>
  <c r="C41" i="73"/>
  <c r="E40" i="73"/>
  <c r="C40" i="73"/>
  <c r="E39" i="73"/>
  <c r="C39" i="73"/>
  <c r="E38" i="73"/>
  <c r="C38" i="73"/>
  <c r="E37" i="73"/>
  <c r="C37" i="73"/>
  <c r="E36" i="73"/>
  <c r="C36" i="73"/>
  <c r="E35" i="73"/>
  <c r="C35" i="73"/>
  <c r="E34" i="73"/>
  <c r="C34" i="73"/>
  <c r="C33" i="73"/>
  <c r="C32" i="73"/>
  <c r="H25" i="73"/>
  <c r="C25" i="73" s="1"/>
  <c r="H24" i="73"/>
  <c r="C24" i="73" s="1"/>
  <c r="H23" i="73"/>
  <c r="C23" i="73" s="1"/>
  <c r="F8" i="73"/>
  <c r="J19" i="73" s="1"/>
  <c r="J17" i="73"/>
  <c r="J16" i="73"/>
  <c r="J15" i="73"/>
  <c r="H12" i="73"/>
  <c r="G13" i="73"/>
  <c r="F13" i="73"/>
  <c r="E43" i="72"/>
  <c r="C43" i="72"/>
  <c r="E42" i="72"/>
  <c r="C42" i="72"/>
  <c r="E41" i="72"/>
  <c r="C41" i="72"/>
  <c r="E40" i="72"/>
  <c r="C40" i="72"/>
  <c r="E39" i="72"/>
  <c r="C39" i="72"/>
  <c r="E38" i="72"/>
  <c r="C38" i="72"/>
  <c r="E37" i="72"/>
  <c r="C37" i="72"/>
  <c r="E36" i="72"/>
  <c r="C36" i="72"/>
  <c r="E35" i="72"/>
  <c r="C35" i="72"/>
  <c r="E34" i="72"/>
  <c r="C34" i="72"/>
  <c r="C33" i="72"/>
  <c r="C32" i="72"/>
  <c r="C31" i="72"/>
  <c r="C30" i="72"/>
  <c r="C29" i="72"/>
  <c r="C28" i="72"/>
  <c r="C27" i="72"/>
  <c r="C26" i="72"/>
  <c r="C25" i="72"/>
  <c r="H24" i="72"/>
  <c r="C24" i="72" s="1"/>
  <c r="H23" i="72"/>
  <c r="C23" i="72" s="1"/>
  <c r="F8" i="72"/>
  <c r="J17" i="72"/>
  <c r="J16" i="72"/>
  <c r="J15" i="72"/>
  <c r="H12" i="72"/>
  <c r="G13" i="72"/>
  <c r="F13" i="72"/>
  <c r="T238" i="2"/>
  <c r="T237" i="2"/>
  <c r="T236" i="2"/>
  <c r="T235" i="2"/>
  <c r="T234" i="2"/>
  <c r="T233" i="2"/>
  <c r="T232" i="2"/>
  <c r="T231" i="2"/>
  <c r="T230" i="2"/>
  <c r="T229" i="2"/>
  <c r="T228" i="2"/>
  <c r="T226" i="2"/>
  <c r="T225" i="2"/>
  <c r="T224" i="2"/>
  <c r="T223" i="2"/>
  <c r="T222" i="2"/>
  <c r="T221" i="2"/>
  <c r="E223" i="2"/>
  <c r="H221" i="2"/>
  <c r="G221" i="2"/>
  <c r="F221" i="2"/>
  <c r="E221" i="2"/>
  <c r="H222" i="2"/>
  <c r="G222" i="2"/>
  <c r="F222" i="2"/>
  <c r="D222" i="2"/>
  <c r="D221" i="2"/>
  <c r="E222" i="2"/>
  <c r="H29" i="71"/>
  <c r="C29" i="71" s="1"/>
  <c r="H28" i="71"/>
  <c r="C28" i="71" s="1"/>
  <c r="E43" i="71"/>
  <c r="C43" i="71"/>
  <c r="E42" i="71"/>
  <c r="C42" i="71"/>
  <c r="E41" i="71"/>
  <c r="C41" i="71"/>
  <c r="E40" i="71"/>
  <c r="C40" i="71"/>
  <c r="E39" i="71"/>
  <c r="C39" i="71"/>
  <c r="E38" i="71"/>
  <c r="C38" i="71"/>
  <c r="E37" i="71"/>
  <c r="C37" i="71"/>
  <c r="E36" i="71"/>
  <c r="C36" i="71"/>
  <c r="E35" i="71"/>
  <c r="C35" i="71"/>
  <c r="E34" i="71"/>
  <c r="C34" i="71"/>
  <c r="C33" i="71"/>
  <c r="C32" i="71"/>
  <c r="C31" i="71"/>
  <c r="C30" i="71"/>
  <c r="H27" i="71"/>
  <c r="C27" i="71" s="1"/>
  <c r="H26" i="71"/>
  <c r="C26" i="71" s="1"/>
  <c r="H25" i="71"/>
  <c r="C25" i="71" s="1"/>
  <c r="H24" i="71"/>
  <c r="C24" i="71" s="1"/>
  <c r="H23" i="71"/>
  <c r="C23" i="71" s="1"/>
  <c r="F8" i="71"/>
  <c r="J17" i="71"/>
  <c r="J16" i="71"/>
  <c r="J15" i="71"/>
  <c r="H12" i="71"/>
  <c r="G13" i="71"/>
  <c r="F13" i="71"/>
  <c r="E43" i="70"/>
  <c r="C43" i="70"/>
  <c r="E42" i="70"/>
  <c r="C42" i="70"/>
  <c r="E41" i="70"/>
  <c r="C41" i="70"/>
  <c r="E40" i="70"/>
  <c r="C40" i="70"/>
  <c r="E39" i="70"/>
  <c r="C39" i="70"/>
  <c r="E38" i="70"/>
  <c r="C38" i="70"/>
  <c r="E37" i="70"/>
  <c r="C37" i="70"/>
  <c r="E36" i="70"/>
  <c r="C36" i="70"/>
  <c r="E35" i="70"/>
  <c r="C35" i="70"/>
  <c r="E34" i="70"/>
  <c r="C34" i="70"/>
  <c r="C33" i="70"/>
  <c r="C32" i="70"/>
  <c r="C31" i="70"/>
  <c r="C30" i="70"/>
  <c r="C29" i="70"/>
  <c r="C28" i="70"/>
  <c r="C27" i="70"/>
  <c r="C26" i="70"/>
  <c r="H25" i="70"/>
  <c r="C25" i="70" s="1"/>
  <c r="H24" i="70"/>
  <c r="C24" i="70" s="1"/>
  <c r="H23" i="70"/>
  <c r="C23" i="70" s="1"/>
  <c r="F8" i="70"/>
  <c r="J12" i="70" s="1"/>
  <c r="F11" i="70" s="1"/>
  <c r="J17" i="70"/>
  <c r="J16" i="70"/>
  <c r="J15" i="70"/>
  <c r="H12" i="70"/>
  <c r="G13" i="70"/>
  <c r="F13" i="70"/>
  <c r="H223" i="2"/>
  <c r="G223" i="2"/>
  <c r="F223" i="2"/>
  <c r="D223" i="2"/>
  <c r="E43" i="69"/>
  <c r="C43" i="69"/>
  <c r="E42" i="69"/>
  <c r="C42" i="69"/>
  <c r="E41" i="69"/>
  <c r="C41" i="69"/>
  <c r="E40" i="69"/>
  <c r="C40" i="69"/>
  <c r="E39" i="69"/>
  <c r="C39" i="69"/>
  <c r="E38" i="69"/>
  <c r="C38" i="69"/>
  <c r="E37" i="69"/>
  <c r="C37" i="69"/>
  <c r="E36" i="69"/>
  <c r="C36" i="69"/>
  <c r="E35" i="69"/>
  <c r="C35" i="69"/>
  <c r="E34" i="69"/>
  <c r="C34" i="69"/>
  <c r="C33" i="69"/>
  <c r="C32" i="69"/>
  <c r="C31" i="69"/>
  <c r="C30" i="69"/>
  <c r="C29" i="69"/>
  <c r="C28" i="69"/>
  <c r="H27" i="69"/>
  <c r="E27" i="69" s="1"/>
  <c r="H26" i="69"/>
  <c r="C26" i="69" s="1"/>
  <c r="H25" i="69"/>
  <c r="C25" i="69" s="1"/>
  <c r="H24" i="69"/>
  <c r="C24" i="69" s="1"/>
  <c r="H23" i="69"/>
  <c r="C23" i="69" s="1"/>
  <c r="F8" i="69"/>
  <c r="J17" i="69"/>
  <c r="J16" i="69"/>
  <c r="J15" i="69"/>
  <c r="H12" i="69"/>
  <c r="G13" i="69"/>
  <c r="F13" i="69"/>
  <c r="H224" i="2"/>
  <c r="G224" i="2"/>
  <c r="F224" i="2"/>
  <c r="E224" i="2"/>
  <c r="D224" i="2"/>
  <c r="E43" i="68"/>
  <c r="C43" i="68"/>
  <c r="E42" i="68"/>
  <c r="C42" i="68"/>
  <c r="E41" i="68"/>
  <c r="C41" i="68"/>
  <c r="E40" i="68"/>
  <c r="C40" i="68"/>
  <c r="E39" i="68"/>
  <c r="C39" i="68"/>
  <c r="E38" i="68"/>
  <c r="C38" i="68"/>
  <c r="E37" i="68"/>
  <c r="C37" i="68"/>
  <c r="E36" i="68"/>
  <c r="C36" i="68"/>
  <c r="E35" i="68"/>
  <c r="C35" i="68"/>
  <c r="E34" i="68"/>
  <c r="C34" i="68"/>
  <c r="C33" i="68"/>
  <c r="C32" i="68"/>
  <c r="C31" i="68"/>
  <c r="C30" i="68"/>
  <c r="C29" i="68"/>
  <c r="H28" i="68"/>
  <c r="E28" i="68" s="1"/>
  <c r="H27" i="68"/>
  <c r="E27" i="68" s="1"/>
  <c r="H26" i="68"/>
  <c r="C26" i="68" s="1"/>
  <c r="H25" i="68"/>
  <c r="C25" i="68" s="1"/>
  <c r="H24" i="68"/>
  <c r="C24" i="68" s="1"/>
  <c r="H23" i="68"/>
  <c r="C23" i="68" s="1"/>
  <c r="F8" i="68"/>
  <c r="J17" i="68"/>
  <c r="J16" i="68"/>
  <c r="J15" i="68"/>
  <c r="H12" i="68"/>
  <c r="G13" i="68"/>
  <c r="F13" i="68"/>
  <c r="H225" i="2"/>
  <c r="G225" i="2"/>
  <c r="F225" i="2"/>
  <c r="E225" i="2"/>
  <c r="D225" i="2"/>
  <c r="H33" i="67"/>
  <c r="H32" i="67"/>
  <c r="C32" i="67" s="1"/>
  <c r="H31" i="67"/>
  <c r="C31" i="67" s="1"/>
  <c r="H30" i="67"/>
  <c r="C30" i="67" s="1"/>
  <c r="H29" i="67"/>
  <c r="E43" i="67"/>
  <c r="C43" i="67"/>
  <c r="E42" i="67"/>
  <c r="C42" i="67"/>
  <c r="E41" i="67"/>
  <c r="C41" i="67"/>
  <c r="E40" i="67"/>
  <c r="C40" i="67"/>
  <c r="E39" i="67"/>
  <c r="C39" i="67"/>
  <c r="E38" i="67"/>
  <c r="C38" i="67"/>
  <c r="E37" i="67"/>
  <c r="C37" i="67"/>
  <c r="E36" i="67"/>
  <c r="C36" i="67"/>
  <c r="E35" i="67"/>
  <c r="C35" i="67"/>
  <c r="E34" i="67"/>
  <c r="C34" i="67"/>
  <c r="H28" i="67"/>
  <c r="E28" i="67" s="1"/>
  <c r="H27" i="67"/>
  <c r="C27" i="67" s="1"/>
  <c r="H26" i="67"/>
  <c r="C26" i="67" s="1"/>
  <c r="H25" i="67"/>
  <c r="C25" i="67" s="1"/>
  <c r="H24" i="67"/>
  <c r="C24" i="67" s="1"/>
  <c r="H23" i="67"/>
  <c r="C23" i="67" s="1"/>
  <c r="F8" i="67"/>
  <c r="J17" i="67"/>
  <c r="J16" i="67"/>
  <c r="J15" i="67"/>
  <c r="H12" i="67"/>
  <c r="G13" i="67"/>
  <c r="F13" i="67"/>
  <c r="H226" i="2"/>
  <c r="D226" i="2"/>
  <c r="G226" i="2"/>
  <c r="F226" i="2"/>
  <c r="E226" i="2"/>
  <c r="H28" i="66"/>
  <c r="C28" i="66" s="1"/>
  <c r="H27" i="66"/>
  <c r="E43" i="66"/>
  <c r="C43" i="66"/>
  <c r="E42" i="66"/>
  <c r="C42" i="66"/>
  <c r="E41" i="66"/>
  <c r="C41" i="66"/>
  <c r="E40" i="66"/>
  <c r="C40" i="66"/>
  <c r="E39" i="66"/>
  <c r="C39" i="66"/>
  <c r="E38" i="66"/>
  <c r="C38" i="66"/>
  <c r="E37" i="66"/>
  <c r="C37" i="66"/>
  <c r="E36" i="66"/>
  <c r="C36" i="66"/>
  <c r="E35" i="66"/>
  <c r="C35" i="66"/>
  <c r="E34" i="66"/>
  <c r="C34" i="66"/>
  <c r="E33" i="66"/>
  <c r="C33" i="66"/>
  <c r="E32" i="66"/>
  <c r="C32" i="66"/>
  <c r="E31" i="66"/>
  <c r="C31" i="66"/>
  <c r="E30" i="66"/>
  <c r="C30" i="66"/>
  <c r="E29" i="66"/>
  <c r="C29" i="66"/>
  <c r="E28" i="66"/>
  <c r="H26" i="66"/>
  <c r="C26" i="66" s="1"/>
  <c r="H25" i="66"/>
  <c r="C25" i="66" s="1"/>
  <c r="H24" i="66"/>
  <c r="C24" i="66" s="1"/>
  <c r="H23" i="66"/>
  <c r="C23" i="66" s="1"/>
  <c r="F8" i="66"/>
  <c r="J17" i="66"/>
  <c r="J16" i="66"/>
  <c r="J15" i="66"/>
  <c r="H12" i="66"/>
  <c r="G13" i="66"/>
  <c r="F13" i="66"/>
  <c r="F12" i="65"/>
  <c r="F11" i="65"/>
  <c r="AG238" i="2"/>
  <c r="AH238" i="2"/>
  <c r="AG249" i="2"/>
  <c r="AH249" i="2"/>
  <c r="H228" i="2"/>
  <c r="G228" i="2"/>
  <c r="F228" i="2"/>
  <c r="E228" i="2"/>
  <c r="D228" i="2"/>
  <c r="H27" i="64"/>
  <c r="C27" i="64" s="1"/>
  <c r="E43" i="64"/>
  <c r="C43" i="64"/>
  <c r="E42" i="64"/>
  <c r="C42" i="64"/>
  <c r="E41" i="64"/>
  <c r="C41" i="64"/>
  <c r="E40" i="64"/>
  <c r="C40" i="64"/>
  <c r="E39" i="64"/>
  <c r="C39" i="64"/>
  <c r="E38" i="64"/>
  <c r="C38" i="64"/>
  <c r="E37" i="64"/>
  <c r="C37" i="64"/>
  <c r="E36" i="64"/>
  <c r="C36" i="64"/>
  <c r="E35" i="64"/>
  <c r="C35" i="64"/>
  <c r="E34" i="64"/>
  <c r="C34" i="64"/>
  <c r="E33" i="64"/>
  <c r="C33" i="64"/>
  <c r="E32" i="64"/>
  <c r="C32" i="64"/>
  <c r="E31" i="64"/>
  <c r="C31" i="64"/>
  <c r="E30" i="64"/>
  <c r="C30" i="64"/>
  <c r="E29" i="64"/>
  <c r="C29" i="64"/>
  <c r="E28" i="64"/>
  <c r="C28" i="64"/>
  <c r="H26" i="64"/>
  <c r="C26" i="64" s="1"/>
  <c r="H25" i="64"/>
  <c r="C25" i="64" s="1"/>
  <c r="H24" i="64"/>
  <c r="C24" i="64" s="1"/>
  <c r="H23" i="64"/>
  <c r="C23" i="64" s="1"/>
  <c r="J17" i="64"/>
  <c r="J16" i="64"/>
  <c r="J15" i="64"/>
  <c r="G13" i="64"/>
  <c r="F13" i="64"/>
  <c r="H12" i="64"/>
  <c r="F8" i="64"/>
  <c r="G229" i="2"/>
  <c r="F229" i="2"/>
  <c r="E229" i="2"/>
  <c r="D229" i="2"/>
  <c r="J35" i="63"/>
  <c r="K35" i="63" s="1"/>
  <c r="J34" i="63"/>
  <c r="K34" i="63" s="1"/>
  <c r="J33" i="63"/>
  <c r="K33" i="63" s="1"/>
  <c r="J23" i="63"/>
  <c r="K23" i="63" s="1"/>
  <c r="J32" i="63"/>
  <c r="K32" i="63" s="1"/>
  <c r="J31" i="63"/>
  <c r="K31" i="63" s="1"/>
  <c r="J30" i="63"/>
  <c r="K30" i="63" s="1"/>
  <c r="J29" i="63"/>
  <c r="K29" i="63" s="1"/>
  <c r="J28" i="63"/>
  <c r="K28" i="63" s="1"/>
  <c r="J27" i="63"/>
  <c r="K27" i="63" s="1"/>
  <c r="J26" i="63"/>
  <c r="K26" i="63" s="1"/>
  <c r="J25" i="63"/>
  <c r="K25" i="63" s="1"/>
  <c r="J24" i="63"/>
  <c r="K24" i="63" s="1"/>
  <c r="J7" i="63"/>
  <c r="F7" i="63" s="1"/>
  <c r="E43" i="63"/>
  <c r="C43" i="63"/>
  <c r="E42" i="63"/>
  <c r="C42" i="63"/>
  <c r="E41" i="63"/>
  <c r="C41" i="63"/>
  <c r="E40" i="63"/>
  <c r="C40" i="63"/>
  <c r="E39" i="63"/>
  <c r="C39" i="63"/>
  <c r="E38" i="63"/>
  <c r="C38" i="63"/>
  <c r="E37" i="63"/>
  <c r="C37" i="63"/>
  <c r="E36" i="63"/>
  <c r="C36" i="63"/>
  <c r="J16" i="63"/>
  <c r="J15" i="63"/>
  <c r="J17" i="63"/>
  <c r="T240" i="2"/>
  <c r="G232" i="2"/>
  <c r="F232" i="2"/>
  <c r="E232" i="2"/>
  <c r="D232" i="2"/>
  <c r="H234" i="2"/>
  <c r="G234" i="2"/>
  <c r="F234" i="2"/>
  <c r="E234" i="2"/>
  <c r="D234" i="2"/>
  <c r="E43" i="62"/>
  <c r="C43" i="62"/>
  <c r="E42" i="62"/>
  <c r="C42" i="62"/>
  <c r="E41" i="62"/>
  <c r="C41" i="62"/>
  <c r="E40" i="62"/>
  <c r="C40" i="62"/>
  <c r="E39" i="62"/>
  <c r="C39" i="62"/>
  <c r="E38" i="62"/>
  <c r="C38" i="62"/>
  <c r="E37" i="62"/>
  <c r="C37" i="62"/>
  <c r="E36" i="62"/>
  <c r="C36" i="62"/>
  <c r="E35" i="62"/>
  <c r="C35" i="62"/>
  <c r="E34" i="62"/>
  <c r="C34" i="62"/>
  <c r="E33" i="62"/>
  <c r="C33" i="62"/>
  <c r="E32" i="62"/>
  <c r="C32" i="62"/>
  <c r="E31" i="62"/>
  <c r="C31" i="62"/>
  <c r="E30" i="62"/>
  <c r="C30" i="62"/>
  <c r="E29" i="62"/>
  <c r="C29" i="62"/>
  <c r="H26" i="62"/>
  <c r="C26" i="62" s="1"/>
  <c r="H25" i="62"/>
  <c r="C25" i="62" s="1"/>
  <c r="H24" i="62"/>
  <c r="C24" i="62" s="1"/>
  <c r="H23" i="62"/>
  <c r="C23" i="62" s="1"/>
  <c r="J17" i="62"/>
  <c r="J16" i="62"/>
  <c r="J15" i="62"/>
  <c r="G13" i="62"/>
  <c r="F13" i="62"/>
  <c r="H12" i="62"/>
  <c r="F8" i="62"/>
  <c r="I234" i="2" s="1"/>
  <c r="E43" i="61"/>
  <c r="C43" i="61"/>
  <c r="E42" i="61"/>
  <c r="C42" i="61"/>
  <c r="E41" i="61"/>
  <c r="C41" i="61"/>
  <c r="E40" i="61"/>
  <c r="C40" i="61"/>
  <c r="E39" i="61"/>
  <c r="C39" i="61"/>
  <c r="E38" i="61"/>
  <c r="C38" i="61"/>
  <c r="E37" i="61"/>
  <c r="C37" i="61"/>
  <c r="E36" i="61"/>
  <c r="C36" i="61"/>
  <c r="E35" i="61"/>
  <c r="C35" i="61"/>
  <c r="E34" i="61"/>
  <c r="C34" i="61"/>
  <c r="K25" i="61"/>
  <c r="K24" i="61"/>
  <c r="K23" i="61"/>
  <c r="J17" i="61"/>
  <c r="J16" i="61"/>
  <c r="J15" i="61"/>
  <c r="F7" i="61"/>
  <c r="D55" i="59"/>
  <c r="D51" i="59"/>
  <c r="F51" i="59"/>
  <c r="D52" i="59"/>
  <c r="F52" i="59"/>
  <c r="D53" i="59"/>
  <c r="G53" i="59"/>
  <c r="I53" i="59"/>
  <c r="L53" i="59"/>
  <c r="D54" i="59"/>
  <c r="I54" i="59"/>
  <c r="J54" i="59"/>
  <c r="K54" i="59"/>
  <c r="L54" i="59"/>
  <c r="F50" i="59"/>
  <c r="I50" i="59"/>
  <c r="J50" i="59"/>
  <c r="D50" i="59"/>
  <c r="G230" i="2"/>
  <c r="F230" i="2"/>
  <c r="E230" i="2"/>
  <c r="D230" i="2"/>
  <c r="K34" i="60"/>
  <c r="E43" i="60"/>
  <c r="C43" i="60"/>
  <c r="E42" i="60"/>
  <c r="C42" i="60"/>
  <c r="E41" i="60"/>
  <c r="C41" i="60"/>
  <c r="E40" i="60"/>
  <c r="C40" i="60"/>
  <c r="E39" i="60"/>
  <c r="C39" i="60"/>
  <c r="E38" i="60"/>
  <c r="C38" i="60"/>
  <c r="E37" i="60"/>
  <c r="C37" i="60"/>
  <c r="E36" i="60"/>
  <c r="C36" i="60"/>
  <c r="E35" i="60"/>
  <c r="C35" i="60"/>
  <c r="K33" i="60"/>
  <c r="K32" i="60"/>
  <c r="K31" i="60"/>
  <c r="K30" i="60"/>
  <c r="K29" i="60"/>
  <c r="K28" i="60"/>
  <c r="K27" i="60"/>
  <c r="K26" i="60"/>
  <c r="K25" i="60"/>
  <c r="K24" i="60"/>
  <c r="K23" i="60"/>
  <c r="J16" i="60"/>
  <c r="J15" i="60"/>
  <c r="F7" i="60"/>
  <c r="J17" i="60"/>
  <c r="J24" i="59"/>
  <c r="G231" i="2"/>
  <c r="F231" i="2"/>
  <c r="E231" i="2"/>
  <c r="D231" i="2"/>
  <c r="J7" i="59"/>
  <c r="J53" i="59" s="1"/>
  <c r="J33" i="59"/>
  <c r="J32" i="59"/>
  <c r="J31" i="59"/>
  <c r="J30" i="59"/>
  <c r="J29" i="59"/>
  <c r="J28" i="59"/>
  <c r="J27" i="59"/>
  <c r="J26" i="59"/>
  <c r="J23" i="59"/>
  <c r="J25" i="59"/>
  <c r="K7" i="59"/>
  <c r="E43" i="59"/>
  <c r="C43" i="59"/>
  <c r="E42" i="59"/>
  <c r="C42" i="59"/>
  <c r="E41" i="59"/>
  <c r="C41" i="59"/>
  <c r="E40" i="59"/>
  <c r="C40" i="59"/>
  <c r="E39" i="59"/>
  <c r="C39" i="59"/>
  <c r="E38" i="59"/>
  <c r="C38" i="59"/>
  <c r="E37" i="59"/>
  <c r="C37" i="59"/>
  <c r="E36" i="59"/>
  <c r="C36" i="59"/>
  <c r="E35" i="59"/>
  <c r="C35" i="59"/>
  <c r="J16" i="59"/>
  <c r="J15" i="59"/>
  <c r="N11" i="59"/>
  <c r="N10" i="59"/>
  <c r="J17" i="59"/>
  <c r="G233" i="2"/>
  <c r="F233" i="2"/>
  <c r="E233" i="2"/>
  <c r="D233" i="2"/>
  <c r="F7" i="58"/>
  <c r="E43" i="58"/>
  <c r="C43" i="58"/>
  <c r="E42" i="58"/>
  <c r="C42" i="58"/>
  <c r="E41" i="58"/>
  <c r="C41" i="58"/>
  <c r="E40" i="58"/>
  <c r="C40" i="58"/>
  <c r="E39" i="58"/>
  <c r="C39" i="58"/>
  <c r="E38" i="58"/>
  <c r="C38" i="58"/>
  <c r="E37" i="58"/>
  <c r="C37" i="58"/>
  <c r="E36" i="58"/>
  <c r="C36" i="58"/>
  <c r="E35" i="58"/>
  <c r="C35" i="58"/>
  <c r="E34" i="58"/>
  <c r="C34" i="58"/>
  <c r="K29" i="58"/>
  <c r="K28" i="58"/>
  <c r="K27" i="58"/>
  <c r="K26" i="58"/>
  <c r="K25" i="58"/>
  <c r="K24" i="58"/>
  <c r="K23" i="58"/>
  <c r="J16" i="58"/>
  <c r="J15" i="58"/>
  <c r="J17" i="58"/>
  <c r="H235" i="2"/>
  <c r="G235" i="2"/>
  <c r="F235" i="2"/>
  <c r="E235" i="2"/>
  <c r="D235" i="2"/>
  <c r="H28" i="57"/>
  <c r="C28" i="57" s="1"/>
  <c r="H27" i="57"/>
  <c r="C27" i="57" s="1"/>
  <c r="E43" i="57"/>
  <c r="C43" i="57"/>
  <c r="E42" i="57"/>
  <c r="C42" i="57"/>
  <c r="E41" i="57"/>
  <c r="C41" i="57"/>
  <c r="E40" i="57"/>
  <c r="C40" i="57"/>
  <c r="E39" i="57"/>
  <c r="C39" i="57"/>
  <c r="E38" i="57"/>
  <c r="C38" i="57"/>
  <c r="E37" i="57"/>
  <c r="C37" i="57"/>
  <c r="E36" i="57"/>
  <c r="C36" i="57"/>
  <c r="E35" i="57"/>
  <c r="C35" i="57"/>
  <c r="E34" i="57"/>
  <c r="C34" i="57"/>
  <c r="E33" i="57"/>
  <c r="C33" i="57"/>
  <c r="E32" i="57"/>
  <c r="C32" i="57"/>
  <c r="E31" i="57"/>
  <c r="C31" i="57"/>
  <c r="E30" i="57"/>
  <c r="C30" i="57"/>
  <c r="E29" i="57"/>
  <c r="C29" i="57"/>
  <c r="E28" i="57"/>
  <c r="H26" i="57"/>
  <c r="C26" i="57" s="1"/>
  <c r="H25" i="57"/>
  <c r="C25" i="57" s="1"/>
  <c r="H24" i="57"/>
  <c r="C24" i="57" s="1"/>
  <c r="H23" i="57"/>
  <c r="C23" i="57" s="1"/>
  <c r="F18" i="57"/>
  <c r="J17" i="57" s="1"/>
  <c r="J16" i="57"/>
  <c r="J15" i="57"/>
  <c r="G13" i="57"/>
  <c r="F13" i="57"/>
  <c r="H12" i="57"/>
  <c r="F8" i="57"/>
  <c r="G238" i="2"/>
  <c r="F238" i="2"/>
  <c r="E238" i="2"/>
  <c r="D238" i="2"/>
  <c r="H236" i="2"/>
  <c r="G236" i="2"/>
  <c r="F236" i="2"/>
  <c r="E236" i="2"/>
  <c r="D236" i="2"/>
  <c r="E43" i="56"/>
  <c r="C43" i="56"/>
  <c r="E42" i="56"/>
  <c r="C42" i="56"/>
  <c r="E41" i="56"/>
  <c r="C41" i="56"/>
  <c r="E40" i="56"/>
  <c r="C40" i="56"/>
  <c r="E39" i="56"/>
  <c r="C39" i="56"/>
  <c r="E38" i="56"/>
  <c r="C38" i="56"/>
  <c r="E37" i="56"/>
  <c r="C37" i="56"/>
  <c r="E36" i="56"/>
  <c r="C36" i="56"/>
  <c r="E35" i="56"/>
  <c r="C35" i="56"/>
  <c r="E34" i="56"/>
  <c r="C34" i="56"/>
  <c r="E33" i="56"/>
  <c r="C33" i="56"/>
  <c r="E32" i="56"/>
  <c r="C32" i="56"/>
  <c r="E31" i="56"/>
  <c r="C31" i="56"/>
  <c r="E30" i="56"/>
  <c r="C30" i="56"/>
  <c r="E29" i="56"/>
  <c r="C29" i="56"/>
  <c r="E28" i="56"/>
  <c r="C28" i="56"/>
  <c r="E27" i="56"/>
  <c r="C27" i="56"/>
  <c r="H25" i="56"/>
  <c r="C25" i="56" s="1"/>
  <c r="H24" i="56"/>
  <c r="C24" i="56" s="1"/>
  <c r="H23" i="56"/>
  <c r="C23" i="56" s="1"/>
  <c r="J17" i="56"/>
  <c r="J16" i="56"/>
  <c r="J15" i="56"/>
  <c r="G13" i="56"/>
  <c r="F13" i="56"/>
  <c r="H12" i="56"/>
  <c r="F8" i="56"/>
  <c r="H237" i="2"/>
  <c r="G237" i="2"/>
  <c r="F237" i="2"/>
  <c r="E237" i="2"/>
  <c r="D237" i="2"/>
  <c r="H28" i="55"/>
  <c r="C28" i="55" s="1"/>
  <c r="H27" i="55"/>
  <c r="E43" i="55"/>
  <c r="C43" i="55"/>
  <c r="E42" i="55"/>
  <c r="C42" i="55"/>
  <c r="E41" i="55"/>
  <c r="C41" i="55"/>
  <c r="E40" i="55"/>
  <c r="C40" i="55"/>
  <c r="E39" i="55"/>
  <c r="C39" i="55"/>
  <c r="E38" i="55"/>
  <c r="C38" i="55"/>
  <c r="E37" i="55"/>
  <c r="C37" i="55"/>
  <c r="E36" i="55"/>
  <c r="C36" i="55"/>
  <c r="E35" i="55"/>
  <c r="C35" i="55"/>
  <c r="E34" i="55"/>
  <c r="C34" i="55"/>
  <c r="E33" i="55"/>
  <c r="C33" i="55"/>
  <c r="E32" i="55"/>
  <c r="C32" i="55"/>
  <c r="E31" i="55"/>
  <c r="C31" i="55"/>
  <c r="E30" i="55"/>
  <c r="C30" i="55"/>
  <c r="E29" i="55"/>
  <c r="C29" i="55"/>
  <c r="H26" i="55"/>
  <c r="C26" i="55" s="1"/>
  <c r="H25" i="55"/>
  <c r="C25" i="55" s="1"/>
  <c r="H24" i="55"/>
  <c r="C24" i="55" s="1"/>
  <c r="H23" i="55"/>
  <c r="C23" i="55" s="1"/>
  <c r="J17" i="55"/>
  <c r="J16" i="55"/>
  <c r="J15" i="55"/>
  <c r="G13" i="55"/>
  <c r="F13" i="55"/>
  <c r="H12" i="55"/>
  <c r="F8" i="55"/>
  <c r="H70" i="54"/>
  <c r="G70" i="54"/>
  <c r="F70" i="54"/>
  <c r="E70" i="54"/>
  <c r="D70" i="54"/>
  <c r="G50" i="54"/>
  <c r="F50" i="54"/>
  <c r="E50" i="54"/>
  <c r="D50" i="54"/>
  <c r="G49" i="54"/>
  <c r="F49" i="54"/>
  <c r="E49" i="54"/>
  <c r="D49" i="54"/>
  <c r="H48" i="54"/>
  <c r="G48" i="54"/>
  <c r="F48" i="54"/>
  <c r="E48" i="54"/>
  <c r="D48" i="54"/>
  <c r="G29" i="54"/>
  <c r="F29" i="54"/>
  <c r="E29" i="54"/>
  <c r="D29" i="54"/>
  <c r="H59" i="54"/>
  <c r="G59" i="54"/>
  <c r="F59" i="54"/>
  <c r="E59" i="54"/>
  <c r="D59" i="54"/>
  <c r="H28" i="54"/>
  <c r="G28" i="54"/>
  <c r="F28" i="54"/>
  <c r="E28" i="54"/>
  <c r="D28" i="54"/>
  <c r="H47" i="54"/>
  <c r="G47" i="54"/>
  <c r="F47" i="54"/>
  <c r="E47" i="54"/>
  <c r="D47" i="54"/>
  <c r="H46" i="54"/>
  <c r="G46" i="54"/>
  <c r="F46" i="54"/>
  <c r="E46" i="54"/>
  <c r="D46" i="54"/>
  <c r="G45" i="54"/>
  <c r="F45" i="54"/>
  <c r="E45" i="54"/>
  <c r="D45" i="54"/>
  <c r="G44" i="54"/>
  <c r="F44" i="54"/>
  <c r="E44" i="54"/>
  <c r="D44" i="54"/>
  <c r="H58" i="54"/>
  <c r="G58" i="54"/>
  <c r="F58" i="54"/>
  <c r="E58" i="54"/>
  <c r="D58" i="54"/>
  <c r="H27" i="54"/>
  <c r="G27" i="54"/>
  <c r="F27" i="54"/>
  <c r="E27" i="54"/>
  <c r="D27" i="54"/>
  <c r="H43" i="54"/>
  <c r="G43" i="54"/>
  <c r="F43" i="54"/>
  <c r="E43" i="54"/>
  <c r="D43" i="54"/>
  <c r="H18" i="54"/>
  <c r="G18" i="54"/>
  <c r="F18" i="54"/>
  <c r="E18" i="54"/>
  <c r="D18" i="54"/>
  <c r="H42" i="54"/>
  <c r="G42" i="54"/>
  <c r="F42" i="54"/>
  <c r="E42" i="54"/>
  <c r="D42" i="54"/>
  <c r="G57" i="54"/>
  <c r="F57" i="54"/>
  <c r="E57" i="54"/>
  <c r="D57" i="54"/>
  <c r="G26" i="54"/>
  <c r="F26" i="54"/>
  <c r="E26" i="54"/>
  <c r="D26" i="54"/>
  <c r="H41" i="54"/>
  <c r="G41" i="54"/>
  <c r="F41" i="54"/>
  <c r="E41" i="54"/>
  <c r="D41" i="54"/>
  <c r="G25" i="54"/>
  <c r="F25" i="54"/>
  <c r="E25" i="54"/>
  <c r="D25" i="54"/>
  <c r="H24" i="54"/>
  <c r="G24" i="54"/>
  <c r="F24" i="54"/>
  <c r="E24" i="54"/>
  <c r="D24" i="54"/>
  <c r="H17" i="54"/>
  <c r="G17" i="54"/>
  <c r="F17" i="54"/>
  <c r="E17" i="54"/>
  <c r="D17" i="54"/>
  <c r="H16" i="54"/>
  <c r="G16" i="54"/>
  <c r="F16" i="54"/>
  <c r="E16" i="54"/>
  <c r="D16" i="54"/>
  <c r="H40" i="54"/>
  <c r="G40" i="54"/>
  <c r="F40" i="54"/>
  <c r="E40" i="54"/>
  <c r="D40" i="54"/>
  <c r="H39" i="54"/>
  <c r="G39" i="54"/>
  <c r="F39" i="54"/>
  <c r="E39" i="54"/>
  <c r="D39" i="54"/>
  <c r="H38" i="54"/>
  <c r="G38" i="54"/>
  <c r="F38" i="54"/>
  <c r="E38" i="54"/>
  <c r="D38" i="54"/>
  <c r="H37" i="54"/>
  <c r="G37" i="54"/>
  <c r="F37" i="54"/>
  <c r="E37" i="54"/>
  <c r="D37" i="54"/>
  <c r="H36" i="54"/>
  <c r="G36" i="54"/>
  <c r="F36" i="54"/>
  <c r="E36" i="54"/>
  <c r="D36" i="54"/>
  <c r="H23" i="54"/>
  <c r="G23" i="54"/>
  <c r="F23" i="54"/>
  <c r="E23" i="54"/>
  <c r="D23" i="54"/>
  <c r="G15" i="54"/>
  <c r="F15" i="54"/>
  <c r="E15" i="54"/>
  <c r="D15" i="54"/>
  <c r="H35" i="54"/>
  <c r="G35" i="54"/>
  <c r="F35" i="54"/>
  <c r="E35" i="54"/>
  <c r="D35" i="54"/>
  <c r="G14" i="54"/>
  <c r="F14" i="54"/>
  <c r="E14" i="54"/>
  <c r="D14" i="54"/>
  <c r="G13" i="54"/>
  <c r="F13" i="54"/>
  <c r="E13" i="54"/>
  <c r="D13" i="54"/>
  <c r="H56" i="54"/>
  <c r="G56" i="54"/>
  <c r="F56" i="54"/>
  <c r="E56" i="54"/>
  <c r="D56" i="54"/>
  <c r="H12" i="54"/>
  <c r="G12" i="54"/>
  <c r="F12" i="54"/>
  <c r="E12" i="54"/>
  <c r="D12" i="54"/>
  <c r="G11" i="54"/>
  <c r="F11" i="54"/>
  <c r="E11" i="54"/>
  <c r="D11" i="54"/>
  <c r="G34" i="54"/>
  <c r="F34" i="54"/>
  <c r="E34" i="54"/>
  <c r="D34" i="54"/>
  <c r="H10" i="54"/>
  <c r="G10" i="54"/>
  <c r="F10" i="54"/>
  <c r="E10" i="54"/>
  <c r="D10" i="54"/>
  <c r="H33" i="54"/>
  <c r="G33" i="54"/>
  <c r="F33" i="54"/>
  <c r="E33" i="54"/>
  <c r="D33" i="54"/>
  <c r="H9" i="54"/>
  <c r="G9" i="54"/>
  <c r="F9" i="54"/>
  <c r="E9" i="54"/>
  <c r="D9" i="54"/>
  <c r="H22" i="54"/>
  <c r="G22" i="54"/>
  <c r="F22" i="54"/>
  <c r="E22" i="54"/>
  <c r="D22" i="54"/>
  <c r="E27" i="57"/>
  <c r="M235" i="2"/>
  <c r="E43" i="53"/>
  <c r="C43" i="53"/>
  <c r="E42" i="53"/>
  <c r="C42" i="53"/>
  <c r="E41" i="53"/>
  <c r="C41" i="53"/>
  <c r="E40" i="53"/>
  <c r="C40" i="53"/>
  <c r="E39" i="53"/>
  <c r="C39" i="53"/>
  <c r="E38" i="53"/>
  <c r="C38" i="53"/>
  <c r="E37" i="53"/>
  <c r="C37" i="53"/>
  <c r="E36" i="53"/>
  <c r="C36" i="53"/>
  <c r="E35" i="53"/>
  <c r="C35" i="53"/>
  <c r="E34" i="53"/>
  <c r="C34" i="53"/>
  <c r="E33" i="53"/>
  <c r="C33" i="53"/>
  <c r="E32" i="53"/>
  <c r="C32" i="53"/>
  <c r="E31" i="53"/>
  <c r="C31" i="53"/>
  <c r="E30" i="53"/>
  <c r="C30" i="53"/>
  <c r="E29" i="53"/>
  <c r="C29" i="53"/>
  <c r="E28" i="53"/>
  <c r="C28" i="53"/>
  <c r="E27" i="53"/>
  <c r="C27" i="53"/>
  <c r="H25" i="53"/>
  <c r="C25" i="53" s="1"/>
  <c r="H24" i="53"/>
  <c r="C24" i="53" s="1"/>
  <c r="H23" i="53"/>
  <c r="C23" i="53" s="1"/>
  <c r="J17" i="53"/>
  <c r="J16" i="53"/>
  <c r="J15" i="53"/>
  <c r="G13" i="53"/>
  <c r="F13" i="53"/>
  <c r="H12" i="53"/>
  <c r="F8" i="53"/>
  <c r="J18" i="53" s="1"/>
  <c r="AG240" i="2"/>
  <c r="G240" i="2"/>
  <c r="F240" i="2"/>
  <c r="E240" i="2"/>
  <c r="D240" i="2"/>
  <c r="E43" i="52"/>
  <c r="C43" i="52"/>
  <c r="E42" i="52"/>
  <c r="C42" i="52"/>
  <c r="E41" i="52"/>
  <c r="C41" i="52"/>
  <c r="E40" i="52"/>
  <c r="C40" i="52"/>
  <c r="E39" i="52"/>
  <c r="C39" i="52"/>
  <c r="E38" i="52"/>
  <c r="C38" i="52"/>
  <c r="E37" i="52"/>
  <c r="C37" i="52"/>
  <c r="E36" i="52"/>
  <c r="C36" i="52"/>
  <c r="E35" i="52"/>
  <c r="C35" i="52"/>
  <c r="E34" i="52"/>
  <c r="C34" i="52"/>
  <c r="E33" i="52"/>
  <c r="C33" i="52"/>
  <c r="E32" i="52"/>
  <c r="C32" i="52"/>
  <c r="E31" i="52"/>
  <c r="C31" i="52"/>
  <c r="E30" i="52"/>
  <c r="C30" i="52"/>
  <c r="E29" i="52"/>
  <c r="C29" i="52"/>
  <c r="E28" i="52"/>
  <c r="C28" i="52"/>
  <c r="E27" i="52"/>
  <c r="C27" i="52"/>
  <c r="C26" i="52"/>
  <c r="H25" i="52"/>
  <c r="C25" i="52" s="1"/>
  <c r="H24" i="52"/>
  <c r="C24" i="52" s="1"/>
  <c r="H23" i="52"/>
  <c r="C23" i="52" s="1"/>
  <c r="F18" i="52"/>
  <c r="J17" i="52" s="1"/>
  <c r="J16" i="52"/>
  <c r="J15" i="52"/>
  <c r="G13" i="52"/>
  <c r="F13" i="52"/>
  <c r="H12" i="52"/>
  <c r="M22" i="54" s="1"/>
  <c r="F8" i="52"/>
  <c r="I70" i="54" s="1"/>
  <c r="AH240" i="2"/>
  <c r="H241" i="2"/>
  <c r="G241" i="2"/>
  <c r="F241" i="2"/>
  <c r="E241" i="2"/>
  <c r="D241" i="2"/>
  <c r="E43" i="51"/>
  <c r="C43" i="51"/>
  <c r="E42" i="51"/>
  <c r="C42" i="51"/>
  <c r="E41" i="51"/>
  <c r="C41" i="51"/>
  <c r="E40" i="51"/>
  <c r="C40" i="51"/>
  <c r="E39" i="51"/>
  <c r="C39" i="51"/>
  <c r="E38" i="51"/>
  <c r="C38" i="51"/>
  <c r="E37" i="51"/>
  <c r="C37" i="51"/>
  <c r="E36" i="51"/>
  <c r="C36" i="51"/>
  <c r="E35" i="51"/>
  <c r="C35" i="51"/>
  <c r="E34" i="51"/>
  <c r="C34" i="51"/>
  <c r="E33" i="51"/>
  <c r="C33" i="51"/>
  <c r="E32" i="51"/>
  <c r="C32" i="51"/>
  <c r="E31" i="51"/>
  <c r="C31" i="51"/>
  <c r="E30" i="51"/>
  <c r="C30" i="51"/>
  <c r="E29" i="51"/>
  <c r="C29" i="51"/>
  <c r="E28" i="51"/>
  <c r="C28" i="51"/>
  <c r="E27" i="51"/>
  <c r="C27" i="51"/>
  <c r="H26" i="51"/>
  <c r="C26" i="51" s="1"/>
  <c r="H25" i="51"/>
  <c r="C25" i="51" s="1"/>
  <c r="H24" i="51"/>
  <c r="C24" i="51" s="1"/>
  <c r="H23" i="51"/>
  <c r="C23" i="51" s="1"/>
  <c r="J17" i="51"/>
  <c r="J16" i="51"/>
  <c r="J15" i="51"/>
  <c r="G13" i="51"/>
  <c r="F13" i="51"/>
  <c r="H12" i="51"/>
  <c r="F8" i="51"/>
  <c r="J12" i="51" s="1"/>
  <c r="H242" i="2"/>
  <c r="G242" i="2"/>
  <c r="F242" i="2"/>
  <c r="E242" i="2"/>
  <c r="D242" i="2"/>
  <c r="H28" i="50"/>
  <c r="C28" i="50" s="1"/>
  <c r="H27" i="50"/>
  <c r="E27" i="50" s="1"/>
  <c r="E43" i="50"/>
  <c r="C43" i="50"/>
  <c r="E42" i="50"/>
  <c r="C42" i="50"/>
  <c r="E41" i="50"/>
  <c r="C41" i="50"/>
  <c r="E40" i="50"/>
  <c r="C40" i="50"/>
  <c r="E39" i="50"/>
  <c r="C39" i="50"/>
  <c r="E38" i="50"/>
  <c r="C38" i="50"/>
  <c r="E37" i="50"/>
  <c r="C37" i="50"/>
  <c r="E36" i="50"/>
  <c r="C36" i="50"/>
  <c r="E35" i="50"/>
  <c r="C35" i="50"/>
  <c r="E34" i="50"/>
  <c r="C34" i="50"/>
  <c r="E33" i="50"/>
  <c r="C33" i="50"/>
  <c r="E32" i="50"/>
  <c r="C32" i="50"/>
  <c r="E31" i="50"/>
  <c r="C31" i="50"/>
  <c r="E30" i="50"/>
  <c r="C30" i="50"/>
  <c r="E29" i="50"/>
  <c r="C29" i="50"/>
  <c r="E28" i="50"/>
  <c r="C27" i="50"/>
  <c r="H26" i="50"/>
  <c r="C26" i="50" s="1"/>
  <c r="H25" i="50"/>
  <c r="C25" i="50" s="1"/>
  <c r="H24" i="50"/>
  <c r="C24" i="50" s="1"/>
  <c r="H23" i="50"/>
  <c r="C23" i="50" s="1"/>
  <c r="J17" i="50"/>
  <c r="J16" i="50"/>
  <c r="J15" i="50"/>
  <c r="G13" i="50"/>
  <c r="F13" i="50"/>
  <c r="H12" i="50"/>
  <c r="F8" i="50"/>
  <c r="G283" i="2"/>
  <c r="G282" i="2"/>
  <c r="G281" i="2"/>
  <c r="G280" i="2"/>
  <c r="G279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59" i="2"/>
  <c r="G258" i="2"/>
  <c r="G257" i="2"/>
  <c r="G256" i="2"/>
  <c r="G255" i="2"/>
  <c r="G254" i="2"/>
  <c r="G253" i="2"/>
  <c r="G251" i="2"/>
  <c r="G250" i="2"/>
  <c r="G249" i="2"/>
  <c r="G248" i="2"/>
  <c r="G247" i="2"/>
  <c r="G246" i="2"/>
  <c r="G245" i="2"/>
  <c r="G244" i="2"/>
  <c r="G243" i="2"/>
  <c r="F283" i="2"/>
  <c r="E283" i="2"/>
  <c r="D283" i="2"/>
  <c r="F282" i="2"/>
  <c r="E282" i="2"/>
  <c r="D282" i="2"/>
  <c r="H281" i="2"/>
  <c r="F281" i="2"/>
  <c r="E281" i="2"/>
  <c r="D281" i="2"/>
  <c r="F280" i="2"/>
  <c r="E280" i="2"/>
  <c r="D280" i="2"/>
  <c r="H279" i="2"/>
  <c r="F279" i="2"/>
  <c r="E279" i="2"/>
  <c r="D279" i="2"/>
  <c r="H277" i="2"/>
  <c r="F277" i="2"/>
  <c r="E277" i="2"/>
  <c r="D277" i="2"/>
  <c r="AG276" i="2"/>
  <c r="F276" i="2"/>
  <c r="E276" i="2"/>
  <c r="D276" i="2"/>
  <c r="H275" i="2"/>
  <c r="F275" i="2"/>
  <c r="E275" i="2"/>
  <c r="D275" i="2"/>
  <c r="F274" i="2"/>
  <c r="E274" i="2"/>
  <c r="D274" i="2"/>
  <c r="F273" i="2"/>
  <c r="E273" i="2"/>
  <c r="D273" i="2"/>
  <c r="H272" i="2"/>
  <c r="F272" i="2"/>
  <c r="E272" i="2"/>
  <c r="D272" i="2"/>
  <c r="H271" i="2"/>
  <c r="F271" i="2"/>
  <c r="E271" i="2"/>
  <c r="D271" i="2"/>
  <c r="H270" i="2"/>
  <c r="F270" i="2"/>
  <c r="E270" i="2"/>
  <c r="D270" i="2"/>
  <c r="H269" i="2"/>
  <c r="F269" i="2"/>
  <c r="E269" i="2"/>
  <c r="D269" i="2"/>
  <c r="H268" i="2"/>
  <c r="F268" i="2"/>
  <c r="E268" i="2"/>
  <c r="D268" i="2"/>
  <c r="F267" i="2"/>
  <c r="E267" i="2"/>
  <c r="D267" i="2"/>
  <c r="F266" i="2"/>
  <c r="E266" i="2"/>
  <c r="D266" i="2"/>
  <c r="H265" i="2"/>
  <c r="F265" i="2"/>
  <c r="E265" i="2"/>
  <c r="D265" i="2"/>
  <c r="F264" i="2"/>
  <c r="E264" i="2"/>
  <c r="D264" i="2"/>
  <c r="H263" i="2"/>
  <c r="F263" i="2"/>
  <c r="E263" i="2"/>
  <c r="D263" i="2"/>
  <c r="D262" i="2"/>
  <c r="H262" i="2"/>
  <c r="F262" i="2"/>
  <c r="E262" i="2"/>
  <c r="H261" i="2"/>
  <c r="F261" i="2"/>
  <c r="E261" i="2"/>
  <c r="D261" i="2"/>
  <c r="AG259" i="2"/>
  <c r="F259" i="2"/>
  <c r="E259" i="2"/>
  <c r="D259" i="2"/>
  <c r="H258" i="2"/>
  <c r="F258" i="2"/>
  <c r="E258" i="2"/>
  <c r="D258" i="2"/>
  <c r="H257" i="2"/>
  <c r="F257" i="2"/>
  <c r="E257" i="2"/>
  <c r="D257" i="2"/>
  <c r="H256" i="2"/>
  <c r="F256" i="2"/>
  <c r="E256" i="2"/>
  <c r="D256" i="2"/>
  <c r="H255" i="2"/>
  <c r="E43" i="49"/>
  <c r="C43" i="49"/>
  <c r="E42" i="49"/>
  <c r="C42" i="49"/>
  <c r="E41" i="49"/>
  <c r="C41" i="49"/>
  <c r="E40" i="49"/>
  <c r="C40" i="49"/>
  <c r="E39" i="49"/>
  <c r="C39" i="49"/>
  <c r="E38" i="49"/>
  <c r="C38" i="49"/>
  <c r="E37" i="49"/>
  <c r="C37" i="49"/>
  <c r="E36" i="49"/>
  <c r="C36" i="49"/>
  <c r="E35" i="49"/>
  <c r="C35" i="49"/>
  <c r="E34" i="49"/>
  <c r="C34" i="49"/>
  <c r="E33" i="49"/>
  <c r="C33" i="49"/>
  <c r="E32" i="49"/>
  <c r="C32" i="49"/>
  <c r="E31" i="49"/>
  <c r="C31" i="49"/>
  <c r="E30" i="49"/>
  <c r="C30" i="49"/>
  <c r="E29" i="49"/>
  <c r="C29" i="49"/>
  <c r="E28" i="49"/>
  <c r="C28" i="49"/>
  <c r="E27" i="49"/>
  <c r="C27" i="49"/>
  <c r="H23" i="49"/>
  <c r="C23" i="49" s="1"/>
  <c r="J17" i="49"/>
  <c r="J16" i="49"/>
  <c r="J15" i="49"/>
  <c r="G13" i="49"/>
  <c r="F13" i="49"/>
  <c r="H12" i="49"/>
  <c r="F8" i="49"/>
  <c r="E43" i="48"/>
  <c r="C43" i="48"/>
  <c r="E42" i="48"/>
  <c r="C42" i="48"/>
  <c r="E41" i="48"/>
  <c r="C41" i="48"/>
  <c r="E40" i="48"/>
  <c r="C40" i="48"/>
  <c r="E39" i="48"/>
  <c r="C39" i="48"/>
  <c r="E38" i="48"/>
  <c r="C38" i="48"/>
  <c r="E37" i="48"/>
  <c r="C37" i="48"/>
  <c r="E36" i="48"/>
  <c r="C36" i="48"/>
  <c r="E35" i="48"/>
  <c r="C35" i="48"/>
  <c r="E34" i="48"/>
  <c r="C34" i="48"/>
  <c r="K25" i="48"/>
  <c r="K24" i="48"/>
  <c r="K23" i="48"/>
  <c r="J16" i="48"/>
  <c r="J15" i="48"/>
  <c r="F7" i="48"/>
  <c r="E43" i="46"/>
  <c r="C43" i="46"/>
  <c r="E42" i="46"/>
  <c r="C42" i="46"/>
  <c r="E41" i="46"/>
  <c r="C41" i="46"/>
  <c r="E40" i="46"/>
  <c r="C40" i="46"/>
  <c r="E39" i="46"/>
  <c r="C39" i="46"/>
  <c r="E38" i="46"/>
  <c r="C38" i="46"/>
  <c r="E37" i="46"/>
  <c r="C37" i="46"/>
  <c r="E36" i="46"/>
  <c r="C36" i="46"/>
  <c r="E35" i="46"/>
  <c r="C35" i="46"/>
  <c r="K25" i="46"/>
  <c r="K24" i="46"/>
  <c r="K23" i="46"/>
  <c r="J16" i="46"/>
  <c r="J15" i="46"/>
  <c r="F7" i="46"/>
  <c r="E43" i="45"/>
  <c r="C43" i="45"/>
  <c r="E42" i="45"/>
  <c r="C42" i="45"/>
  <c r="E41" i="45"/>
  <c r="C41" i="45"/>
  <c r="E40" i="45"/>
  <c r="C40" i="45"/>
  <c r="E39" i="45"/>
  <c r="C39" i="45"/>
  <c r="E38" i="45"/>
  <c r="C38" i="45"/>
  <c r="E37" i="45"/>
  <c r="C37" i="45"/>
  <c r="E36" i="45"/>
  <c r="C36" i="45"/>
  <c r="E35" i="45"/>
  <c r="C35" i="45"/>
  <c r="E34" i="45"/>
  <c r="C34" i="45"/>
  <c r="E33" i="45"/>
  <c r="C33" i="45"/>
  <c r="E32" i="45"/>
  <c r="C32" i="45"/>
  <c r="E31" i="45"/>
  <c r="C31" i="45"/>
  <c r="E30" i="45"/>
  <c r="C30" i="45"/>
  <c r="E29" i="45"/>
  <c r="C29" i="45"/>
  <c r="E28" i="45"/>
  <c r="C28" i="45"/>
  <c r="E27" i="45"/>
  <c r="C27" i="45"/>
  <c r="H26" i="45"/>
  <c r="C26" i="45" s="1"/>
  <c r="H25" i="45"/>
  <c r="C25" i="45" s="1"/>
  <c r="H24" i="45"/>
  <c r="C24" i="45" s="1"/>
  <c r="H23" i="45"/>
  <c r="C23" i="45" s="1"/>
  <c r="J17" i="45"/>
  <c r="J16" i="45"/>
  <c r="J15" i="45"/>
  <c r="G13" i="45"/>
  <c r="F13" i="45"/>
  <c r="H12" i="45"/>
  <c r="F8" i="45"/>
  <c r="K33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K34" i="44"/>
  <c r="K32" i="44"/>
  <c r="K31" i="44"/>
  <c r="K30" i="44"/>
  <c r="K29" i="44"/>
  <c r="K28" i="44"/>
  <c r="K27" i="44"/>
  <c r="K26" i="44"/>
  <c r="K25" i="44"/>
  <c r="K24" i="44"/>
  <c r="K23" i="44"/>
  <c r="J16" i="44"/>
  <c r="J15" i="44"/>
  <c r="F7" i="44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H25" i="43"/>
  <c r="C25" i="43" s="1"/>
  <c r="H24" i="43"/>
  <c r="C24" i="43" s="1"/>
  <c r="H23" i="43"/>
  <c r="C23" i="43" s="1"/>
  <c r="J17" i="43"/>
  <c r="J16" i="43"/>
  <c r="J15" i="43"/>
  <c r="G13" i="43"/>
  <c r="F13" i="43"/>
  <c r="H12" i="43"/>
  <c r="F8" i="43"/>
  <c r="H29" i="42"/>
  <c r="C29" i="42" s="1"/>
  <c r="H28" i="42"/>
  <c r="C28" i="42" s="1"/>
  <c r="H27" i="42"/>
  <c r="H23" i="42"/>
  <c r="C23" i="42" s="1"/>
  <c r="E43" i="42"/>
  <c r="C43" i="42"/>
  <c r="E42" i="42"/>
  <c r="C42" i="42"/>
  <c r="E41" i="42"/>
  <c r="C41" i="42"/>
  <c r="E40" i="42"/>
  <c r="C40" i="42"/>
  <c r="E39" i="42"/>
  <c r="C39" i="42"/>
  <c r="E38" i="42"/>
  <c r="C38" i="42"/>
  <c r="E37" i="42"/>
  <c r="C37" i="42"/>
  <c r="E36" i="42"/>
  <c r="C36" i="42"/>
  <c r="E35" i="42"/>
  <c r="C35" i="42"/>
  <c r="E34" i="42"/>
  <c r="C34" i="42"/>
  <c r="E33" i="42"/>
  <c r="C33" i="42"/>
  <c r="E32" i="42"/>
  <c r="C32" i="42"/>
  <c r="E31" i="42"/>
  <c r="C31" i="42"/>
  <c r="E30" i="42"/>
  <c r="C30" i="42"/>
  <c r="E29" i="42"/>
  <c r="H26" i="42"/>
  <c r="C26" i="42" s="1"/>
  <c r="H25" i="42"/>
  <c r="C25" i="42" s="1"/>
  <c r="H24" i="42"/>
  <c r="C24" i="42" s="1"/>
  <c r="J17" i="42"/>
  <c r="J16" i="42"/>
  <c r="J15" i="42"/>
  <c r="G13" i="42"/>
  <c r="F13" i="42"/>
  <c r="H12" i="42"/>
  <c r="F8" i="42"/>
  <c r="H31" i="41"/>
  <c r="E31" i="41" s="1"/>
  <c r="H30" i="41"/>
  <c r="C30" i="41" s="1"/>
  <c r="H29" i="41"/>
  <c r="C29" i="41" s="1"/>
  <c r="H28" i="41"/>
  <c r="E28" i="41" s="1"/>
  <c r="H27" i="41"/>
  <c r="C27" i="41" s="1"/>
  <c r="E43" i="41"/>
  <c r="C43" i="41"/>
  <c r="E42" i="41"/>
  <c r="C42" i="41"/>
  <c r="E41" i="41"/>
  <c r="C41" i="41"/>
  <c r="E40" i="41"/>
  <c r="C40" i="41"/>
  <c r="E39" i="41"/>
  <c r="C39" i="41"/>
  <c r="E38" i="41"/>
  <c r="C38" i="41"/>
  <c r="E37" i="41"/>
  <c r="C37" i="41"/>
  <c r="E36" i="41"/>
  <c r="C36" i="41"/>
  <c r="E35" i="41"/>
  <c r="C35" i="41"/>
  <c r="E34" i="41"/>
  <c r="C34" i="41"/>
  <c r="E33" i="41"/>
  <c r="C33" i="41"/>
  <c r="E32" i="41"/>
  <c r="C32" i="41"/>
  <c r="H26" i="41"/>
  <c r="C26" i="41" s="1"/>
  <c r="H25" i="41"/>
  <c r="C25" i="41" s="1"/>
  <c r="H24" i="41"/>
  <c r="C24" i="41" s="1"/>
  <c r="H23" i="41"/>
  <c r="C23" i="41" s="1"/>
  <c r="J17" i="41"/>
  <c r="J16" i="41"/>
  <c r="J15" i="41"/>
  <c r="G13" i="41"/>
  <c r="F13" i="41"/>
  <c r="H12" i="41"/>
  <c r="F8" i="41"/>
  <c r="J19" i="41" s="1"/>
  <c r="AH276" i="2"/>
  <c r="H30" i="40"/>
  <c r="C30" i="40" s="1"/>
  <c r="H29" i="40"/>
  <c r="H28" i="40"/>
  <c r="C28" i="40" s="1"/>
  <c r="H27" i="40"/>
  <c r="C27" i="40" s="1"/>
  <c r="E43" i="40"/>
  <c r="C43" i="40"/>
  <c r="E42" i="40"/>
  <c r="C42" i="40"/>
  <c r="E41" i="40"/>
  <c r="C41" i="40"/>
  <c r="E40" i="40"/>
  <c r="C40" i="40"/>
  <c r="E39" i="40"/>
  <c r="C39" i="40"/>
  <c r="E38" i="40"/>
  <c r="C38" i="40"/>
  <c r="E37" i="40"/>
  <c r="C37" i="40"/>
  <c r="E36" i="40"/>
  <c r="C36" i="40"/>
  <c r="E35" i="40"/>
  <c r="C35" i="40"/>
  <c r="E34" i="40"/>
  <c r="C34" i="40"/>
  <c r="E33" i="40"/>
  <c r="C33" i="40"/>
  <c r="E32" i="40"/>
  <c r="C32" i="40"/>
  <c r="E31" i="40"/>
  <c r="C31" i="40"/>
  <c r="H26" i="40"/>
  <c r="C26" i="40" s="1"/>
  <c r="H25" i="40"/>
  <c r="C25" i="40" s="1"/>
  <c r="H24" i="40"/>
  <c r="C24" i="40" s="1"/>
  <c r="H23" i="40"/>
  <c r="C23" i="40" s="1"/>
  <c r="J17" i="40"/>
  <c r="J16" i="40"/>
  <c r="J15" i="40"/>
  <c r="G13" i="40"/>
  <c r="F13" i="40"/>
  <c r="H12" i="40"/>
  <c r="F8" i="40"/>
  <c r="E43" i="39"/>
  <c r="C43" i="39"/>
  <c r="E42" i="39"/>
  <c r="C42" i="39"/>
  <c r="E41" i="39"/>
  <c r="C41" i="39"/>
  <c r="E40" i="39"/>
  <c r="C40" i="39"/>
  <c r="E39" i="39"/>
  <c r="C39" i="39"/>
  <c r="E38" i="39"/>
  <c r="C38" i="39"/>
  <c r="E37" i="39"/>
  <c r="C37" i="39"/>
  <c r="E36" i="39"/>
  <c r="C36" i="39"/>
  <c r="E35" i="39"/>
  <c r="C35" i="39"/>
  <c r="E34" i="39"/>
  <c r="C34" i="39"/>
  <c r="K32" i="39"/>
  <c r="K31" i="39"/>
  <c r="K30" i="39"/>
  <c r="K29" i="39"/>
  <c r="K28" i="39"/>
  <c r="K27" i="39"/>
  <c r="K26" i="39"/>
  <c r="K25" i="39"/>
  <c r="K24" i="39"/>
  <c r="K23" i="39"/>
  <c r="J16" i="39"/>
  <c r="J15" i="39"/>
  <c r="F7" i="39"/>
  <c r="E43" i="38"/>
  <c r="C43" i="38"/>
  <c r="E42" i="38"/>
  <c r="C42" i="38"/>
  <c r="E41" i="38"/>
  <c r="C41" i="38"/>
  <c r="E40" i="38"/>
  <c r="C40" i="38"/>
  <c r="E39" i="38"/>
  <c r="C39" i="38"/>
  <c r="E38" i="38"/>
  <c r="C38" i="38"/>
  <c r="E37" i="38"/>
  <c r="C37" i="38"/>
  <c r="E36" i="38"/>
  <c r="C36" i="38"/>
  <c r="E35" i="38"/>
  <c r="C35" i="38"/>
  <c r="E34" i="38"/>
  <c r="C34" i="38"/>
  <c r="K32" i="38"/>
  <c r="K31" i="38"/>
  <c r="K30" i="38"/>
  <c r="K29" i="38"/>
  <c r="K28" i="38"/>
  <c r="K27" i="38"/>
  <c r="K26" i="38"/>
  <c r="K25" i="38"/>
  <c r="K24" i="38"/>
  <c r="K23" i="38"/>
  <c r="J16" i="38"/>
  <c r="J15" i="38"/>
  <c r="F7" i="38"/>
  <c r="H273" i="2" s="1"/>
  <c r="E43" i="37"/>
  <c r="C43" i="37"/>
  <c r="E42" i="37"/>
  <c r="C42" i="37"/>
  <c r="E41" i="37"/>
  <c r="C41" i="37"/>
  <c r="E40" i="37"/>
  <c r="C40" i="37"/>
  <c r="E39" i="37"/>
  <c r="C39" i="37"/>
  <c r="E38" i="37"/>
  <c r="C38" i="37"/>
  <c r="E37" i="37"/>
  <c r="C37" i="37"/>
  <c r="E36" i="37"/>
  <c r="C36" i="37"/>
  <c r="E35" i="37"/>
  <c r="C35" i="37"/>
  <c r="E34" i="37"/>
  <c r="C34" i="37"/>
  <c r="E33" i="37"/>
  <c r="C33" i="37"/>
  <c r="E32" i="37"/>
  <c r="C32" i="37"/>
  <c r="E31" i="37"/>
  <c r="C31" i="37"/>
  <c r="E30" i="37"/>
  <c r="C30" i="37"/>
  <c r="E29" i="37"/>
  <c r="C29" i="37"/>
  <c r="E28" i="37"/>
  <c r="C28" i="37"/>
  <c r="E27" i="37"/>
  <c r="C27" i="37"/>
  <c r="H25" i="37"/>
  <c r="C25" i="37" s="1"/>
  <c r="H24" i="37"/>
  <c r="C24" i="37" s="1"/>
  <c r="H23" i="37"/>
  <c r="C23" i="37" s="1"/>
  <c r="J17" i="37"/>
  <c r="J16" i="37"/>
  <c r="J15" i="37"/>
  <c r="G13" i="37"/>
  <c r="F13" i="37"/>
  <c r="H12" i="37"/>
  <c r="F8" i="37"/>
  <c r="I58" i="54" s="1"/>
  <c r="H31" i="36"/>
  <c r="H30" i="36"/>
  <c r="C30" i="36" s="1"/>
  <c r="H29" i="36"/>
  <c r="E29" i="36" s="1"/>
  <c r="H28" i="36"/>
  <c r="E28" i="36" s="1"/>
  <c r="H27" i="36"/>
  <c r="E43" i="36"/>
  <c r="C43" i="36"/>
  <c r="E42" i="36"/>
  <c r="C42" i="36"/>
  <c r="E41" i="36"/>
  <c r="C41" i="36"/>
  <c r="E40" i="36"/>
  <c r="C40" i="36"/>
  <c r="E39" i="36"/>
  <c r="C39" i="36"/>
  <c r="E38" i="36"/>
  <c r="C38" i="36"/>
  <c r="E37" i="36"/>
  <c r="C37" i="36"/>
  <c r="E36" i="36"/>
  <c r="C36" i="36"/>
  <c r="E35" i="36"/>
  <c r="C35" i="36"/>
  <c r="E34" i="36"/>
  <c r="C34" i="36"/>
  <c r="E33" i="36"/>
  <c r="C33" i="36"/>
  <c r="E32" i="36"/>
  <c r="C32" i="36"/>
  <c r="H26" i="36"/>
  <c r="C26" i="36" s="1"/>
  <c r="H25" i="36"/>
  <c r="C25" i="36" s="1"/>
  <c r="H24" i="36"/>
  <c r="C24" i="36" s="1"/>
  <c r="H23" i="36"/>
  <c r="C23" i="36" s="1"/>
  <c r="J17" i="36"/>
  <c r="J16" i="36"/>
  <c r="J15" i="36"/>
  <c r="G13" i="36"/>
  <c r="F13" i="36"/>
  <c r="H12" i="36"/>
  <c r="M27" i="54" s="1"/>
  <c r="F8" i="36"/>
  <c r="H25" i="35"/>
  <c r="C25" i="35" s="1"/>
  <c r="H26" i="35"/>
  <c r="C26" i="35" s="1"/>
  <c r="H27" i="35"/>
  <c r="C27" i="35" s="1"/>
  <c r="H28" i="35"/>
  <c r="C28" i="35" s="1"/>
  <c r="H29" i="35"/>
  <c r="H30" i="35"/>
  <c r="C30" i="35" s="1"/>
  <c r="H31" i="35"/>
  <c r="E31" i="35" s="1"/>
  <c r="E43" i="35"/>
  <c r="C43" i="35"/>
  <c r="E42" i="35"/>
  <c r="C42" i="35"/>
  <c r="E41" i="35"/>
  <c r="C41" i="35"/>
  <c r="E40" i="35"/>
  <c r="C40" i="35"/>
  <c r="E39" i="35"/>
  <c r="C39" i="35"/>
  <c r="E38" i="35"/>
  <c r="C38" i="35"/>
  <c r="E37" i="35"/>
  <c r="C37" i="35"/>
  <c r="E36" i="35"/>
  <c r="C36" i="35"/>
  <c r="E35" i="35"/>
  <c r="C35" i="35"/>
  <c r="E34" i="35"/>
  <c r="C34" i="35"/>
  <c r="E28" i="35"/>
  <c r="H24" i="35"/>
  <c r="C24" i="35" s="1"/>
  <c r="H23" i="35"/>
  <c r="C23" i="35" s="1"/>
  <c r="J17" i="35"/>
  <c r="J16" i="35"/>
  <c r="J15" i="35"/>
  <c r="G13" i="35"/>
  <c r="F13" i="35"/>
  <c r="H12" i="35"/>
  <c r="F8" i="35"/>
  <c r="E43" i="33"/>
  <c r="C43" i="33"/>
  <c r="E42" i="33"/>
  <c r="C42" i="33"/>
  <c r="E41" i="33"/>
  <c r="C41" i="33"/>
  <c r="E40" i="33"/>
  <c r="C40" i="33"/>
  <c r="E39" i="33"/>
  <c r="C39" i="33"/>
  <c r="E38" i="33"/>
  <c r="C38" i="33"/>
  <c r="E37" i="33"/>
  <c r="C37" i="33"/>
  <c r="E36" i="33"/>
  <c r="C36" i="33"/>
  <c r="E35" i="33"/>
  <c r="C35" i="33"/>
  <c r="E34" i="33"/>
  <c r="C34" i="33"/>
  <c r="E33" i="33"/>
  <c r="C33" i="33"/>
  <c r="E32" i="33"/>
  <c r="C32" i="33"/>
  <c r="E31" i="33"/>
  <c r="C31" i="33"/>
  <c r="E30" i="33"/>
  <c r="C30" i="33"/>
  <c r="E29" i="33"/>
  <c r="C29" i="33"/>
  <c r="E28" i="33"/>
  <c r="C28" i="33"/>
  <c r="E27" i="33"/>
  <c r="C27" i="33"/>
  <c r="H23" i="33"/>
  <c r="C23" i="33" s="1"/>
  <c r="J17" i="33"/>
  <c r="J16" i="33"/>
  <c r="J15" i="33"/>
  <c r="G13" i="33"/>
  <c r="F13" i="33"/>
  <c r="H12" i="33"/>
  <c r="F8" i="33"/>
  <c r="J18" i="33" s="1"/>
  <c r="F7" i="32"/>
  <c r="E43" i="32"/>
  <c r="C43" i="32"/>
  <c r="E42" i="32"/>
  <c r="C42" i="32"/>
  <c r="E41" i="32"/>
  <c r="C41" i="32"/>
  <c r="E40" i="32"/>
  <c r="C40" i="32"/>
  <c r="E39" i="32"/>
  <c r="C39" i="32"/>
  <c r="E38" i="32"/>
  <c r="C38" i="32"/>
  <c r="E37" i="32"/>
  <c r="C37" i="32"/>
  <c r="E36" i="32"/>
  <c r="C36" i="32"/>
  <c r="E35" i="32"/>
  <c r="C35" i="32"/>
  <c r="E34" i="32"/>
  <c r="C34" i="32"/>
  <c r="K25" i="32"/>
  <c r="K24" i="32"/>
  <c r="K23" i="32"/>
  <c r="J16" i="32"/>
  <c r="J15" i="32"/>
  <c r="J17" i="32"/>
  <c r="E43" i="31"/>
  <c r="C43" i="31"/>
  <c r="E42" i="31"/>
  <c r="C42" i="31"/>
  <c r="E41" i="31"/>
  <c r="C41" i="31"/>
  <c r="E40" i="31"/>
  <c r="C40" i="31"/>
  <c r="E39" i="31"/>
  <c r="C39" i="31"/>
  <c r="E38" i="31"/>
  <c r="C38" i="31"/>
  <c r="E37" i="31"/>
  <c r="C37" i="31"/>
  <c r="E36" i="31"/>
  <c r="C36" i="31"/>
  <c r="E35" i="31"/>
  <c r="C35" i="31"/>
  <c r="E34" i="31"/>
  <c r="C34" i="31"/>
  <c r="E33" i="31"/>
  <c r="C33" i="31"/>
  <c r="E32" i="31"/>
  <c r="C32" i="31"/>
  <c r="E31" i="31"/>
  <c r="C31" i="31"/>
  <c r="E30" i="31"/>
  <c r="C30" i="31"/>
  <c r="L29" i="31"/>
  <c r="L28" i="31"/>
  <c r="L27" i="31"/>
  <c r="L26" i="31"/>
  <c r="L25" i="31"/>
  <c r="L24" i="31"/>
  <c r="L23" i="31"/>
  <c r="J16" i="31"/>
  <c r="J15" i="31"/>
  <c r="N11" i="31"/>
  <c r="N10" i="31"/>
  <c r="F7" i="31"/>
  <c r="E43" i="30"/>
  <c r="C43" i="30"/>
  <c r="E42" i="30"/>
  <c r="C42" i="30"/>
  <c r="E41" i="30"/>
  <c r="C41" i="30"/>
  <c r="E40" i="30"/>
  <c r="C40" i="30"/>
  <c r="E39" i="30"/>
  <c r="C39" i="30"/>
  <c r="E38" i="30"/>
  <c r="C38" i="30"/>
  <c r="E37" i="30"/>
  <c r="C37" i="30"/>
  <c r="E36" i="30"/>
  <c r="C36" i="30"/>
  <c r="E35" i="30"/>
  <c r="C35" i="30"/>
  <c r="E34" i="30"/>
  <c r="C34" i="30"/>
  <c r="E33" i="30"/>
  <c r="C33" i="30"/>
  <c r="E32" i="30"/>
  <c r="C32" i="30"/>
  <c r="E31" i="30"/>
  <c r="C31" i="30"/>
  <c r="E30" i="30"/>
  <c r="C30" i="30"/>
  <c r="E29" i="30"/>
  <c r="C29" i="30"/>
  <c r="E28" i="30"/>
  <c r="C28" i="30"/>
  <c r="E27" i="30"/>
  <c r="C27" i="30"/>
  <c r="H24" i="30"/>
  <c r="C24" i="30" s="1"/>
  <c r="H23" i="30"/>
  <c r="C23" i="30" s="1"/>
  <c r="J17" i="30"/>
  <c r="J16" i="30"/>
  <c r="J15" i="30"/>
  <c r="G13" i="30"/>
  <c r="F13" i="30"/>
  <c r="H12" i="30"/>
  <c r="F8" i="30"/>
  <c r="E43" i="29"/>
  <c r="C43" i="29"/>
  <c r="E42" i="29"/>
  <c r="C42" i="29"/>
  <c r="E41" i="29"/>
  <c r="C41" i="29"/>
  <c r="E40" i="29"/>
  <c r="C40" i="29"/>
  <c r="E39" i="29"/>
  <c r="C39" i="29"/>
  <c r="E38" i="29"/>
  <c r="C38" i="29"/>
  <c r="E37" i="29"/>
  <c r="C37" i="29"/>
  <c r="E36" i="29"/>
  <c r="C36" i="29"/>
  <c r="E35" i="29"/>
  <c r="C35" i="29"/>
  <c r="E34" i="29"/>
  <c r="C34" i="29"/>
  <c r="K33" i="29"/>
  <c r="K32" i="29"/>
  <c r="K31" i="29"/>
  <c r="K30" i="29"/>
  <c r="K29" i="29"/>
  <c r="K28" i="29"/>
  <c r="K27" i="29"/>
  <c r="K26" i="29"/>
  <c r="K25" i="29"/>
  <c r="K24" i="29"/>
  <c r="K23" i="29"/>
  <c r="J16" i="29"/>
  <c r="J15" i="29"/>
  <c r="F7" i="29"/>
  <c r="H25" i="54" s="1"/>
  <c r="H28" i="28"/>
  <c r="C28" i="28" s="1"/>
  <c r="H27" i="28"/>
  <c r="E27" i="28" s="1"/>
  <c r="E43" i="28"/>
  <c r="C43" i="28"/>
  <c r="E42" i="28"/>
  <c r="C42" i="28"/>
  <c r="E41" i="28"/>
  <c r="C41" i="28"/>
  <c r="E40" i="28"/>
  <c r="C40" i="28"/>
  <c r="E39" i="28"/>
  <c r="C39" i="28"/>
  <c r="E38" i="28"/>
  <c r="C38" i="28"/>
  <c r="E37" i="28"/>
  <c r="C37" i="28"/>
  <c r="E36" i="28"/>
  <c r="C36" i="28"/>
  <c r="E35" i="28"/>
  <c r="C35" i="28"/>
  <c r="E34" i="28"/>
  <c r="C34" i="28"/>
  <c r="E33" i="28"/>
  <c r="C33" i="28"/>
  <c r="E32" i="28"/>
  <c r="C32" i="28"/>
  <c r="E31" i="28"/>
  <c r="C31" i="28"/>
  <c r="E30" i="28"/>
  <c r="C30" i="28"/>
  <c r="E29" i="28"/>
  <c r="C29" i="28"/>
  <c r="E28" i="28"/>
  <c r="H26" i="28"/>
  <c r="C26" i="28" s="1"/>
  <c r="H25" i="28"/>
  <c r="C25" i="28" s="1"/>
  <c r="H24" i="28"/>
  <c r="C24" i="28" s="1"/>
  <c r="H23" i="28"/>
  <c r="C23" i="28" s="1"/>
  <c r="J17" i="28"/>
  <c r="J16" i="28"/>
  <c r="J15" i="28"/>
  <c r="G13" i="28"/>
  <c r="F13" i="28"/>
  <c r="H12" i="28"/>
  <c r="F8" i="28"/>
  <c r="I263" i="2" s="1"/>
  <c r="H29" i="27"/>
  <c r="E29" i="27" s="1"/>
  <c r="H28" i="27"/>
  <c r="E28" i="27" s="1"/>
  <c r="H27" i="27"/>
  <c r="E27" i="27" s="1"/>
  <c r="E43" i="27"/>
  <c r="C43" i="27"/>
  <c r="E42" i="27"/>
  <c r="C42" i="27"/>
  <c r="E41" i="27"/>
  <c r="C41" i="27"/>
  <c r="E40" i="27"/>
  <c r="C40" i="27"/>
  <c r="E39" i="27"/>
  <c r="C39" i="27"/>
  <c r="E38" i="27"/>
  <c r="C38" i="27"/>
  <c r="E37" i="27"/>
  <c r="C37" i="27"/>
  <c r="E36" i="27"/>
  <c r="C36" i="27"/>
  <c r="E35" i="27"/>
  <c r="C35" i="27"/>
  <c r="E34" i="27"/>
  <c r="C34" i="27"/>
  <c r="E33" i="27"/>
  <c r="C33" i="27"/>
  <c r="E32" i="27"/>
  <c r="C32" i="27"/>
  <c r="E31" i="27"/>
  <c r="C31" i="27"/>
  <c r="E30" i="27"/>
  <c r="C30" i="27"/>
  <c r="H26" i="27"/>
  <c r="C26" i="27" s="1"/>
  <c r="H25" i="27"/>
  <c r="C25" i="27" s="1"/>
  <c r="H24" i="27"/>
  <c r="C24" i="27" s="1"/>
  <c r="H23" i="27"/>
  <c r="C23" i="27" s="1"/>
  <c r="J17" i="27"/>
  <c r="J16" i="27"/>
  <c r="J15" i="27"/>
  <c r="G13" i="27"/>
  <c r="F13" i="27"/>
  <c r="H12" i="27"/>
  <c r="F8" i="27"/>
  <c r="E43" i="26"/>
  <c r="C43" i="26"/>
  <c r="E42" i="26"/>
  <c r="C42" i="26"/>
  <c r="E41" i="26"/>
  <c r="C41" i="26"/>
  <c r="E40" i="26"/>
  <c r="C40" i="26"/>
  <c r="E39" i="26"/>
  <c r="C39" i="26"/>
  <c r="E38" i="26"/>
  <c r="C38" i="26"/>
  <c r="E37" i="26"/>
  <c r="C37" i="26"/>
  <c r="E36" i="26"/>
  <c r="C36" i="26"/>
  <c r="E35" i="26"/>
  <c r="C35" i="26"/>
  <c r="E34" i="26"/>
  <c r="C34" i="26"/>
  <c r="E33" i="26"/>
  <c r="C33" i="26"/>
  <c r="E32" i="26"/>
  <c r="C32" i="26"/>
  <c r="E31" i="26"/>
  <c r="C31" i="26"/>
  <c r="E30" i="26"/>
  <c r="C30" i="26"/>
  <c r="E29" i="26"/>
  <c r="C29" i="26"/>
  <c r="E28" i="26"/>
  <c r="C28" i="26"/>
  <c r="E27" i="26"/>
  <c r="C27" i="26"/>
  <c r="H24" i="26"/>
  <c r="C24" i="26" s="1"/>
  <c r="H23" i="26"/>
  <c r="C23" i="26" s="1"/>
  <c r="J17" i="26"/>
  <c r="J16" i="26"/>
  <c r="J15" i="26"/>
  <c r="G13" i="26"/>
  <c r="F13" i="26"/>
  <c r="H12" i="26"/>
  <c r="M261" i="2" s="1"/>
  <c r="F8" i="26"/>
  <c r="H29" i="25"/>
  <c r="H28" i="25"/>
  <c r="C28" i="25" s="1"/>
  <c r="H27" i="25"/>
  <c r="E27" i="25" s="1"/>
  <c r="E43" i="25"/>
  <c r="C43" i="25"/>
  <c r="E42" i="25"/>
  <c r="C42" i="25"/>
  <c r="E41" i="25"/>
  <c r="C41" i="25"/>
  <c r="E40" i="25"/>
  <c r="C40" i="25"/>
  <c r="E39" i="25"/>
  <c r="C39" i="25"/>
  <c r="E38" i="25"/>
  <c r="C38" i="25"/>
  <c r="E37" i="25"/>
  <c r="C37" i="25"/>
  <c r="E36" i="25"/>
  <c r="C36" i="25"/>
  <c r="E35" i="25"/>
  <c r="C35" i="25"/>
  <c r="E34" i="25"/>
  <c r="C34" i="25"/>
  <c r="E33" i="25"/>
  <c r="C33" i="25"/>
  <c r="E32" i="25"/>
  <c r="C32" i="25"/>
  <c r="E31" i="25"/>
  <c r="C31" i="25"/>
  <c r="E30" i="25"/>
  <c r="C30" i="25"/>
  <c r="H26" i="25"/>
  <c r="C26" i="25" s="1"/>
  <c r="H25" i="25"/>
  <c r="C25" i="25" s="1"/>
  <c r="H24" i="25"/>
  <c r="C24" i="25" s="1"/>
  <c r="H23" i="25"/>
  <c r="C23" i="25" s="1"/>
  <c r="J17" i="25"/>
  <c r="J16" i="25"/>
  <c r="J15" i="25"/>
  <c r="G13" i="25"/>
  <c r="F13" i="25"/>
  <c r="H12" i="25"/>
  <c r="F8" i="25"/>
  <c r="J19" i="25" s="1"/>
  <c r="H34" i="24"/>
  <c r="E34" i="24" s="1"/>
  <c r="H33" i="24"/>
  <c r="E33" i="24" s="1"/>
  <c r="H32" i="24"/>
  <c r="H31" i="24"/>
  <c r="C31" i="24" s="1"/>
  <c r="H30" i="24"/>
  <c r="C30" i="24" s="1"/>
  <c r="H29" i="24"/>
  <c r="E29" i="24" s="1"/>
  <c r="H28" i="24"/>
  <c r="C28" i="24" s="1"/>
  <c r="H27" i="24"/>
  <c r="E27" i="24" s="1"/>
  <c r="E43" i="24"/>
  <c r="C43" i="24"/>
  <c r="E42" i="24"/>
  <c r="C42" i="24"/>
  <c r="E41" i="24"/>
  <c r="C41" i="24"/>
  <c r="E40" i="24"/>
  <c r="C40" i="24"/>
  <c r="E39" i="24"/>
  <c r="C39" i="24"/>
  <c r="E38" i="24"/>
  <c r="C38" i="24"/>
  <c r="E37" i="24"/>
  <c r="C37" i="24"/>
  <c r="E36" i="24"/>
  <c r="C36" i="24"/>
  <c r="E35" i="24"/>
  <c r="C35" i="24"/>
  <c r="H26" i="24"/>
  <c r="C26" i="24" s="1"/>
  <c r="H25" i="24"/>
  <c r="C25" i="24" s="1"/>
  <c r="H24" i="24"/>
  <c r="C24" i="24" s="1"/>
  <c r="H23" i="24"/>
  <c r="C23" i="24" s="1"/>
  <c r="J17" i="24"/>
  <c r="J16" i="24"/>
  <c r="J15" i="24"/>
  <c r="G13" i="24"/>
  <c r="F13" i="24"/>
  <c r="H12" i="24"/>
  <c r="F8" i="24"/>
  <c r="I258" i="2" s="1"/>
  <c r="E43" i="23"/>
  <c r="C43" i="23"/>
  <c r="E42" i="23"/>
  <c r="C42" i="23"/>
  <c r="E41" i="23"/>
  <c r="C41" i="23"/>
  <c r="E40" i="23"/>
  <c r="C40" i="23"/>
  <c r="E39" i="23"/>
  <c r="C39" i="23"/>
  <c r="E38" i="23"/>
  <c r="C38" i="23"/>
  <c r="E37" i="23"/>
  <c r="C37" i="23"/>
  <c r="E36" i="23"/>
  <c r="C36" i="23"/>
  <c r="E35" i="23"/>
  <c r="C35" i="23"/>
  <c r="E34" i="23"/>
  <c r="C34" i="23"/>
  <c r="E33" i="23"/>
  <c r="C33" i="23"/>
  <c r="E32" i="23"/>
  <c r="C32" i="23"/>
  <c r="E31" i="23"/>
  <c r="C31" i="23"/>
  <c r="E30" i="23"/>
  <c r="C30" i="23"/>
  <c r="E29" i="23"/>
  <c r="C29" i="23"/>
  <c r="E28" i="23"/>
  <c r="C28" i="23"/>
  <c r="E27" i="23"/>
  <c r="C27" i="23"/>
  <c r="H25" i="23"/>
  <c r="C25" i="23" s="1"/>
  <c r="H24" i="23"/>
  <c r="C24" i="23" s="1"/>
  <c r="H23" i="23"/>
  <c r="C23" i="23" s="1"/>
  <c r="J17" i="23"/>
  <c r="J16" i="23"/>
  <c r="J15" i="23"/>
  <c r="G13" i="23"/>
  <c r="F13" i="23"/>
  <c r="H12" i="23"/>
  <c r="F12" i="23" s="1"/>
  <c r="F8" i="23"/>
  <c r="E43" i="22"/>
  <c r="C43" i="22"/>
  <c r="E42" i="22"/>
  <c r="C42" i="22"/>
  <c r="E41" i="22"/>
  <c r="C41" i="22"/>
  <c r="E40" i="22"/>
  <c r="C40" i="22"/>
  <c r="E39" i="22"/>
  <c r="C39" i="22"/>
  <c r="E38" i="22"/>
  <c r="C38" i="22"/>
  <c r="E37" i="22"/>
  <c r="C37" i="22"/>
  <c r="E36" i="22"/>
  <c r="C36" i="22"/>
  <c r="E35" i="22"/>
  <c r="C35" i="22"/>
  <c r="E34" i="22"/>
  <c r="C34" i="22"/>
  <c r="E33" i="22"/>
  <c r="C33" i="22"/>
  <c r="E32" i="22"/>
  <c r="C32" i="22"/>
  <c r="E31" i="22"/>
  <c r="C31" i="22"/>
  <c r="E30" i="22"/>
  <c r="C30" i="22"/>
  <c r="E29" i="22"/>
  <c r="C29" i="22"/>
  <c r="E28" i="22"/>
  <c r="C28" i="22"/>
  <c r="E27" i="22"/>
  <c r="C27" i="22"/>
  <c r="H26" i="22"/>
  <c r="C26" i="22" s="1"/>
  <c r="H25" i="22"/>
  <c r="C25" i="22" s="1"/>
  <c r="H24" i="22"/>
  <c r="C24" i="22" s="1"/>
  <c r="H23" i="22"/>
  <c r="C23" i="22" s="1"/>
  <c r="J17" i="22"/>
  <c r="J16" i="22"/>
  <c r="J15" i="22"/>
  <c r="G13" i="22"/>
  <c r="F13" i="22"/>
  <c r="H12" i="22"/>
  <c r="F8" i="22"/>
  <c r="H12" i="14"/>
  <c r="F255" i="2"/>
  <c r="E255" i="2"/>
  <c r="D255" i="2"/>
  <c r="H254" i="2"/>
  <c r="F254" i="2"/>
  <c r="E254" i="2"/>
  <c r="D254" i="2"/>
  <c r="H253" i="2"/>
  <c r="F253" i="2"/>
  <c r="E253" i="2"/>
  <c r="D253" i="2"/>
  <c r="F251" i="2"/>
  <c r="E251" i="2"/>
  <c r="D251" i="2"/>
  <c r="H250" i="2"/>
  <c r="F250" i="2"/>
  <c r="E250" i="2"/>
  <c r="D250" i="2"/>
  <c r="F249" i="2"/>
  <c r="E249" i="2"/>
  <c r="D249" i="2"/>
  <c r="F12" i="36"/>
  <c r="J17" i="31"/>
  <c r="AH259" i="2"/>
  <c r="J17" i="39"/>
  <c r="J17" i="38"/>
  <c r="J17" i="29"/>
  <c r="J17" i="44"/>
  <c r="J17" i="46"/>
  <c r="J17" i="48"/>
  <c r="F248" i="2"/>
  <c r="E248" i="2"/>
  <c r="D248" i="2"/>
  <c r="AG247" i="2"/>
  <c r="F247" i="2"/>
  <c r="E247" i="2"/>
  <c r="D247" i="2"/>
  <c r="H246" i="2"/>
  <c r="F246" i="2"/>
  <c r="E246" i="2"/>
  <c r="D246" i="2"/>
  <c r="F245" i="2"/>
  <c r="E245" i="2"/>
  <c r="D245" i="2"/>
  <c r="F7" i="17"/>
  <c r="F244" i="2"/>
  <c r="E244" i="2"/>
  <c r="D244" i="2"/>
  <c r="H243" i="2"/>
  <c r="F243" i="2"/>
  <c r="D243" i="2"/>
  <c r="E243" i="2"/>
  <c r="F7" i="18"/>
  <c r="F7" i="19"/>
  <c r="E43" i="20"/>
  <c r="C43" i="20"/>
  <c r="E42" i="20"/>
  <c r="C42" i="20"/>
  <c r="E41" i="20"/>
  <c r="C41" i="20"/>
  <c r="E40" i="20"/>
  <c r="C40" i="20"/>
  <c r="E39" i="20"/>
  <c r="C39" i="20"/>
  <c r="E38" i="20"/>
  <c r="C38" i="20"/>
  <c r="E37" i="20"/>
  <c r="C37" i="20"/>
  <c r="E36" i="20"/>
  <c r="C36" i="20"/>
  <c r="E35" i="20"/>
  <c r="C35" i="20"/>
  <c r="E34" i="20"/>
  <c r="C34" i="20"/>
  <c r="K26" i="20"/>
  <c r="K25" i="20"/>
  <c r="K24" i="20"/>
  <c r="K23" i="20"/>
  <c r="J16" i="20"/>
  <c r="J15" i="20"/>
  <c r="F7" i="20"/>
  <c r="E43" i="19"/>
  <c r="C43" i="19"/>
  <c r="E42" i="19"/>
  <c r="C42" i="19"/>
  <c r="E41" i="19"/>
  <c r="C41" i="19"/>
  <c r="E40" i="19"/>
  <c r="C40" i="19"/>
  <c r="E39" i="19"/>
  <c r="C39" i="19"/>
  <c r="E38" i="19"/>
  <c r="C38" i="19"/>
  <c r="E37" i="19"/>
  <c r="C37" i="19"/>
  <c r="E36" i="19"/>
  <c r="C36" i="19"/>
  <c r="E35" i="19"/>
  <c r="C35" i="19"/>
  <c r="E34" i="19"/>
  <c r="C34" i="19"/>
  <c r="K31" i="19"/>
  <c r="K30" i="19"/>
  <c r="K29" i="19"/>
  <c r="K28" i="19"/>
  <c r="K27" i="19"/>
  <c r="K26" i="19"/>
  <c r="K25" i="19"/>
  <c r="K24" i="19"/>
  <c r="K23" i="19"/>
  <c r="J16" i="19"/>
  <c r="J15" i="19"/>
  <c r="J17" i="19"/>
  <c r="E43" i="18"/>
  <c r="C43" i="18"/>
  <c r="E42" i="18"/>
  <c r="C42" i="18"/>
  <c r="E41" i="18"/>
  <c r="C41" i="18"/>
  <c r="E40" i="18"/>
  <c r="C40" i="18"/>
  <c r="E39" i="18"/>
  <c r="C39" i="18"/>
  <c r="E38" i="18"/>
  <c r="C38" i="18"/>
  <c r="E37" i="18"/>
  <c r="C37" i="18"/>
  <c r="E36" i="18"/>
  <c r="C36" i="18"/>
  <c r="E35" i="18"/>
  <c r="C35" i="18"/>
  <c r="E34" i="18"/>
  <c r="C34" i="18"/>
  <c r="K33" i="18"/>
  <c r="K32" i="18"/>
  <c r="K31" i="18"/>
  <c r="K30" i="18"/>
  <c r="K29" i="18"/>
  <c r="K28" i="18"/>
  <c r="K27" i="18"/>
  <c r="K26" i="18"/>
  <c r="K25" i="18"/>
  <c r="K24" i="18"/>
  <c r="K23" i="18"/>
  <c r="J16" i="18"/>
  <c r="J15" i="18"/>
  <c r="J17" i="18"/>
  <c r="L23" i="17"/>
  <c r="L24" i="17"/>
  <c r="L25" i="17"/>
  <c r="E43" i="17"/>
  <c r="C43" i="17"/>
  <c r="E42" i="17"/>
  <c r="C42" i="17"/>
  <c r="E41" i="17"/>
  <c r="C41" i="17"/>
  <c r="E40" i="17"/>
  <c r="C40" i="17"/>
  <c r="E39" i="17"/>
  <c r="C39" i="17"/>
  <c r="E38" i="17"/>
  <c r="C38" i="17"/>
  <c r="E37" i="17"/>
  <c r="C37" i="17"/>
  <c r="E36" i="17"/>
  <c r="C36" i="17"/>
  <c r="E35" i="17"/>
  <c r="C35" i="17"/>
  <c r="E34" i="17"/>
  <c r="C34" i="17"/>
  <c r="E33" i="17"/>
  <c r="C33" i="17"/>
  <c r="E32" i="17"/>
  <c r="C32" i="17"/>
  <c r="E31" i="17"/>
  <c r="C31" i="17"/>
  <c r="J16" i="17"/>
  <c r="J15" i="17"/>
  <c r="N11" i="17"/>
  <c r="N10" i="17"/>
  <c r="J17" i="17"/>
  <c r="E43" i="16"/>
  <c r="C43" i="16"/>
  <c r="H28" i="16"/>
  <c r="C28" i="16" s="1"/>
  <c r="H27" i="16"/>
  <c r="C27" i="16" s="1"/>
  <c r="H26" i="16"/>
  <c r="C26" i="16" s="1"/>
  <c r="H25" i="16"/>
  <c r="C25" i="16" s="1"/>
  <c r="H24" i="16"/>
  <c r="C24" i="16" s="1"/>
  <c r="H23" i="16"/>
  <c r="C23" i="16" s="1"/>
  <c r="J17" i="16"/>
  <c r="J16" i="16"/>
  <c r="J15" i="16"/>
  <c r="G13" i="16"/>
  <c r="F13" i="16"/>
  <c r="H12" i="16"/>
  <c r="M37" i="54" s="1"/>
  <c r="F8" i="16"/>
  <c r="H38" i="15"/>
  <c r="C38" i="15" s="1"/>
  <c r="H27" i="15"/>
  <c r="C27" i="15" s="1"/>
  <c r="H28" i="15"/>
  <c r="C28" i="15" s="1"/>
  <c r="H29" i="15"/>
  <c r="E29" i="15" s="1"/>
  <c r="H30" i="15"/>
  <c r="E30" i="15" s="1"/>
  <c r="H31" i="15"/>
  <c r="C31" i="15" s="1"/>
  <c r="H32" i="15"/>
  <c r="E32" i="15" s="1"/>
  <c r="H33" i="15"/>
  <c r="E33" i="15" s="1"/>
  <c r="H34" i="15"/>
  <c r="C34" i="15" s="1"/>
  <c r="H35" i="15"/>
  <c r="H36" i="15"/>
  <c r="C36" i="15" s="1"/>
  <c r="H37" i="15"/>
  <c r="E37" i="15" s="1"/>
  <c r="H39" i="15"/>
  <c r="C39" i="15" s="1"/>
  <c r="H40" i="15"/>
  <c r="E43" i="15"/>
  <c r="C43" i="15"/>
  <c r="H26" i="15"/>
  <c r="C26" i="15" s="1"/>
  <c r="H25" i="15"/>
  <c r="C25" i="15" s="1"/>
  <c r="H24" i="15"/>
  <c r="C24" i="15" s="1"/>
  <c r="H23" i="15"/>
  <c r="C23" i="15" s="1"/>
  <c r="J17" i="15"/>
  <c r="J16" i="15"/>
  <c r="J15" i="15"/>
  <c r="G13" i="15"/>
  <c r="F13" i="15"/>
  <c r="H12" i="15"/>
  <c r="F8" i="15"/>
  <c r="I254" i="2" s="1"/>
  <c r="H27" i="14"/>
  <c r="C27" i="14" s="1"/>
  <c r="H28" i="14"/>
  <c r="H29" i="14"/>
  <c r="C29" i="14" s="1"/>
  <c r="H30" i="14"/>
  <c r="C30" i="14" s="1"/>
  <c r="H31" i="14"/>
  <c r="C31" i="14" s="1"/>
  <c r="H32" i="14"/>
  <c r="C32" i="14" s="1"/>
  <c r="H33" i="14"/>
  <c r="C33" i="14" s="1"/>
  <c r="H34" i="14"/>
  <c r="C34" i="14" s="1"/>
  <c r="H35" i="14"/>
  <c r="C35" i="14" s="1"/>
  <c r="H36" i="14"/>
  <c r="C36" i="14" s="1"/>
  <c r="H37" i="14"/>
  <c r="C37" i="14" s="1"/>
  <c r="H38" i="14"/>
  <c r="E43" i="14"/>
  <c r="C43" i="14"/>
  <c r="E42" i="14"/>
  <c r="C42" i="14"/>
  <c r="H26" i="14"/>
  <c r="C26" i="14" s="1"/>
  <c r="H25" i="14"/>
  <c r="C25" i="14" s="1"/>
  <c r="H24" i="14"/>
  <c r="C24" i="14" s="1"/>
  <c r="H23" i="14"/>
  <c r="C23" i="14" s="1"/>
  <c r="J17" i="14"/>
  <c r="J16" i="14"/>
  <c r="J15" i="14"/>
  <c r="G13" i="14"/>
  <c r="F13" i="14"/>
  <c r="F8" i="14"/>
  <c r="H27" i="13"/>
  <c r="C27" i="13" s="1"/>
  <c r="H28" i="13"/>
  <c r="C28" i="13" s="1"/>
  <c r="H24" i="13"/>
  <c r="C24" i="13" s="1"/>
  <c r="H25" i="13"/>
  <c r="C25" i="13" s="1"/>
  <c r="H26" i="13"/>
  <c r="C26" i="13" s="1"/>
  <c r="H23" i="13"/>
  <c r="C23" i="13" s="1"/>
  <c r="J17" i="13"/>
  <c r="J16" i="13"/>
  <c r="J15" i="13"/>
  <c r="G13" i="13"/>
  <c r="F13" i="13"/>
  <c r="H12" i="13"/>
  <c r="F8" i="13"/>
  <c r="C27" i="1"/>
  <c r="C28" i="1"/>
  <c r="E41" i="12"/>
  <c r="C41" i="12"/>
  <c r="E40" i="12"/>
  <c r="C40" i="12"/>
  <c r="E39" i="12"/>
  <c r="C39" i="12"/>
  <c r="E38" i="12"/>
  <c r="C38" i="12"/>
  <c r="E37" i="12"/>
  <c r="C37" i="12"/>
  <c r="E36" i="12"/>
  <c r="C36" i="12"/>
  <c r="E35" i="12"/>
  <c r="C35" i="12"/>
  <c r="E34" i="12"/>
  <c r="C34" i="12"/>
  <c r="E33" i="12"/>
  <c r="C33" i="12"/>
  <c r="E32" i="12"/>
  <c r="C32" i="12"/>
  <c r="E31" i="12"/>
  <c r="C31" i="12"/>
  <c r="E30" i="12"/>
  <c r="C30" i="12"/>
  <c r="E29" i="12"/>
  <c r="C29" i="12"/>
  <c r="E28" i="12"/>
  <c r="C28" i="12"/>
  <c r="E27" i="12"/>
  <c r="C27" i="12"/>
  <c r="E26" i="12"/>
  <c r="C26" i="12"/>
  <c r="E25" i="12"/>
  <c r="C25" i="12"/>
  <c r="H24" i="12"/>
  <c r="C24" i="12" s="1"/>
  <c r="H23" i="12"/>
  <c r="C23" i="12" s="1"/>
  <c r="J17" i="12"/>
  <c r="J16" i="12"/>
  <c r="J15" i="12"/>
  <c r="G13" i="12"/>
  <c r="F13" i="12"/>
  <c r="H12" i="12"/>
  <c r="F8" i="12"/>
  <c r="F9" i="12" s="1"/>
  <c r="G9" i="12" s="1"/>
  <c r="I9" i="12" s="1"/>
  <c r="E41" i="11"/>
  <c r="C41" i="11"/>
  <c r="E40" i="11"/>
  <c r="C40" i="11"/>
  <c r="E39" i="11"/>
  <c r="C39" i="11"/>
  <c r="E38" i="11"/>
  <c r="C38" i="11"/>
  <c r="E37" i="11"/>
  <c r="C37" i="11"/>
  <c r="E36" i="11"/>
  <c r="C36" i="11"/>
  <c r="E35" i="11"/>
  <c r="C35" i="11"/>
  <c r="E34" i="11"/>
  <c r="C34" i="11"/>
  <c r="E33" i="11"/>
  <c r="C33" i="11"/>
  <c r="E32" i="11"/>
  <c r="C32" i="11"/>
  <c r="E31" i="11"/>
  <c r="C31" i="11"/>
  <c r="E30" i="11"/>
  <c r="C30" i="11"/>
  <c r="E29" i="11"/>
  <c r="C29" i="11"/>
  <c r="E28" i="11"/>
  <c r="C28" i="11"/>
  <c r="E27" i="11"/>
  <c r="C27" i="11"/>
  <c r="E26" i="11"/>
  <c r="C26" i="11"/>
  <c r="E25" i="11"/>
  <c r="C25" i="11"/>
  <c r="H24" i="11"/>
  <c r="C24" i="11" s="1"/>
  <c r="H23" i="11"/>
  <c r="C23" i="11" s="1"/>
  <c r="J17" i="11"/>
  <c r="J16" i="11"/>
  <c r="J15" i="11"/>
  <c r="G13" i="11"/>
  <c r="F13" i="11"/>
  <c r="H12" i="11"/>
  <c r="F8" i="11"/>
  <c r="F9" i="11" s="1"/>
  <c r="G9" i="11" s="1"/>
  <c r="E43" i="10"/>
  <c r="C43" i="10"/>
  <c r="E42" i="10"/>
  <c r="C42" i="10"/>
  <c r="E41" i="10"/>
  <c r="C41" i="10"/>
  <c r="E40" i="10"/>
  <c r="C40" i="10"/>
  <c r="E39" i="10"/>
  <c r="C39" i="10"/>
  <c r="E38" i="10"/>
  <c r="C38" i="10"/>
  <c r="E37" i="10"/>
  <c r="C37" i="10"/>
  <c r="E36" i="10"/>
  <c r="C36" i="10"/>
  <c r="E35" i="10"/>
  <c r="C35" i="10"/>
  <c r="E34" i="10"/>
  <c r="C34" i="10"/>
  <c r="E33" i="10"/>
  <c r="C33" i="10"/>
  <c r="E32" i="10"/>
  <c r="C32" i="10"/>
  <c r="E31" i="10"/>
  <c r="C31" i="10"/>
  <c r="E30" i="10"/>
  <c r="C30" i="10"/>
  <c r="E29" i="10"/>
  <c r="C29" i="10"/>
  <c r="E28" i="10"/>
  <c r="C28" i="10"/>
  <c r="E27" i="10"/>
  <c r="C27" i="10"/>
  <c r="H26" i="10"/>
  <c r="C26" i="10" s="1"/>
  <c r="H25" i="10"/>
  <c r="C25" i="10" s="1"/>
  <c r="H24" i="10"/>
  <c r="C24" i="10" s="1"/>
  <c r="H23" i="10"/>
  <c r="C23" i="10" s="1"/>
  <c r="J17" i="10"/>
  <c r="J16" i="10"/>
  <c r="J15" i="10"/>
  <c r="G13" i="10"/>
  <c r="F13" i="10"/>
  <c r="H12" i="10"/>
  <c r="F8" i="10"/>
  <c r="E42" i="8"/>
  <c r="C42" i="8"/>
  <c r="E41" i="8"/>
  <c r="C41" i="8"/>
  <c r="E40" i="8"/>
  <c r="C40" i="8"/>
  <c r="E39" i="8"/>
  <c r="C39" i="8"/>
  <c r="E38" i="8"/>
  <c r="C38" i="8"/>
  <c r="E37" i="8"/>
  <c r="C37" i="8"/>
  <c r="E36" i="8"/>
  <c r="C36" i="8"/>
  <c r="E35" i="8"/>
  <c r="C35" i="8"/>
  <c r="E34" i="8"/>
  <c r="C34" i="8"/>
  <c r="E33" i="8"/>
  <c r="C33" i="8"/>
  <c r="E32" i="8"/>
  <c r="C32" i="8"/>
  <c r="E31" i="8"/>
  <c r="C31" i="8"/>
  <c r="E30" i="8"/>
  <c r="C30" i="8"/>
  <c r="E29" i="8"/>
  <c r="C29" i="8"/>
  <c r="E28" i="8"/>
  <c r="C28" i="8"/>
  <c r="E27" i="8"/>
  <c r="C27" i="8"/>
  <c r="E26" i="8"/>
  <c r="C26" i="8"/>
  <c r="H25" i="8"/>
  <c r="C25" i="8" s="1"/>
  <c r="H24" i="8"/>
  <c r="C24" i="8" s="1"/>
  <c r="H23" i="8"/>
  <c r="C23" i="8" s="1"/>
  <c r="J17" i="8"/>
  <c r="J16" i="8"/>
  <c r="J15" i="8"/>
  <c r="G13" i="8"/>
  <c r="F13" i="8"/>
  <c r="H12" i="8"/>
  <c r="F8" i="8"/>
  <c r="AH247" i="2"/>
  <c r="J17" i="20"/>
  <c r="E43" i="4"/>
  <c r="E42" i="4"/>
  <c r="E41" i="4"/>
  <c r="E40" i="4"/>
  <c r="E39" i="4"/>
  <c r="E38" i="4"/>
  <c r="E37" i="4"/>
  <c r="E36" i="4"/>
  <c r="E35" i="4"/>
  <c r="E34" i="4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43" i="4"/>
  <c r="C42" i="4"/>
  <c r="C41" i="4"/>
  <c r="C40" i="4"/>
  <c r="C39" i="4"/>
  <c r="C38" i="4"/>
  <c r="C37" i="4"/>
  <c r="C36" i="4"/>
  <c r="C35" i="4"/>
  <c r="C34" i="4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N11" i="5"/>
  <c r="N10" i="5"/>
  <c r="F10" i="3"/>
  <c r="F9" i="3"/>
  <c r="F8" i="3"/>
  <c r="F7" i="3"/>
  <c r="F6" i="3"/>
  <c r="F5" i="3"/>
  <c r="F12" i="3"/>
  <c r="F13" i="3"/>
  <c r="F14" i="3"/>
  <c r="F15" i="3"/>
  <c r="F16" i="3"/>
  <c r="F17" i="3"/>
  <c r="F11" i="3"/>
  <c r="L24" i="5"/>
  <c r="L25" i="5"/>
  <c r="L26" i="5"/>
  <c r="L27" i="5"/>
  <c r="L28" i="5"/>
  <c r="L29" i="5"/>
  <c r="L23" i="5"/>
  <c r="F7" i="4"/>
  <c r="F18" i="4" s="1"/>
  <c r="J17" i="4" s="1"/>
  <c r="J16" i="5"/>
  <c r="J15" i="5"/>
  <c r="K24" i="4"/>
  <c r="K25" i="4"/>
  <c r="K26" i="4"/>
  <c r="K27" i="4"/>
  <c r="K28" i="4"/>
  <c r="K29" i="4"/>
  <c r="K30" i="4"/>
  <c r="K31" i="4"/>
  <c r="K32" i="4"/>
  <c r="K33" i="4"/>
  <c r="K23" i="4"/>
  <c r="J16" i="4"/>
  <c r="J15" i="4"/>
  <c r="H24" i="1"/>
  <c r="C24" i="1" s="1"/>
  <c r="H25" i="1"/>
  <c r="C25" i="1" s="1"/>
  <c r="H26" i="1"/>
  <c r="C26" i="1" s="1"/>
  <c r="H23" i="1"/>
  <c r="C23" i="1" s="1"/>
  <c r="G13" i="1"/>
  <c r="F13" i="1"/>
  <c r="F8" i="1"/>
  <c r="J19" i="1" s="1"/>
  <c r="H12" i="1"/>
  <c r="F12" i="1" s="1"/>
  <c r="J16" i="1"/>
  <c r="J15" i="1"/>
  <c r="F18" i="1"/>
  <c r="J17" i="1" s="1"/>
  <c r="F18" i="5"/>
  <c r="J17" i="5" s="1"/>
  <c r="AG246" i="2" l="1"/>
  <c r="AC246" i="2"/>
  <c r="AG281" i="2"/>
  <c r="AC281" i="2"/>
  <c r="AG241" i="2"/>
  <c r="AC241" i="2"/>
  <c r="AG225" i="2"/>
  <c r="AC225" i="2"/>
  <c r="AG243" i="2"/>
  <c r="AC243" i="2"/>
  <c r="AG262" i="2"/>
  <c r="AC262" i="2"/>
  <c r="AG265" i="2"/>
  <c r="AC265" i="2"/>
  <c r="AG275" i="2"/>
  <c r="AC275" i="2"/>
  <c r="AG277" i="2"/>
  <c r="AC277" i="2"/>
  <c r="AG279" i="2"/>
  <c r="AC279" i="2"/>
  <c r="AG237" i="2"/>
  <c r="AC237" i="2"/>
  <c r="AG226" i="2"/>
  <c r="AC226" i="2"/>
  <c r="AG223" i="2"/>
  <c r="AC223" i="2"/>
  <c r="AG220" i="2"/>
  <c r="AC220" i="2"/>
  <c r="AG253" i="2"/>
  <c r="AC253" i="2"/>
  <c r="AG254" i="2"/>
  <c r="AC254" i="2"/>
  <c r="AG255" i="2"/>
  <c r="AC255" i="2"/>
  <c r="AG256" i="2"/>
  <c r="AC256" i="2"/>
  <c r="AG257" i="2"/>
  <c r="AC257" i="2"/>
  <c r="AG258" i="2"/>
  <c r="AC258" i="2"/>
  <c r="AG261" i="2"/>
  <c r="AC261" i="2"/>
  <c r="AG263" i="2"/>
  <c r="AC263" i="2"/>
  <c r="AG242" i="2"/>
  <c r="AC242" i="2"/>
  <c r="AG236" i="2"/>
  <c r="AC236" i="2"/>
  <c r="AG228" i="2"/>
  <c r="AC228" i="2"/>
  <c r="AG250" i="2"/>
  <c r="AC250" i="2"/>
  <c r="AG273" i="2"/>
  <c r="AC273" i="2"/>
  <c r="AG268" i="2"/>
  <c r="AC268" i="2"/>
  <c r="AG269" i="2"/>
  <c r="AC269" i="2"/>
  <c r="AG270" i="2"/>
  <c r="AC270" i="2"/>
  <c r="AG271" i="2"/>
  <c r="AC271" i="2"/>
  <c r="AG272" i="2"/>
  <c r="AC272" i="2"/>
  <c r="AG235" i="2"/>
  <c r="AC235" i="2"/>
  <c r="AG234" i="2"/>
  <c r="AC234" i="2"/>
  <c r="AG224" i="2"/>
  <c r="AC224" i="2"/>
  <c r="AG222" i="2"/>
  <c r="AC222" i="2"/>
  <c r="AG221" i="2"/>
  <c r="AC221" i="2"/>
  <c r="E31" i="67"/>
  <c r="E30" i="36"/>
  <c r="E32" i="67"/>
  <c r="M271" i="2"/>
  <c r="F9" i="70"/>
  <c r="G9" i="70" s="1"/>
  <c r="K180" i="99" s="1"/>
  <c r="F9" i="24"/>
  <c r="G9" i="24" s="1"/>
  <c r="I9" i="24" s="1"/>
  <c r="F9" i="33"/>
  <c r="G9" i="33" s="1"/>
  <c r="I9" i="33" s="1"/>
  <c r="J19" i="37"/>
  <c r="I42" i="54"/>
  <c r="J18" i="37"/>
  <c r="E30" i="24"/>
  <c r="C31" i="35"/>
  <c r="F9" i="37"/>
  <c r="G9" i="37" s="1"/>
  <c r="I9" i="37" s="1"/>
  <c r="H264" i="2"/>
  <c r="H44" i="54"/>
  <c r="I268" i="2"/>
  <c r="AH268" i="2" s="1"/>
  <c r="AI268" i="2" s="1"/>
  <c r="J19" i="33"/>
  <c r="J12" i="24"/>
  <c r="J12" i="33"/>
  <c r="E27" i="35"/>
  <c r="C28" i="36"/>
  <c r="I40" i="54"/>
  <c r="J19" i="24"/>
  <c r="J12" i="37"/>
  <c r="F11" i="37" s="1"/>
  <c r="L58" i="54" s="1"/>
  <c r="J18" i="24"/>
  <c r="M39" i="54"/>
  <c r="M257" i="2"/>
  <c r="J18" i="15"/>
  <c r="I243" i="2"/>
  <c r="AH243" i="2" s="1"/>
  <c r="AI243" i="2" s="1"/>
  <c r="I12" i="54"/>
  <c r="F9" i="15"/>
  <c r="G9" i="15" s="1"/>
  <c r="K36" i="54" s="1"/>
  <c r="M255" i="2"/>
  <c r="M23" i="54"/>
  <c r="M40" i="54"/>
  <c r="F12" i="28"/>
  <c r="J13" i="28" s="1"/>
  <c r="H266" i="2"/>
  <c r="F12" i="33"/>
  <c r="V268" i="2" s="1"/>
  <c r="M58" i="54"/>
  <c r="H274" i="2"/>
  <c r="F12" i="41"/>
  <c r="F10" i="41" s="1"/>
  <c r="J19" i="49"/>
  <c r="F12" i="51"/>
  <c r="J13" i="51" s="1"/>
  <c r="F11" i="51" s="1"/>
  <c r="F12" i="57"/>
  <c r="J13" i="57" s="1"/>
  <c r="H230" i="2"/>
  <c r="M234" i="2"/>
  <c r="J19" i="64"/>
  <c r="J18" i="71"/>
  <c r="F12" i="73"/>
  <c r="J13" i="73" s="1"/>
  <c r="L176" i="99"/>
  <c r="M10" i="54"/>
  <c r="M246" i="2"/>
  <c r="F12" i="12"/>
  <c r="J13" i="12" s="1"/>
  <c r="F9" i="13"/>
  <c r="G9" i="13" s="1"/>
  <c r="K250" i="2" s="1"/>
  <c r="M254" i="2"/>
  <c r="H248" i="2"/>
  <c r="F9" i="22"/>
  <c r="G9" i="22" s="1"/>
  <c r="K256" i="2" s="1"/>
  <c r="J18" i="27"/>
  <c r="I265" i="2"/>
  <c r="AH265" i="2" s="1"/>
  <c r="AI265" i="2" s="1"/>
  <c r="I270" i="2"/>
  <c r="Y270" i="2" s="1"/>
  <c r="Z270" i="2" s="1"/>
  <c r="I275" i="2"/>
  <c r="AH275" i="2" s="1"/>
  <c r="AI275" i="2" s="1"/>
  <c r="I281" i="2"/>
  <c r="AH281" i="2" s="1"/>
  <c r="AI281" i="2" s="1"/>
  <c r="M269" i="2"/>
  <c r="I242" i="2"/>
  <c r="Y242" i="2" s="1"/>
  <c r="Z242" i="2" s="1"/>
  <c r="M56" i="99"/>
  <c r="F12" i="66"/>
  <c r="V226" i="2" s="1"/>
  <c r="J12" i="66"/>
  <c r="M247" i="2"/>
  <c r="M35" i="54"/>
  <c r="I253" i="2"/>
  <c r="Y253" i="2" s="1"/>
  <c r="Z253" i="2" s="1"/>
  <c r="H15" i="54"/>
  <c r="H11" i="54"/>
  <c r="H34" i="54"/>
  <c r="J13" i="23"/>
  <c r="V271" i="2"/>
  <c r="M38" i="54"/>
  <c r="F9" i="23"/>
  <c r="G9" i="23" s="1"/>
  <c r="K257" i="2" s="1"/>
  <c r="I261" i="2"/>
  <c r="Y261" i="2" s="1"/>
  <c r="Z261" i="2" s="1"/>
  <c r="M262" i="2"/>
  <c r="H57" i="54"/>
  <c r="M43" i="54"/>
  <c r="I27" i="54"/>
  <c r="I279" i="2"/>
  <c r="Y279" i="2" s="1"/>
  <c r="Z279" i="2" s="1"/>
  <c r="H29" i="54"/>
  <c r="F12" i="45"/>
  <c r="V281" i="2" s="1"/>
  <c r="H49" i="54"/>
  <c r="H283" i="2"/>
  <c r="M242" i="2"/>
  <c r="F9" i="56"/>
  <c r="G9" i="56" s="1"/>
  <c r="I9" i="56" s="1"/>
  <c r="L12" i="201"/>
  <c r="H12" i="201"/>
  <c r="F12" i="70"/>
  <c r="J13" i="70" s="1"/>
  <c r="J18" i="70"/>
  <c r="F12" i="72"/>
  <c r="J13" i="72" s="1"/>
  <c r="J19" i="16"/>
  <c r="M16" i="54"/>
  <c r="I272" i="2"/>
  <c r="Y272" i="2" s="1"/>
  <c r="Z272" i="2" s="1"/>
  <c r="I277" i="2"/>
  <c r="Y277" i="2" s="1"/>
  <c r="Z277" i="2" s="1"/>
  <c r="J19" i="51"/>
  <c r="F12" i="52"/>
  <c r="F10" i="52" s="1"/>
  <c r="F12" i="55"/>
  <c r="J13" i="55" s="1"/>
  <c r="M54" i="99"/>
  <c r="I235" i="2"/>
  <c r="Y235" i="2" s="1"/>
  <c r="Z235" i="2" s="1"/>
  <c r="J12" i="62"/>
  <c r="L180" i="99"/>
  <c r="M249" i="2"/>
  <c r="I56" i="54"/>
  <c r="J12" i="53"/>
  <c r="J18" i="13"/>
  <c r="J12" i="11"/>
  <c r="F11" i="11" s="1"/>
  <c r="L56" i="54" s="1"/>
  <c r="J19" i="13"/>
  <c r="E36" i="15"/>
  <c r="I250" i="2"/>
  <c r="AH250" i="2" s="1"/>
  <c r="AI250" i="2" s="1"/>
  <c r="F12" i="16"/>
  <c r="V255" i="2" s="1"/>
  <c r="J19" i="11"/>
  <c r="I36" i="54"/>
  <c r="F9" i="26"/>
  <c r="G9" i="26" s="1"/>
  <c r="I9" i="26" s="1"/>
  <c r="F9" i="73"/>
  <c r="G9" i="73" s="1"/>
  <c r="I9" i="73" s="1"/>
  <c r="J18" i="11"/>
  <c r="E27" i="13"/>
  <c r="E28" i="15"/>
  <c r="I35" i="54"/>
  <c r="M12" i="54"/>
  <c r="J19" i="15"/>
  <c r="J12" i="13"/>
  <c r="J12" i="15"/>
  <c r="F12" i="10"/>
  <c r="J13" i="10" s="1"/>
  <c r="E34" i="14"/>
  <c r="E33" i="14"/>
  <c r="I23" i="54"/>
  <c r="F9" i="36"/>
  <c r="G9" i="36" s="1"/>
  <c r="K271" i="2" s="1"/>
  <c r="E27" i="40"/>
  <c r="I16" i="54"/>
  <c r="J18" i="43"/>
  <c r="H50" i="54"/>
  <c r="M36" i="54"/>
  <c r="M56" i="54"/>
  <c r="J18" i="26"/>
  <c r="J19" i="36"/>
  <c r="H267" i="2"/>
  <c r="F12" i="27"/>
  <c r="F10" i="27" s="1"/>
  <c r="J18" i="36"/>
  <c r="J19" i="26"/>
  <c r="M18" i="54"/>
  <c r="J12" i="26"/>
  <c r="F11" i="26" s="1"/>
  <c r="L16" i="54" s="1"/>
  <c r="J12" i="36"/>
  <c r="J19" i="50"/>
  <c r="M17" i="54"/>
  <c r="C33" i="24"/>
  <c r="I271" i="2"/>
  <c r="Y271" i="2" s="1"/>
  <c r="Z271" i="2" s="1"/>
  <c r="E30" i="40"/>
  <c r="J12" i="73"/>
  <c r="M241" i="2"/>
  <c r="J12" i="16"/>
  <c r="F11" i="16" s="1"/>
  <c r="L255" i="2" s="1"/>
  <c r="I255" i="2"/>
  <c r="AH255" i="2" s="1"/>
  <c r="AI255" i="2" s="1"/>
  <c r="C33" i="15"/>
  <c r="E27" i="14"/>
  <c r="F9" i="71"/>
  <c r="G9" i="71" s="1"/>
  <c r="K221" i="2" s="1"/>
  <c r="L27" i="59"/>
  <c r="F9" i="16"/>
  <c r="G9" i="16" s="1"/>
  <c r="I9" i="16" s="1"/>
  <c r="J18" i="41"/>
  <c r="J18" i="51"/>
  <c r="M24" i="54"/>
  <c r="M240" i="2"/>
  <c r="H26" i="54"/>
  <c r="C29" i="15"/>
  <c r="E31" i="14"/>
  <c r="I37" i="54"/>
  <c r="I47" i="54"/>
  <c r="I9" i="54"/>
  <c r="H45" i="54"/>
  <c r="M70" i="54"/>
  <c r="J12" i="8"/>
  <c r="F11" i="8" s="1"/>
  <c r="L243" i="2" s="1"/>
  <c r="C37" i="15"/>
  <c r="J18" i="16"/>
  <c r="J12" i="25"/>
  <c r="C29" i="36"/>
  <c r="F9" i="51"/>
  <c r="G9" i="51" s="1"/>
  <c r="K9" i="54" s="1"/>
  <c r="I241" i="2"/>
  <c r="AH241" i="2" s="1"/>
  <c r="AI241" i="2" s="1"/>
  <c r="F12" i="24"/>
  <c r="J13" i="24" s="1"/>
  <c r="M42" i="54"/>
  <c r="C30" i="15"/>
  <c r="J19" i="22"/>
  <c r="E28" i="42"/>
  <c r="F9" i="49"/>
  <c r="G9" i="49" s="1"/>
  <c r="K18" i="54" s="1"/>
  <c r="I269" i="2"/>
  <c r="AH269" i="2" s="1"/>
  <c r="AI269" i="2" s="1"/>
  <c r="J12" i="49"/>
  <c r="F11" i="49" s="1"/>
  <c r="J19" i="53"/>
  <c r="M9" i="54"/>
  <c r="I18" i="54"/>
  <c r="J18" i="22"/>
  <c r="E29" i="41"/>
  <c r="J18" i="49"/>
  <c r="F9" i="53"/>
  <c r="G9" i="53" s="1"/>
  <c r="I9" i="53" s="1"/>
  <c r="H33" i="29"/>
  <c r="C33" i="29" s="1"/>
  <c r="H12" i="58"/>
  <c r="M51" i="99" s="1"/>
  <c r="E32" i="14"/>
  <c r="E34" i="15"/>
  <c r="E39" i="15"/>
  <c r="H25" i="17"/>
  <c r="C25" i="17" s="1"/>
  <c r="H27" i="18"/>
  <c r="C27" i="18" s="1"/>
  <c r="J12" i="22"/>
  <c r="F11" i="22" s="1"/>
  <c r="E31" i="24"/>
  <c r="J12" i="41"/>
  <c r="F9" i="45"/>
  <c r="G9" i="45" s="1"/>
  <c r="K281" i="2" s="1"/>
  <c r="J12" i="50"/>
  <c r="M272" i="2"/>
  <c r="J18" i="50"/>
  <c r="J19" i="45"/>
  <c r="F12" i="37"/>
  <c r="J13" i="37" s="1"/>
  <c r="I256" i="2"/>
  <c r="AH256" i="2" s="1"/>
  <c r="AI256" i="2" s="1"/>
  <c r="I38" i="54"/>
  <c r="C31" i="41"/>
  <c r="H245" i="2"/>
  <c r="E28" i="24"/>
  <c r="J18" i="25"/>
  <c r="F9" i="41"/>
  <c r="G9" i="41" s="1"/>
  <c r="K47" i="54" s="1"/>
  <c r="J12" i="45"/>
  <c r="F9" i="50"/>
  <c r="G9" i="50" s="1"/>
  <c r="M268" i="2"/>
  <c r="M263" i="2"/>
  <c r="F12" i="49"/>
  <c r="M238" i="2"/>
  <c r="F8" i="29"/>
  <c r="J18" i="29" s="1"/>
  <c r="H29" i="31"/>
  <c r="C29" i="31" s="1"/>
  <c r="H25" i="32"/>
  <c r="C25" i="32" s="1"/>
  <c r="H27" i="38"/>
  <c r="C27" i="38" s="1"/>
  <c r="H24" i="39"/>
  <c r="C24" i="39" s="1"/>
  <c r="H26" i="44"/>
  <c r="C26" i="44" s="1"/>
  <c r="H12" i="46"/>
  <c r="F8" i="48"/>
  <c r="E38" i="15"/>
  <c r="H251" i="2"/>
  <c r="F9" i="25"/>
  <c r="G9" i="25" s="1"/>
  <c r="I9" i="25" s="1"/>
  <c r="E30" i="35"/>
  <c r="E28" i="40"/>
  <c r="J18" i="45"/>
  <c r="I33" i="54"/>
  <c r="I48" i="54"/>
  <c r="H29" i="18"/>
  <c r="C29" i="18" s="1"/>
  <c r="H31" i="19"/>
  <c r="C31" i="19" s="1"/>
  <c r="F8" i="20"/>
  <c r="F9" i="20" s="1"/>
  <c r="G9" i="20" s="1"/>
  <c r="H30" i="29"/>
  <c r="C30" i="29" s="1"/>
  <c r="H27" i="31"/>
  <c r="C27" i="31" s="1"/>
  <c r="H28" i="44"/>
  <c r="C28" i="44" s="1"/>
  <c r="F12" i="46"/>
  <c r="E37" i="14"/>
  <c r="F9" i="14"/>
  <c r="G9" i="14" s="1"/>
  <c r="I9" i="14" s="1"/>
  <c r="H32" i="29"/>
  <c r="C32" i="29" s="1"/>
  <c r="G13" i="32"/>
  <c r="J18" i="35"/>
  <c r="F8" i="39"/>
  <c r="I274" i="2" s="1"/>
  <c r="H282" i="2"/>
  <c r="M256" i="2"/>
  <c r="M48" i="54"/>
  <c r="H25" i="5"/>
  <c r="C25" i="5" s="1"/>
  <c r="E29" i="14"/>
  <c r="M250" i="2"/>
  <c r="F12" i="15"/>
  <c r="F12" i="11"/>
  <c r="C29" i="24"/>
  <c r="J12" i="30"/>
  <c r="F11" i="30" s="1"/>
  <c r="H27" i="44"/>
  <c r="C27" i="44" s="1"/>
  <c r="I59" i="54"/>
  <c r="J18" i="14"/>
  <c r="J19" i="14"/>
  <c r="F12" i="13"/>
  <c r="V250" i="2" s="1"/>
  <c r="J19" i="42"/>
  <c r="F12" i="22"/>
  <c r="E28" i="13"/>
  <c r="J19" i="8"/>
  <c r="F12" i="14"/>
  <c r="C27" i="24"/>
  <c r="G13" i="29"/>
  <c r="H23" i="29"/>
  <c r="C23" i="29" s="1"/>
  <c r="F8" i="31"/>
  <c r="F8" i="32"/>
  <c r="H23" i="32"/>
  <c r="C23" i="32" s="1"/>
  <c r="J12" i="35"/>
  <c r="J19" i="40"/>
  <c r="J12" i="42"/>
  <c r="J12" i="43"/>
  <c r="J18" i="42"/>
  <c r="F9" i="40"/>
  <c r="G9" i="40" s="1"/>
  <c r="K275" i="2" s="1"/>
  <c r="J19" i="35"/>
  <c r="F12" i="26"/>
  <c r="J19" i="57"/>
  <c r="F13" i="4"/>
  <c r="F8" i="5"/>
  <c r="J12" i="5" s="1"/>
  <c r="J18" i="8"/>
  <c r="F9" i="10"/>
  <c r="G9" i="10" s="1"/>
  <c r="J18" i="12"/>
  <c r="H31" i="18"/>
  <c r="C31" i="18" s="1"/>
  <c r="I246" i="2"/>
  <c r="AH246" i="2" s="1"/>
  <c r="AI246" i="2" s="1"/>
  <c r="E31" i="15"/>
  <c r="H28" i="29"/>
  <c r="C28" i="29" s="1"/>
  <c r="H29" i="29"/>
  <c r="C29" i="29" s="1"/>
  <c r="J18" i="30"/>
  <c r="H24" i="31"/>
  <c r="C24" i="31" s="1"/>
  <c r="H12" i="32"/>
  <c r="F9" i="35"/>
  <c r="G9" i="35" s="1"/>
  <c r="J12" i="40"/>
  <c r="F11" i="40" s="1"/>
  <c r="C28" i="41"/>
  <c r="F9" i="42"/>
  <c r="G9" i="42" s="1"/>
  <c r="F9" i="43"/>
  <c r="G9" i="43" s="1"/>
  <c r="H25" i="48"/>
  <c r="C25" i="48" s="1"/>
  <c r="M33" i="54"/>
  <c r="M281" i="2"/>
  <c r="M258" i="2"/>
  <c r="J19" i="43"/>
  <c r="C27" i="28"/>
  <c r="I41" i="54"/>
  <c r="C28" i="27"/>
  <c r="F7" i="59"/>
  <c r="F9" i="8"/>
  <c r="G9" i="8" s="1"/>
  <c r="K243" i="2" s="1"/>
  <c r="I10" i="54"/>
  <c r="H13" i="54"/>
  <c r="H12" i="29"/>
  <c r="H27" i="29"/>
  <c r="C27" i="29" s="1"/>
  <c r="F9" i="30"/>
  <c r="G9" i="30" s="1"/>
  <c r="F10" i="36"/>
  <c r="J18" i="40"/>
  <c r="F12" i="50"/>
  <c r="H280" i="2"/>
  <c r="I28" i="54"/>
  <c r="I46" i="54"/>
  <c r="I43" i="54"/>
  <c r="M47" i="54"/>
  <c r="J19" i="30"/>
  <c r="J12" i="69"/>
  <c r="F11" i="69" s="1"/>
  <c r="L197" i="99" s="1"/>
  <c r="F9" i="1"/>
  <c r="G9" i="1" s="1"/>
  <c r="I9" i="1" s="1"/>
  <c r="E28" i="25"/>
  <c r="H12" i="17"/>
  <c r="C34" i="24"/>
  <c r="H244" i="2"/>
  <c r="F13" i="32"/>
  <c r="J19" i="62"/>
  <c r="F9" i="62"/>
  <c r="G9" i="62" s="1"/>
  <c r="K52" i="99" s="1"/>
  <c r="H24" i="74"/>
  <c r="C24" i="74" s="1"/>
  <c r="G13" i="74"/>
  <c r="J18" i="1"/>
  <c r="H24" i="29"/>
  <c r="C24" i="29" s="1"/>
  <c r="H12" i="31"/>
  <c r="H25" i="61"/>
  <c r="C25" i="61" s="1"/>
  <c r="L216" i="2"/>
  <c r="C29" i="27"/>
  <c r="J12" i="64"/>
  <c r="H23" i="5"/>
  <c r="N12" i="5" s="1"/>
  <c r="L31" i="59"/>
  <c r="H27" i="58"/>
  <c r="C27" i="58" s="1"/>
  <c r="L26" i="59"/>
  <c r="H26" i="63"/>
  <c r="C26" i="63" s="1"/>
  <c r="F12" i="8"/>
  <c r="C27" i="25"/>
  <c r="M237" i="2"/>
  <c r="L23" i="59"/>
  <c r="L29" i="59"/>
  <c r="H12" i="60"/>
  <c r="E30" i="67"/>
  <c r="J19" i="70"/>
  <c r="H28" i="74"/>
  <c r="C28" i="74" s="1"/>
  <c r="H30" i="4"/>
  <c r="C30" i="4" s="1"/>
  <c r="C32" i="15"/>
  <c r="J13" i="36"/>
  <c r="E27" i="41"/>
  <c r="F9" i="57"/>
  <c r="G9" i="57" s="1"/>
  <c r="K235" i="2" s="1"/>
  <c r="M236" i="2"/>
  <c r="L32" i="59"/>
  <c r="L24" i="59"/>
  <c r="K53" i="59"/>
  <c r="H12" i="4"/>
  <c r="F12" i="4" s="1"/>
  <c r="J13" i="4" s="1"/>
  <c r="M243" i="2"/>
  <c r="H28" i="18"/>
  <c r="C28" i="18" s="1"/>
  <c r="H33" i="18"/>
  <c r="C33" i="18" s="1"/>
  <c r="H23" i="19"/>
  <c r="C23" i="19" s="1"/>
  <c r="H27" i="19"/>
  <c r="C27" i="19" s="1"/>
  <c r="C27" i="27"/>
  <c r="J12" i="57"/>
  <c r="J18" i="57"/>
  <c r="L25" i="59"/>
  <c r="L28" i="59"/>
  <c r="H23" i="20"/>
  <c r="C23" i="20" s="1"/>
  <c r="H26" i="20"/>
  <c r="C26" i="20" s="1"/>
  <c r="G13" i="20"/>
  <c r="J12" i="1"/>
  <c r="F13" i="5"/>
  <c r="H33" i="4"/>
  <c r="C33" i="4" s="1"/>
  <c r="E36" i="14"/>
  <c r="G13" i="17"/>
  <c r="H12" i="18"/>
  <c r="F8" i="18"/>
  <c r="H23" i="18"/>
  <c r="C23" i="18" s="1"/>
  <c r="H28" i="19"/>
  <c r="C28" i="19" s="1"/>
  <c r="H26" i="19"/>
  <c r="C26" i="19" s="1"/>
  <c r="H12" i="20"/>
  <c r="J12" i="14"/>
  <c r="H24" i="18"/>
  <c r="C24" i="18" s="1"/>
  <c r="E30" i="14"/>
  <c r="E27" i="15"/>
  <c r="E40" i="15"/>
  <c r="C40" i="15"/>
  <c r="E35" i="15"/>
  <c r="C35" i="15"/>
  <c r="I257" i="2"/>
  <c r="Y257" i="2" s="1"/>
  <c r="Z257" i="2" s="1"/>
  <c r="I39" i="54"/>
  <c r="J18" i="23"/>
  <c r="J19" i="23"/>
  <c r="H23" i="17"/>
  <c r="G13" i="18"/>
  <c r="H32" i="18"/>
  <c r="C32" i="18" s="1"/>
  <c r="H25" i="19"/>
  <c r="C25" i="19" s="1"/>
  <c r="H24" i="20"/>
  <c r="C24" i="20" s="1"/>
  <c r="J19" i="12"/>
  <c r="J12" i="12"/>
  <c r="F11" i="12" s="1"/>
  <c r="H24" i="17"/>
  <c r="C24" i="17" s="1"/>
  <c r="F13" i="17"/>
  <c r="H26" i="18"/>
  <c r="C26" i="18" s="1"/>
  <c r="H24" i="19"/>
  <c r="C24" i="19" s="1"/>
  <c r="F9" i="72"/>
  <c r="G9" i="72" s="1"/>
  <c r="J12" i="72"/>
  <c r="F8" i="19"/>
  <c r="H30" i="19"/>
  <c r="C30" i="19" s="1"/>
  <c r="H12" i="19"/>
  <c r="E29" i="25"/>
  <c r="C29" i="25"/>
  <c r="J19" i="27"/>
  <c r="I17" i="54"/>
  <c r="I262" i="2"/>
  <c r="F9" i="27"/>
  <c r="G9" i="27" s="1"/>
  <c r="J12" i="27"/>
  <c r="F8" i="17"/>
  <c r="H30" i="18"/>
  <c r="C30" i="18" s="1"/>
  <c r="H25" i="18"/>
  <c r="C25" i="18" s="1"/>
  <c r="F13" i="19"/>
  <c r="H29" i="19"/>
  <c r="C29" i="19" s="1"/>
  <c r="G13" i="19"/>
  <c r="H25" i="20"/>
  <c r="C25" i="20" s="1"/>
  <c r="F13" i="20"/>
  <c r="J18" i="10"/>
  <c r="J19" i="10"/>
  <c r="J12" i="10"/>
  <c r="F11" i="10" s="1"/>
  <c r="C28" i="14"/>
  <c r="E28" i="14"/>
  <c r="J12" i="23"/>
  <c r="F11" i="23" s="1"/>
  <c r="V257" i="2"/>
  <c r="F10" i="23"/>
  <c r="E27" i="55"/>
  <c r="C27" i="55"/>
  <c r="H23" i="61"/>
  <c r="C23" i="61" s="1"/>
  <c r="H24" i="61"/>
  <c r="C24" i="61" s="1"/>
  <c r="G13" i="61"/>
  <c r="F8" i="61"/>
  <c r="J18" i="28"/>
  <c r="I24" i="54"/>
  <c r="F9" i="28"/>
  <c r="G9" i="28" s="1"/>
  <c r="E27" i="36"/>
  <c r="C27" i="36"/>
  <c r="C31" i="36"/>
  <c r="E31" i="36"/>
  <c r="H25" i="38"/>
  <c r="C25" i="38" s="1"/>
  <c r="F13" i="38"/>
  <c r="H12" i="38"/>
  <c r="F8" i="38"/>
  <c r="H28" i="38"/>
  <c r="C28" i="38" s="1"/>
  <c r="H24" i="38"/>
  <c r="C24" i="38" s="1"/>
  <c r="H30" i="38"/>
  <c r="C30" i="38" s="1"/>
  <c r="H26" i="38"/>
  <c r="C26" i="38" s="1"/>
  <c r="H32" i="38"/>
  <c r="C32" i="38" s="1"/>
  <c r="H29" i="38"/>
  <c r="C29" i="38" s="1"/>
  <c r="H31" i="38"/>
  <c r="C31" i="38" s="1"/>
  <c r="H25" i="39"/>
  <c r="C25" i="39" s="1"/>
  <c r="H31" i="39"/>
  <c r="C31" i="39" s="1"/>
  <c r="H29" i="39"/>
  <c r="C29" i="39" s="1"/>
  <c r="G13" i="39"/>
  <c r="H32" i="39"/>
  <c r="C32" i="39" s="1"/>
  <c r="H12" i="39"/>
  <c r="H27" i="39"/>
  <c r="C27" i="39" s="1"/>
  <c r="H28" i="39"/>
  <c r="C28" i="39" s="1"/>
  <c r="H26" i="39"/>
  <c r="C26" i="39" s="1"/>
  <c r="H30" i="39"/>
  <c r="C30" i="39" s="1"/>
  <c r="M46" i="54"/>
  <c r="M275" i="2"/>
  <c r="F12" i="40"/>
  <c r="E29" i="40"/>
  <c r="C29" i="40"/>
  <c r="M28" i="54"/>
  <c r="F12" i="42"/>
  <c r="M277" i="2"/>
  <c r="C27" i="42"/>
  <c r="E27" i="42"/>
  <c r="M279" i="2"/>
  <c r="F12" i="43"/>
  <c r="H33" i="44"/>
  <c r="C33" i="44" s="1"/>
  <c r="H25" i="44"/>
  <c r="C25" i="44" s="1"/>
  <c r="H31" i="44"/>
  <c r="C31" i="44" s="1"/>
  <c r="H24" i="44"/>
  <c r="C24" i="44" s="1"/>
  <c r="H12" i="44"/>
  <c r="H23" i="44"/>
  <c r="C23" i="44" s="1"/>
  <c r="F13" i="44"/>
  <c r="G13" i="44"/>
  <c r="H32" i="44"/>
  <c r="C32" i="44" s="1"/>
  <c r="H30" i="44"/>
  <c r="C30" i="44" s="1"/>
  <c r="H29" i="44"/>
  <c r="C29" i="44" s="1"/>
  <c r="H34" i="44"/>
  <c r="C34" i="44" s="1"/>
  <c r="G13" i="46"/>
  <c r="F13" i="46"/>
  <c r="H24" i="46"/>
  <c r="C24" i="46" s="1"/>
  <c r="H25" i="46"/>
  <c r="C25" i="46" s="1"/>
  <c r="H23" i="46"/>
  <c r="C23" i="46" s="1"/>
  <c r="H23" i="48"/>
  <c r="C23" i="48" s="1"/>
  <c r="F13" i="48"/>
  <c r="G13" i="48"/>
  <c r="H12" i="48"/>
  <c r="J19" i="52"/>
  <c r="J18" i="52"/>
  <c r="I22" i="54"/>
  <c r="F9" i="52"/>
  <c r="G9" i="52" s="1"/>
  <c r="K70" i="54" s="1"/>
  <c r="J12" i="52"/>
  <c r="F11" i="52" s="1"/>
  <c r="L70" i="54" s="1"/>
  <c r="I54" i="99"/>
  <c r="W54" i="99" s="1"/>
  <c r="X54" i="99" s="1"/>
  <c r="I236" i="2"/>
  <c r="Y236" i="2" s="1"/>
  <c r="Z236" i="2" s="1"/>
  <c r="J12" i="56"/>
  <c r="J19" i="56"/>
  <c r="J18" i="56"/>
  <c r="G13" i="58"/>
  <c r="H25" i="58"/>
  <c r="C25" i="58" s="1"/>
  <c r="H29" i="58"/>
  <c r="C29" i="58" s="1"/>
  <c r="H26" i="58"/>
  <c r="C26" i="58" s="1"/>
  <c r="H23" i="58"/>
  <c r="C23" i="58" s="1"/>
  <c r="H24" i="58"/>
  <c r="C24" i="58" s="1"/>
  <c r="F13" i="58"/>
  <c r="H28" i="58"/>
  <c r="C28" i="58" s="1"/>
  <c r="F8" i="60"/>
  <c r="C27" i="66"/>
  <c r="E27" i="66"/>
  <c r="H33" i="74"/>
  <c r="C33" i="74" s="1"/>
  <c r="H25" i="74"/>
  <c r="C25" i="74" s="1"/>
  <c r="F8" i="74"/>
  <c r="H12" i="74"/>
  <c r="H27" i="74"/>
  <c r="C27" i="74" s="1"/>
  <c r="H26" i="74"/>
  <c r="C26" i="74" s="1"/>
  <c r="H23" i="74"/>
  <c r="C23" i="74" s="1"/>
  <c r="F13" i="74"/>
  <c r="H32" i="74"/>
  <c r="C32" i="74" s="1"/>
  <c r="J19" i="28"/>
  <c r="F13" i="29"/>
  <c r="H23" i="38"/>
  <c r="C23" i="38" s="1"/>
  <c r="H23" i="39"/>
  <c r="C23" i="39" s="1"/>
  <c r="F8" i="44"/>
  <c r="F8" i="46"/>
  <c r="E29" i="35"/>
  <c r="C29" i="35"/>
  <c r="F8" i="58"/>
  <c r="C29" i="67"/>
  <c r="E29" i="67"/>
  <c r="C33" i="67"/>
  <c r="E33" i="67"/>
  <c r="H29" i="74"/>
  <c r="C29" i="74" s="1"/>
  <c r="F13" i="18"/>
  <c r="J12" i="28"/>
  <c r="G13" i="38"/>
  <c r="F13" i="39"/>
  <c r="M276" i="2"/>
  <c r="M59" i="54"/>
  <c r="E32" i="24"/>
  <c r="C32" i="24"/>
  <c r="F12" i="25"/>
  <c r="M259" i="2"/>
  <c r="H25" i="29"/>
  <c r="C25" i="29" s="1"/>
  <c r="H26" i="29"/>
  <c r="C26" i="29" s="1"/>
  <c r="H31" i="29"/>
  <c r="C31" i="29" s="1"/>
  <c r="F12" i="30"/>
  <c r="M265" i="2"/>
  <c r="M41" i="54"/>
  <c r="H25" i="31"/>
  <c r="C25" i="31" s="1"/>
  <c r="H23" i="31"/>
  <c r="G13" i="31"/>
  <c r="H26" i="31"/>
  <c r="C26" i="31" s="1"/>
  <c r="F13" i="31"/>
  <c r="H28" i="31"/>
  <c r="C28" i="31" s="1"/>
  <c r="M270" i="2"/>
  <c r="F12" i="35"/>
  <c r="J18" i="55"/>
  <c r="F9" i="55"/>
  <c r="G9" i="55" s="1"/>
  <c r="I237" i="2"/>
  <c r="AH237" i="2" s="1"/>
  <c r="AI237" i="2" s="1"/>
  <c r="J12" i="55"/>
  <c r="H28" i="60"/>
  <c r="C28" i="60" s="1"/>
  <c r="H34" i="60"/>
  <c r="C34" i="60" s="1"/>
  <c r="H30" i="60"/>
  <c r="C30" i="60" s="1"/>
  <c r="H25" i="60"/>
  <c r="C25" i="60" s="1"/>
  <c r="H29" i="60"/>
  <c r="C29" i="60" s="1"/>
  <c r="F13" i="60"/>
  <c r="G13" i="60"/>
  <c r="H23" i="60"/>
  <c r="C23" i="60" s="1"/>
  <c r="H31" i="60"/>
  <c r="C31" i="60" s="1"/>
  <c r="H31" i="63"/>
  <c r="C31" i="63" s="1"/>
  <c r="H24" i="48"/>
  <c r="C24" i="48" s="1"/>
  <c r="F13" i="61"/>
  <c r="H31" i="74"/>
  <c r="C31" i="74" s="1"/>
  <c r="L34" i="99"/>
  <c r="L33" i="59"/>
  <c r="H12" i="61"/>
  <c r="H30" i="63"/>
  <c r="C30" i="63" s="1"/>
  <c r="H34" i="63"/>
  <c r="C34" i="63" s="1"/>
  <c r="G13" i="63"/>
  <c r="H25" i="63"/>
  <c r="C25" i="63" s="1"/>
  <c r="H29" i="63"/>
  <c r="C29" i="63" s="1"/>
  <c r="H24" i="63"/>
  <c r="C24" i="63" s="1"/>
  <c r="H32" i="63"/>
  <c r="C32" i="63" s="1"/>
  <c r="H33" i="63"/>
  <c r="C33" i="63" s="1"/>
  <c r="F8" i="63"/>
  <c r="H23" i="63"/>
  <c r="C23" i="63" s="1"/>
  <c r="H28" i="63"/>
  <c r="C28" i="63" s="1"/>
  <c r="H27" i="63"/>
  <c r="C27" i="63" s="1"/>
  <c r="H12" i="63"/>
  <c r="F13" i="63"/>
  <c r="H35" i="63"/>
  <c r="C35" i="63" s="1"/>
  <c r="H29" i="4"/>
  <c r="C29" i="4" s="1"/>
  <c r="I53" i="99"/>
  <c r="W53" i="99" s="1"/>
  <c r="X53" i="99" s="1"/>
  <c r="I219" i="99"/>
  <c r="W219" i="99" s="1"/>
  <c r="X219" i="99" s="1"/>
  <c r="H51" i="99"/>
  <c r="V51" i="99" s="1"/>
  <c r="H202" i="99"/>
  <c r="V202" i="99" s="1"/>
  <c r="M52" i="99"/>
  <c r="M237" i="99"/>
  <c r="M13" i="138"/>
  <c r="F9" i="64"/>
  <c r="G9" i="64" s="1"/>
  <c r="I228" i="2"/>
  <c r="Y228" i="2" s="1"/>
  <c r="Z228" i="2" s="1"/>
  <c r="M46" i="99"/>
  <c r="M218" i="99"/>
  <c r="I43" i="99"/>
  <c r="W43" i="99" s="1"/>
  <c r="X43" i="99" s="1"/>
  <c r="I236" i="99"/>
  <c r="W236" i="99" s="1"/>
  <c r="X236" i="99" s="1"/>
  <c r="I12" i="138"/>
  <c r="W12" i="138" s="1"/>
  <c r="X12" i="138" s="1"/>
  <c r="E27" i="67"/>
  <c r="I42" i="99"/>
  <c r="W42" i="99" s="1"/>
  <c r="X42" i="99" s="1"/>
  <c r="I217" i="99"/>
  <c r="W217" i="99" s="1"/>
  <c r="X217" i="99" s="1"/>
  <c r="M41" i="99"/>
  <c r="M197" i="99"/>
  <c r="I41" i="99"/>
  <c r="W41" i="99" s="1"/>
  <c r="X41" i="99" s="1"/>
  <c r="I197" i="99"/>
  <c r="W197" i="99" s="1"/>
  <c r="X197" i="99" s="1"/>
  <c r="M37" i="99"/>
  <c r="M177" i="99"/>
  <c r="H36" i="99"/>
  <c r="V36" i="99" s="1"/>
  <c r="H216" i="99"/>
  <c r="V216" i="99" s="1"/>
  <c r="F8" i="4"/>
  <c r="J19" i="4" s="1"/>
  <c r="M55" i="99"/>
  <c r="M220" i="99"/>
  <c r="H27" i="60"/>
  <c r="C27" i="60" s="1"/>
  <c r="H47" i="99"/>
  <c r="V47" i="99" s="1"/>
  <c r="H199" i="99"/>
  <c r="V199" i="99" s="1"/>
  <c r="J18" i="64"/>
  <c r="M40" i="99"/>
  <c r="M180" i="99"/>
  <c r="M39" i="99"/>
  <c r="M179" i="99"/>
  <c r="M38" i="99"/>
  <c r="M178" i="99"/>
  <c r="I38" i="99"/>
  <c r="W38" i="99" s="1"/>
  <c r="X38" i="99" s="1"/>
  <c r="I178" i="99"/>
  <c r="W178" i="99" s="1"/>
  <c r="X178" i="99" s="1"/>
  <c r="H218" i="2"/>
  <c r="I55" i="99"/>
  <c r="W55" i="99" s="1"/>
  <c r="X55" i="99" s="1"/>
  <c r="I220" i="99"/>
  <c r="W220" i="99" s="1"/>
  <c r="X220" i="99" s="1"/>
  <c r="F12" i="56"/>
  <c r="M53" i="99"/>
  <c r="M219" i="99"/>
  <c r="H32" i="60"/>
  <c r="C32" i="60" s="1"/>
  <c r="H24" i="60"/>
  <c r="C24" i="60" s="1"/>
  <c r="H48" i="99"/>
  <c r="V48" i="99" s="1"/>
  <c r="H200" i="99"/>
  <c r="V200" i="99" s="1"/>
  <c r="I52" i="99"/>
  <c r="W52" i="99" s="1"/>
  <c r="X52" i="99" s="1"/>
  <c r="I237" i="99"/>
  <c r="W237" i="99" s="1"/>
  <c r="X237" i="99" s="1"/>
  <c r="I13" i="138"/>
  <c r="W13" i="138" s="1"/>
  <c r="X13" i="138" s="1"/>
  <c r="I46" i="99"/>
  <c r="W46" i="99" s="1"/>
  <c r="X46" i="99" s="1"/>
  <c r="I218" i="99"/>
  <c r="W218" i="99" s="1"/>
  <c r="M44" i="99"/>
  <c r="M198" i="99"/>
  <c r="I44" i="99"/>
  <c r="W44" i="99" s="1"/>
  <c r="X44" i="99" s="1"/>
  <c r="I198" i="99"/>
  <c r="W198" i="99" s="1"/>
  <c r="X198" i="99" s="1"/>
  <c r="F9" i="67"/>
  <c r="G9" i="67" s="1"/>
  <c r="M43" i="99"/>
  <c r="M236" i="99"/>
  <c r="M12" i="138"/>
  <c r="J18" i="67"/>
  <c r="M42" i="99"/>
  <c r="M217" i="99"/>
  <c r="J18" i="68"/>
  <c r="I39" i="99"/>
  <c r="W39" i="99" s="1"/>
  <c r="X39" i="99" s="1"/>
  <c r="I179" i="99"/>
  <c r="W179" i="99" s="1"/>
  <c r="X179" i="99" s="1"/>
  <c r="H29" i="5"/>
  <c r="C29" i="5" s="1"/>
  <c r="E35" i="14"/>
  <c r="L30" i="59"/>
  <c r="H33" i="60"/>
  <c r="C33" i="60" s="1"/>
  <c r="H50" i="99"/>
  <c r="V50" i="99" s="1"/>
  <c r="H201" i="99"/>
  <c r="V201" i="99" s="1"/>
  <c r="F12" i="62"/>
  <c r="K19" i="64"/>
  <c r="F12" i="64"/>
  <c r="J12" i="67"/>
  <c r="J19" i="67"/>
  <c r="F9" i="68"/>
  <c r="G9" i="68" s="1"/>
  <c r="J19" i="68"/>
  <c r="F12" i="69"/>
  <c r="C27" i="69"/>
  <c r="I40" i="99"/>
  <c r="W40" i="99" s="1"/>
  <c r="X40" i="99" s="1"/>
  <c r="I180" i="99"/>
  <c r="W180" i="99" s="1"/>
  <c r="X180" i="99" s="1"/>
  <c r="E27" i="71"/>
  <c r="H30" i="74"/>
  <c r="C30" i="74" s="1"/>
  <c r="AH254" i="2"/>
  <c r="AI254" i="2" s="1"/>
  <c r="Y254" i="2"/>
  <c r="Z254" i="2" s="1"/>
  <c r="AH258" i="2"/>
  <c r="AI258" i="2" s="1"/>
  <c r="Y258" i="2"/>
  <c r="Z258" i="2" s="1"/>
  <c r="AH263" i="2"/>
  <c r="AI263" i="2" s="1"/>
  <c r="Y263" i="2"/>
  <c r="Z263" i="2" s="1"/>
  <c r="AH234" i="2"/>
  <c r="AI234" i="2" s="1"/>
  <c r="Y234" i="2"/>
  <c r="Z234" i="2" s="1"/>
  <c r="AI238" i="2"/>
  <c r="H28" i="5"/>
  <c r="C28" i="5" s="1"/>
  <c r="G13" i="5"/>
  <c r="H24" i="5"/>
  <c r="C24" i="5" s="1"/>
  <c r="H26" i="5"/>
  <c r="C26" i="5" s="1"/>
  <c r="H27" i="5"/>
  <c r="C27" i="5" s="1"/>
  <c r="H12" i="5"/>
  <c r="F12" i="5" s="1"/>
  <c r="H28" i="4"/>
  <c r="C28" i="4" s="1"/>
  <c r="H25" i="4"/>
  <c r="C25" i="4" s="1"/>
  <c r="H27" i="4"/>
  <c r="C27" i="4" s="1"/>
  <c r="H23" i="4"/>
  <c r="C23" i="4" s="1"/>
  <c r="H24" i="4"/>
  <c r="C24" i="4" s="1"/>
  <c r="H32" i="4"/>
  <c r="C32" i="4" s="1"/>
  <c r="H31" i="4"/>
  <c r="C31" i="4" s="1"/>
  <c r="H26" i="4"/>
  <c r="C26" i="4" s="1"/>
  <c r="I9" i="15"/>
  <c r="G13" i="4"/>
  <c r="F10" i="1"/>
  <c r="J13" i="1"/>
  <c r="I9" i="11"/>
  <c r="K56" i="54"/>
  <c r="M253" i="2"/>
  <c r="H24" i="32"/>
  <c r="C24" i="32" s="1"/>
  <c r="L40" i="99"/>
  <c r="L222" i="2"/>
  <c r="H229" i="2"/>
  <c r="M225" i="2"/>
  <c r="M223" i="2"/>
  <c r="J19" i="72"/>
  <c r="I220" i="2"/>
  <c r="F12" i="53"/>
  <c r="M226" i="2"/>
  <c r="I225" i="2"/>
  <c r="C28" i="68"/>
  <c r="M224" i="2"/>
  <c r="J18" i="69"/>
  <c r="F9" i="69"/>
  <c r="G9" i="69" s="1"/>
  <c r="J12" i="71"/>
  <c r="F12" i="71"/>
  <c r="M222" i="2"/>
  <c r="M221" i="2"/>
  <c r="J18" i="73"/>
  <c r="M219" i="2"/>
  <c r="E28" i="55"/>
  <c r="F9" i="66"/>
  <c r="G9" i="66" s="1"/>
  <c r="J18" i="66"/>
  <c r="I226" i="2"/>
  <c r="C28" i="67"/>
  <c r="J12" i="68"/>
  <c r="F12" i="68"/>
  <c r="C27" i="68"/>
  <c r="I224" i="2"/>
  <c r="J19" i="69"/>
  <c r="I223" i="2"/>
  <c r="I222" i="2"/>
  <c r="I221" i="2"/>
  <c r="J19" i="55"/>
  <c r="H233" i="2"/>
  <c r="H26" i="60"/>
  <c r="C26" i="60" s="1"/>
  <c r="H232" i="2"/>
  <c r="J18" i="62"/>
  <c r="M228" i="2"/>
  <c r="J19" i="66"/>
  <c r="F12" i="67"/>
  <c r="J19" i="71"/>
  <c r="J18" i="72"/>
  <c r="M220" i="2"/>
  <c r="AI249" i="2"/>
  <c r="AI240" i="2"/>
  <c r="AI219" i="2"/>
  <c r="AI276" i="2"/>
  <c r="AI247" i="2"/>
  <c r="AK253" i="2"/>
  <c r="AI259" i="2"/>
  <c r="K39" i="99" l="1"/>
  <c r="AG232" i="2"/>
  <c r="AC232" i="2"/>
  <c r="AG218" i="2"/>
  <c r="AC218" i="2"/>
  <c r="AG245" i="2"/>
  <c r="AC245" i="2"/>
  <c r="AG283" i="2"/>
  <c r="AC283" i="2"/>
  <c r="AG282" i="2"/>
  <c r="AC282" i="2"/>
  <c r="AG251" i="2"/>
  <c r="AC251" i="2"/>
  <c r="AG230" i="2"/>
  <c r="AC230" i="2"/>
  <c r="AG266" i="2"/>
  <c r="AC266" i="2"/>
  <c r="AG244" i="2"/>
  <c r="AK240" i="2" s="1"/>
  <c r="C6" i="65" s="1"/>
  <c r="AC244" i="2"/>
  <c r="AG264" i="2"/>
  <c r="AC264" i="2"/>
  <c r="AG233" i="2"/>
  <c r="AC233" i="2"/>
  <c r="AG229" i="2"/>
  <c r="AC229" i="2"/>
  <c r="AG280" i="2"/>
  <c r="AK279" i="2" s="1"/>
  <c r="C9" i="65" s="1"/>
  <c r="AC280" i="2"/>
  <c r="AG267" i="2"/>
  <c r="AC267" i="2"/>
  <c r="AG248" i="2"/>
  <c r="AC248" i="2"/>
  <c r="AG274" i="2"/>
  <c r="AC274" i="2"/>
  <c r="L272" i="2"/>
  <c r="K222" i="2"/>
  <c r="F10" i="72"/>
  <c r="I9" i="71"/>
  <c r="V220" i="2"/>
  <c r="W220" i="2" s="1"/>
  <c r="AH271" i="2"/>
  <c r="AI271" i="2" s="1"/>
  <c r="F10" i="28"/>
  <c r="Y268" i="2"/>
  <c r="Z268" i="2" s="1"/>
  <c r="AH277" i="2"/>
  <c r="AI277" i="2" s="1"/>
  <c r="J13" i="16"/>
  <c r="K241" i="2"/>
  <c r="K27" i="54"/>
  <c r="AH279" i="2"/>
  <c r="AI279" i="2" s="1"/>
  <c r="V241" i="2"/>
  <c r="W241" i="2" s="1"/>
  <c r="K40" i="54"/>
  <c r="K268" i="2"/>
  <c r="K254" i="2"/>
  <c r="K42" i="54"/>
  <c r="AH270" i="2"/>
  <c r="AI270" i="2" s="1"/>
  <c r="AH242" i="2"/>
  <c r="AI242" i="2" s="1"/>
  <c r="AH235" i="2"/>
  <c r="AI235" i="2" s="1"/>
  <c r="Y265" i="2"/>
  <c r="Z265" i="2" s="1"/>
  <c r="W271" i="2"/>
  <c r="K272" i="2"/>
  <c r="I9" i="70"/>
  <c r="K40" i="99"/>
  <c r="I9" i="22"/>
  <c r="Y274" i="2"/>
  <c r="Z274" i="2" s="1"/>
  <c r="K258" i="2"/>
  <c r="V237" i="2"/>
  <c r="W237" i="2" s="1"/>
  <c r="K255" i="2"/>
  <c r="K54" i="99"/>
  <c r="F10" i="73"/>
  <c r="Y275" i="2"/>
  <c r="Z275" i="2" s="1"/>
  <c r="J13" i="41"/>
  <c r="F11" i="41" s="1"/>
  <c r="L47" i="54" s="1"/>
  <c r="F10" i="24"/>
  <c r="W268" i="2"/>
  <c r="F10" i="70"/>
  <c r="Y243" i="2"/>
  <c r="Z243" i="2" s="1"/>
  <c r="K39" i="54"/>
  <c r="V222" i="2"/>
  <c r="W222" i="2" s="1"/>
  <c r="J13" i="52"/>
  <c r="K236" i="2"/>
  <c r="I9" i="23"/>
  <c r="K234" i="2"/>
  <c r="J13" i="45"/>
  <c r="F11" i="45" s="1"/>
  <c r="L48" i="54" s="1"/>
  <c r="I9" i="45"/>
  <c r="F10" i="12"/>
  <c r="K58" i="54"/>
  <c r="K38" i="54"/>
  <c r="I9" i="49"/>
  <c r="I15" i="54"/>
  <c r="F11" i="24"/>
  <c r="L40" i="54" s="1"/>
  <c r="AH272" i="2"/>
  <c r="AI272" i="2" s="1"/>
  <c r="I9" i="36"/>
  <c r="AK261" i="2"/>
  <c r="C8" i="65" s="1"/>
  <c r="F10" i="57"/>
  <c r="L10" i="54"/>
  <c r="K16" i="54"/>
  <c r="W281" i="2"/>
  <c r="K269" i="2"/>
  <c r="AH253" i="2"/>
  <c r="AI253" i="2" s="1"/>
  <c r="AH261" i="2"/>
  <c r="AI261" i="2" s="1"/>
  <c r="I9" i="13"/>
  <c r="J13" i="27"/>
  <c r="F11" i="27" s="1"/>
  <c r="W250" i="2"/>
  <c r="I9" i="41"/>
  <c r="K261" i="2"/>
  <c r="K35" i="54"/>
  <c r="F10" i="66"/>
  <c r="K48" i="54"/>
  <c r="Y281" i="2"/>
  <c r="Z281" i="2" s="1"/>
  <c r="Y250" i="2"/>
  <c r="Z250" i="2" s="1"/>
  <c r="J13" i="66"/>
  <c r="F11" i="66" s="1"/>
  <c r="L44" i="99" s="1"/>
  <c r="M202" i="99"/>
  <c r="J13" i="33"/>
  <c r="F11" i="33" s="1"/>
  <c r="L268" i="2" s="1"/>
  <c r="F12" i="58"/>
  <c r="F10" i="58" s="1"/>
  <c r="L22" i="54"/>
  <c r="K217" i="99"/>
  <c r="V234" i="2"/>
  <c r="W234" i="2" s="1"/>
  <c r="M201" i="99"/>
  <c r="J13" i="50"/>
  <c r="F11" i="50" s="1"/>
  <c r="I9" i="8"/>
  <c r="F10" i="13"/>
  <c r="J18" i="39"/>
  <c r="K253" i="2"/>
  <c r="J12" i="29"/>
  <c r="L269" i="2"/>
  <c r="K198" i="99"/>
  <c r="V225" i="2"/>
  <c r="W225" i="2" s="1"/>
  <c r="V223" i="2"/>
  <c r="W223" i="2" s="1"/>
  <c r="K43" i="99"/>
  <c r="V236" i="2"/>
  <c r="W236" i="2" s="1"/>
  <c r="M229" i="2"/>
  <c r="I229" i="2"/>
  <c r="AH229" i="2" s="1"/>
  <c r="AI229" i="2" s="1"/>
  <c r="K55" i="99"/>
  <c r="I202" i="99"/>
  <c r="W202" i="99" s="1"/>
  <c r="X202" i="99" s="1"/>
  <c r="M36" i="99"/>
  <c r="L12" i="54"/>
  <c r="I9" i="20"/>
  <c r="K13" i="138"/>
  <c r="L223" i="2"/>
  <c r="H231" i="2"/>
  <c r="V256" i="2"/>
  <c r="W256" i="2" s="1"/>
  <c r="L265" i="2"/>
  <c r="F10" i="15"/>
  <c r="J12" i="48"/>
  <c r="F11" i="48" s="1"/>
  <c r="L283" i="2" s="1"/>
  <c r="K33" i="54"/>
  <c r="I9" i="51"/>
  <c r="K179" i="99"/>
  <c r="L37" i="54"/>
  <c r="V235" i="2"/>
  <c r="W235" i="2" s="1"/>
  <c r="F10" i="33"/>
  <c r="V263" i="2"/>
  <c r="W263" i="2" s="1"/>
  <c r="V224" i="2"/>
  <c r="W224" i="2" s="1"/>
  <c r="V221" i="2"/>
  <c r="W221" i="2" s="1"/>
  <c r="F10" i="64"/>
  <c r="I36" i="99"/>
  <c r="W36" i="99" s="1"/>
  <c r="X36" i="99" s="1"/>
  <c r="K24" i="54"/>
  <c r="I232" i="2"/>
  <c r="AH232" i="2" s="1"/>
  <c r="K219" i="99"/>
  <c r="M200" i="99"/>
  <c r="F12" i="17"/>
  <c r="V244" i="2" s="1"/>
  <c r="K59" i="54"/>
  <c r="K12" i="54"/>
  <c r="I9" i="40"/>
  <c r="J12" i="31"/>
  <c r="V282" i="2"/>
  <c r="I251" i="2"/>
  <c r="AH251" i="2" s="1"/>
  <c r="AI251" i="2" s="1"/>
  <c r="M49" i="54"/>
  <c r="F10" i="49"/>
  <c r="L38" i="54"/>
  <c r="F10" i="16"/>
  <c r="F10" i="45"/>
  <c r="F9" i="60"/>
  <c r="G9" i="60" s="1"/>
  <c r="K230" i="2" s="1"/>
  <c r="K262" i="2"/>
  <c r="K178" i="99"/>
  <c r="J13" i="8"/>
  <c r="I9" i="30"/>
  <c r="K28" i="54"/>
  <c r="F10" i="14"/>
  <c r="M233" i="2"/>
  <c r="V258" i="2"/>
  <c r="W258" i="2" s="1"/>
  <c r="K37" i="54"/>
  <c r="L261" i="2"/>
  <c r="V262" i="2"/>
  <c r="W262" i="2" s="1"/>
  <c r="F10" i="55"/>
  <c r="F10" i="51"/>
  <c r="L41" i="99"/>
  <c r="K23" i="54"/>
  <c r="K237" i="99"/>
  <c r="K12" i="201"/>
  <c r="J19" i="39"/>
  <c r="F9" i="39"/>
  <c r="G9" i="39" s="1"/>
  <c r="I9" i="39" s="1"/>
  <c r="I9" i="62"/>
  <c r="J13" i="13"/>
  <c r="F11" i="13" s="1"/>
  <c r="L35" i="54" s="1"/>
  <c r="F9" i="5"/>
  <c r="G9" i="5" s="1"/>
  <c r="I9" i="5" s="1"/>
  <c r="J13" i="46"/>
  <c r="F11" i="36"/>
  <c r="L27" i="54" s="1"/>
  <c r="F12" i="61"/>
  <c r="J13" i="61" s="1"/>
  <c r="I9" i="10"/>
  <c r="J18" i="31"/>
  <c r="K246" i="2"/>
  <c r="Y241" i="2"/>
  <c r="Z241" i="2" s="1"/>
  <c r="K220" i="99"/>
  <c r="K46" i="54"/>
  <c r="V246" i="2"/>
  <c r="W246" i="2" s="1"/>
  <c r="F10" i="10"/>
  <c r="Y246" i="2"/>
  <c r="Z246" i="2" s="1"/>
  <c r="I266" i="2"/>
  <c r="Y266" i="2" s="1"/>
  <c r="Z266" i="2" s="1"/>
  <c r="I50" i="54"/>
  <c r="Y269" i="2"/>
  <c r="Z269" i="2" s="1"/>
  <c r="M232" i="2"/>
  <c r="W255" i="2"/>
  <c r="M244" i="2"/>
  <c r="I50" i="99"/>
  <c r="W50" i="99" s="1"/>
  <c r="X50" i="99" s="1"/>
  <c r="M50" i="99"/>
  <c r="I48" i="99"/>
  <c r="W48" i="99" s="1"/>
  <c r="X48" i="99" s="1"/>
  <c r="K251" i="2"/>
  <c r="L256" i="2"/>
  <c r="M48" i="99"/>
  <c r="M282" i="2"/>
  <c r="K41" i="54"/>
  <c r="F11" i="1"/>
  <c r="AH257" i="2"/>
  <c r="AI257" i="2" s="1"/>
  <c r="I9" i="42"/>
  <c r="F11" i="73"/>
  <c r="Y256" i="2"/>
  <c r="Z256" i="2" s="1"/>
  <c r="I9" i="50"/>
  <c r="J13" i="22"/>
  <c r="Y262" i="2"/>
  <c r="Z262" i="2" s="1"/>
  <c r="K242" i="2"/>
  <c r="F10" i="4"/>
  <c r="K277" i="2"/>
  <c r="K10" i="54"/>
  <c r="J19" i="48"/>
  <c r="J18" i="20"/>
  <c r="J12" i="20"/>
  <c r="F9" i="48"/>
  <c r="G9" i="48" s="1"/>
  <c r="Y255" i="2"/>
  <c r="Z255" i="2" s="1"/>
  <c r="K15" i="54"/>
  <c r="I283" i="2"/>
  <c r="AH283" i="2" s="1"/>
  <c r="AI283" i="2" s="1"/>
  <c r="J19" i="20"/>
  <c r="H61" i="54"/>
  <c r="J18" i="48"/>
  <c r="F10" i="46"/>
  <c r="L18" i="54"/>
  <c r="L41" i="54"/>
  <c r="I9" i="67"/>
  <c r="AH236" i="2"/>
  <c r="AI236" i="2" s="1"/>
  <c r="I200" i="99"/>
  <c r="W200" i="99" s="1"/>
  <c r="X200" i="99" s="1"/>
  <c r="I201" i="99"/>
  <c r="W201" i="99" s="1"/>
  <c r="X201" i="99" s="1"/>
  <c r="J19" i="29"/>
  <c r="AH262" i="2"/>
  <c r="AI262" i="2" s="1"/>
  <c r="W226" i="2"/>
  <c r="V243" i="2"/>
  <c r="W243" i="2" s="1"/>
  <c r="F11" i="72"/>
  <c r="F8" i="59"/>
  <c r="J12" i="59" s="1"/>
  <c r="M218" i="2"/>
  <c r="H49" i="99"/>
  <c r="V49" i="99" s="1"/>
  <c r="Z46" i="99" s="1"/>
  <c r="M34" i="54"/>
  <c r="F9" i="29"/>
  <c r="G9" i="29" s="1"/>
  <c r="I25" i="54"/>
  <c r="F11" i="57"/>
  <c r="L219" i="99" s="1"/>
  <c r="I264" i="2"/>
  <c r="AH274" i="2"/>
  <c r="AI274" i="2" s="1"/>
  <c r="V253" i="2"/>
  <c r="W253" i="2" s="1"/>
  <c r="V269" i="2"/>
  <c r="W269" i="2" s="1"/>
  <c r="J13" i="49"/>
  <c r="V272" i="2"/>
  <c r="W272" i="2" s="1"/>
  <c r="F10" i="37"/>
  <c r="M230" i="2"/>
  <c r="F12" i="60"/>
  <c r="I9" i="72"/>
  <c r="K265" i="2"/>
  <c r="I9" i="27"/>
  <c r="H181" i="99"/>
  <c r="V181" i="99" s="1"/>
  <c r="K53" i="99"/>
  <c r="F53" i="59"/>
  <c r="F10" i="22"/>
  <c r="J13" i="11"/>
  <c r="F10" i="11"/>
  <c r="I45" i="54"/>
  <c r="J12" i="39"/>
  <c r="C23" i="5"/>
  <c r="L246" i="2"/>
  <c r="I9" i="57"/>
  <c r="J13" i="14"/>
  <c r="F11" i="14" s="1"/>
  <c r="V254" i="2"/>
  <c r="W254" i="2" s="1"/>
  <c r="H12" i="59"/>
  <c r="K42" i="99"/>
  <c r="J13" i="15"/>
  <c r="F11" i="15" s="1"/>
  <c r="I218" i="2"/>
  <c r="AH218" i="2" s="1"/>
  <c r="AI218" i="2" s="1"/>
  <c r="J19" i="74"/>
  <c r="I9" i="28"/>
  <c r="I9" i="52"/>
  <c r="H25" i="59"/>
  <c r="C25" i="59" s="1"/>
  <c r="I51" i="99"/>
  <c r="W51" i="99" s="1"/>
  <c r="X51" i="99" s="1"/>
  <c r="I9" i="43"/>
  <c r="F10" i="50"/>
  <c r="F11" i="28"/>
  <c r="F10" i="8"/>
  <c r="L46" i="54"/>
  <c r="L275" i="2"/>
  <c r="V261" i="2"/>
  <c r="W261" i="2" s="1"/>
  <c r="F10" i="26"/>
  <c r="J13" i="26"/>
  <c r="K43" i="54"/>
  <c r="I9" i="35"/>
  <c r="K270" i="2"/>
  <c r="K220" i="2"/>
  <c r="I216" i="99"/>
  <c r="W216" i="99" s="1"/>
  <c r="X216" i="99" s="1"/>
  <c r="J18" i="5"/>
  <c r="J19" i="5"/>
  <c r="K279" i="2"/>
  <c r="M25" i="54"/>
  <c r="M264" i="2"/>
  <c r="F12" i="29"/>
  <c r="M267" i="2"/>
  <c r="F12" i="32"/>
  <c r="M57" i="54"/>
  <c r="I57" i="54"/>
  <c r="J12" i="32"/>
  <c r="F11" i="32" s="1"/>
  <c r="J19" i="32"/>
  <c r="I267" i="2"/>
  <c r="J18" i="32"/>
  <c r="F9" i="32"/>
  <c r="G9" i="32" s="1"/>
  <c r="K263" i="2"/>
  <c r="K22" i="54"/>
  <c r="J18" i="74"/>
  <c r="K38" i="99"/>
  <c r="V242" i="2"/>
  <c r="W242" i="2" s="1"/>
  <c r="F9" i="31"/>
  <c r="G9" i="31" s="1"/>
  <c r="J19" i="31"/>
  <c r="I26" i="54"/>
  <c r="Y237" i="2"/>
  <c r="Z237" i="2" s="1"/>
  <c r="AH228" i="2"/>
  <c r="AI228" i="2" s="1"/>
  <c r="H23" i="59"/>
  <c r="C23" i="59" s="1"/>
  <c r="H33" i="59"/>
  <c r="C33" i="59" s="1"/>
  <c r="H24" i="59"/>
  <c r="C24" i="59" s="1"/>
  <c r="H27" i="59"/>
  <c r="C27" i="59" s="1"/>
  <c r="H32" i="59"/>
  <c r="C32" i="59" s="1"/>
  <c r="K225" i="2"/>
  <c r="H26" i="59"/>
  <c r="C26" i="59" s="1"/>
  <c r="H31" i="59"/>
  <c r="C31" i="59" s="1"/>
  <c r="H30" i="59"/>
  <c r="C30" i="59" s="1"/>
  <c r="H29" i="59"/>
  <c r="C29" i="59" s="1"/>
  <c r="G13" i="59"/>
  <c r="F13" i="59"/>
  <c r="H28" i="59"/>
  <c r="C28" i="59" s="1"/>
  <c r="F12" i="31"/>
  <c r="M26" i="54"/>
  <c r="M266" i="2"/>
  <c r="L9" i="54"/>
  <c r="L241" i="2"/>
  <c r="K197" i="99"/>
  <c r="J12" i="201"/>
  <c r="F10" i="42"/>
  <c r="V277" i="2"/>
  <c r="W277" i="2" s="1"/>
  <c r="J13" i="42"/>
  <c r="F11" i="42" s="1"/>
  <c r="K224" i="2"/>
  <c r="K17" i="54"/>
  <c r="J13" i="64"/>
  <c r="F11" i="64" s="1"/>
  <c r="V228" i="2"/>
  <c r="W228" i="2" s="1"/>
  <c r="F11" i="55"/>
  <c r="V270" i="2"/>
  <c r="W270" i="2" s="1"/>
  <c r="F10" i="35"/>
  <c r="J13" i="35"/>
  <c r="F11" i="35" s="1"/>
  <c r="F9" i="44"/>
  <c r="G9" i="44" s="1"/>
  <c r="J18" i="44"/>
  <c r="J12" i="44"/>
  <c r="I280" i="2"/>
  <c r="I29" i="54"/>
  <c r="J19" i="44"/>
  <c r="J18" i="60"/>
  <c r="J12" i="60"/>
  <c r="J19" i="60"/>
  <c r="I230" i="2"/>
  <c r="V279" i="2"/>
  <c r="W279" i="2" s="1"/>
  <c r="J13" i="43"/>
  <c r="F11" i="43" s="1"/>
  <c r="F10" i="43"/>
  <c r="F12" i="38"/>
  <c r="M273" i="2"/>
  <c r="M44" i="54"/>
  <c r="J19" i="17"/>
  <c r="F9" i="17"/>
  <c r="G9" i="17" s="1"/>
  <c r="I34" i="54"/>
  <c r="I244" i="2"/>
  <c r="J18" i="17"/>
  <c r="J12" i="17"/>
  <c r="I13" i="54"/>
  <c r="I248" i="2"/>
  <c r="J12" i="19"/>
  <c r="F11" i="19" s="1"/>
  <c r="J18" i="19"/>
  <c r="J19" i="19"/>
  <c r="F9" i="19"/>
  <c r="G9" i="19" s="1"/>
  <c r="I9" i="55"/>
  <c r="K237" i="2"/>
  <c r="C23" i="31"/>
  <c r="N12" i="31"/>
  <c r="V265" i="2"/>
  <c r="W265" i="2" s="1"/>
  <c r="J13" i="30"/>
  <c r="F10" i="30"/>
  <c r="J19" i="58"/>
  <c r="J18" i="58"/>
  <c r="I233" i="2"/>
  <c r="Y233" i="2" s="1"/>
  <c r="Z233" i="2" s="1"/>
  <c r="J12" i="58"/>
  <c r="F9" i="58"/>
  <c r="G9" i="58" s="1"/>
  <c r="M216" i="99"/>
  <c r="F12" i="74"/>
  <c r="M274" i="2"/>
  <c r="M45" i="54"/>
  <c r="F12" i="39"/>
  <c r="F9" i="61"/>
  <c r="G9" i="61" s="1"/>
  <c r="J18" i="61"/>
  <c r="J12" i="61"/>
  <c r="J19" i="61"/>
  <c r="L257" i="2"/>
  <c r="L39" i="54"/>
  <c r="C23" i="17"/>
  <c r="N12" i="17"/>
  <c r="W257" i="2"/>
  <c r="M15" i="54"/>
  <c r="M251" i="2"/>
  <c r="F12" i="20"/>
  <c r="I11" i="54"/>
  <c r="I245" i="2"/>
  <c r="J19" i="18"/>
  <c r="J18" i="18"/>
  <c r="J12" i="18"/>
  <c r="F9" i="18"/>
  <c r="G9" i="18" s="1"/>
  <c r="I9" i="68"/>
  <c r="F10" i="25"/>
  <c r="J13" i="25"/>
  <c r="F11" i="25" s="1"/>
  <c r="F9" i="46"/>
  <c r="G9" i="46" s="1"/>
  <c r="J12" i="46"/>
  <c r="I49" i="54"/>
  <c r="J19" i="46"/>
  <c r="I282" i="2"/>
  <c r="J18" i="46"/>
  <c r="J12" i="74"/>
  <c r="F9" i="74"/>
  <c r="G9" i="74" s="1"/>
  <c r="F12" i="48"/>
  <c r="M50" i="54"/>
  <c r="M283" i="2"/>
  <c r="M280" i="2"/>
  <c r="F12" i="44"/>
  <c r="M29" i="54"/>
  <c r="V275" i="2"/>
  <c r="W275" i="2" s="1"/>
  <c r="J13" i="40"/>
  <c r="F10" i="40"/>
  <c r="I44" i="54"/>
  <c r="J12" i="38"/>
  <c r="I273" i="2"/>
  <c r="J18" i="38"/>
  <c r="F9" i="38"/>
  <c r="G9" i="38" s="1"/>
  <c r="J19" i="38"/>
  <c r="M13" i="54"/>
  <c r="F12" i="19"/>
  <c r="M248" i="2"/>
  <c r="M11" i="54"/>
  <c r="M245" i="2"/>
  <c r="F12" i="18"/>
  <c r="K236" i="99"/>
  <c r="K12" i="138"/>
  <c r="J13" i="56"/>
  <c r="F11" i="56" s="1"/>
  <c r="F10" i="56"/>
  <c r="AA218" i="99"/>
  <c r="AB218" i="99" s="1"/>
  <c r="X218" i="99"/>
  <c r="J13" i="62"/>
  <c r="F11" i="62" s="1"/>
  <c r="F10" i="62"/>
  <c r="F9" i="4"/>
  <c r="G9" i="4" s="1"/>
  <c r="I9" i="4" s="1"/>
  <c r="J12" i="4"/>
  <c r="F11" i="4" s="1"/>
  <c r="J18" i="4"/>
  <c r="M47" i="99"/>
  <c r="M199" i="99"/>
  <c r="F12" i="63"/>
  <c r="I47" i="99"/>
  <c r="W47" i="99" s="1"/>
  <c r="X47" i="99" s="1"/>
  <c r="I199" i="99"/>
  <c r="W199" i="99" s="1"/>
  <c r="X199" i="99" s="1"/>
  <c r="J12" i="63"/>
  <c r="J19" i="63"/>
  <c r="F9" i="63"/>
  <c r="G9" i="63" s="1"/>
  <c r="J18" i="63"/>
  <c r="J13" i="69"/>
  <c r="F10" i="69"/>
  <c r="K46" i="99"/>
  <c r="K218" i="99"/>
  <c r="K228" i="2"/>
  <c r="I9" i="64"/>
  <c r="AH221" i="2"/>
  <c r="AI221" i="2" s="1"/>
  <c r="Y221" i="2"/>
  <c r="Z221" i="2" s="1"/>
  <c r="AH224" i="2"/>
  <c r="AI224" i="2" s="1"/>
  <c r="Y224" i="2"/>
  <c r="Z224" i="2" s="1"/>
  <c r="AH222" i="2"/>
  <c r="AI222" i="2" s="1"/>
  <c r="Y222" i="2"/>
  <c r="Z222" i="2" s="1"/>
  <c r="AH226" i="2"/>
  <c r="AI226" i="2" s="1"/>
  <c r="Y226" i="2"/>
  <c r="Z226" i="2" s="1"/>
  <c r="AH220" i="2"/>
  <c r="AI220" i="2" s="1"/>
  <c r="Y220" i="2"/>
  <c r="Z220" i="2" s="1"/>
  <c r="AH223" i="2"/>
  <c r="AI223" i="2" s="1"/>
  <c r="Y223" i="2"/>
  <c r="Z223" i="2" s="1"/>
  <c r="AH225" i="2"/>
  <c r="AI225" i="2" s="1"/>
  <c r="Y225" i="2"/>
  <c r="Z225" i="2" s="1"/>
  <c r="K44" i="99"/>
  <c r="K226" i="2"/>
  <c r="I9" i="66"/>
  <c r="K41" i="99"/>
  <c r="K223" i="2"/>
  <c r="I9" i="69"/>
  <c r="F10" i="5"/>
  <c r="J13" i="5"/>
  <c r="F11" i="5" s="1"/>
  <c r="F10" i="71"/>
  <c r="J13" i="71"/>
  <c r="F11" i="71" s="1"/>
  <c r="J13" i="67"/>
  <c r="F11" i="67" s="1"/>
  <c r="F10" i="67"/>
  <c r="J13" i="68"/>
  <c r="F11" i="68" s="1"/>
  <c r="F10" i="68"/>
  <c r="F10" i="53"/>
  <c r="J13" i="53"/>
  <c r="F11" i="53" s="1"/>
  <c r="C7" i="65"/>
  <c r="AI232" i="2" l="1"/>
  <c r="AG231" i="2"/>
  <c r="AK228" i="2" s="1"/>
  <c r="C5" i="65" s="1"/>
  <c r="AC231" i="2"/>
  <c r="F9" i="59"/>
  <c r="G9" i="59" s="1"/>
  <c r="L226" i="2"/>
  <c r="L281" i="2"/>
  <c r="J13" i="17"/>
  <c r="F11" i="17" s="1"/>
  <c r="Y251" i="2"/>
  <c r="Z251" i="2" s="1"/>
  <c r="K274" i="2"/>
  <c r="L198" i="99"/>
  <c r="L258" i="2"/>
  <c r="F10" i="61"/>
  <c r="L42" i="54"/>
  <c r="L250" i="2"/>
  <c r="K48" i="99"/>
  <c r="F10" i="17"/>
  <c r="L50" i="54"/>
  <c r="I9" i="60"/>
  <c r="L271" i="2"/>
  <c r="Y229" i="2"/>
  <c r="Z229" i="2" s="1"/>
  <c r="V233" i="2"/>
  <c r="W233" i="2" s="1"/>
  <c r="J13" i="58"/>
  <c r="F11" i="58" s="1"/>
  <c r="L51" i="99" s="1"/>
  <c r="Y232" i="2"/>
  <c r="Z232" i="2" s="1"/>
  <c r="L36" i="54"/>
  <c r="V230" i="2"/>
  <c r="W230" i="2" s="1"/>
  <c r="L53" i="99"/>
  <c r="L33" i="54"/>
  <c r="V232" i="2"/>
  <c r="W232" i="2" s="1"/>
  <c r="K200" i="99"/>
  <c r="L179" i="99"/>
  <c r="L263" i="2"/>
  <c r="L262" i="2"/>
  <c r="L217" i="99"/>
  <c r="M181" i="99"/>
  <c r="I9" i="29"/>
  <c r="I181" i="99"/>
  <c r="W181" i="99" s="1"/>
  <c r="X181" i="99" s="1"/>
  <c r="V229" i="2"/>
  <c r="W229" i="2" s="1"/>
  <c r="L220" i="2"/>
  <c r="K45" i="54"/>
  <c r="F54" i="59"/>
  <c r="J19" i="59"/>
  <c r="K264" i="2"/>
  <c r="F11" i="46"/>
  <c r="L282" i="2" s="1"/>
  <c r="K25" i="54"/>
  <c r="J18" i="59"/>
  <c r="I231" i="2"/>
  <c r="Y231" i="2" s="1"/>
  <c r="Z231" i="2" s="1"/>
  <c r="I49" i="99"/>
  <c r="I65" i="99" s="1"/>
  <c r="AH266" i="2"/>
  <c r="AI266" i="2" s="1"/>
  <c r="L24" i="54"/>
  <c r="F11" i="61"/>
  <c r="L50" i="99" s="1"/>
  <c r="L17" i="54"/>
  <c r="L242" i="2"/>
  <c r="L38" i="99"/>
  <c r="J13" i="60"/>
  <c r="F11" i="60" s="1"/>
  <c r="Y218" i="2"/>
  <c r="Z218" i="2" s="1"/>
  <c r="M49" i="99"/>
  <c r="L178" i="99"/>
  <c r="AL253" i="2"/>
  <c r="D7" i="65" s="1"/>
  <c r="Y283" i="2"/>
  <c r="K283" i="2"/>
  <c r="K50" i="54"/>
  <c r="I9" i="48"/>
  <c r="L235" i="2"/>
  <c r="H65" i="99"/>
  <c r="M231" i="2"/>
  <c r="F12" i="59"/>
  <c r="F10" i="59" s="1"/>
  <c r="AH264" i="2"/>
  <c r="AI264" i="2" s="1"/>
  <c r="Y264" i="2"/>
  <c r="Z264" i="2" s="1"/>
  <c r="F10" i="60"/>
  <c r="L254" i="2"/>
  <c r="K266" i="2"/>
  <c r="I9" i="31"/>
  <c r="K26" i="54"/>
  <c r="AH267" i="2"/>
  <c r="AI267" i="2" s="1"/>
  <c r="Y267" i="2"/>
  <c r="Z267" i="2" s="1"/>
  <c r="F10" i="32"/>
  <c r="J13" i="32"/>
  <c r="V267" i="2"/>
  <c r="W267" i="2" s="1"/>
  <c r="I9" i="32"/>
  <c r="K267" i="2"/>
  <c r="K57" i="54"/>
  <c r="L57" i="54"/>
  <c r="L267" i="2"/>
  <c r="V264" i="2"/>
  <c r="W264" i="2" s="1"/>
  <c r="F10" i="29"/>
  <c r="J13" i="29"/>
  <c r="F11" i="29" s="1"/>
  <c r="N12" i="59"/>
  <c r="V266" i="2"/>
  <c r="W266" i="2" s="1"/>
  <c r="J13" i="31"/>
  <c r="F11" i="31" s="1"/>
  <c r="F10" i="31"/>
  <c r="AH248" i="2"/>
  <c r="AI248" i="2" s="1"/>
  <c r="Y248" i="2"/>
  <c r="Z248" i="2" s="1"/>
  <c r="W244" i="2"/>
  <c r="Y244" i="2"/>
  <c r="Z244" i="2" s="1"/>
  <c r="AH244" i="2"/>
  <c r="L277" i="2"/>
  <c r="L28" i="54"/>
  <c r="AH273" i="2"/>
  <c r="Y273" i="2"/>
  <c r="Z273" i="2" s="1"/>
  <c r="K216" i="99"/>
  <c r="K218" i="2"/>
  <c r="I9" i="74"/>
  <c r="K36" i="99"/>
  <c r="I9" i="18"/>
  <c r="K11" i="54"/>
  <c r="K245" i="2"/>
  <c r="AH245" i="2"/>
  <c r="AI245" i="2" s="1"/>
  <c r="Y245" i="2"/>
  <c r="Z245" i="2" s="1"/>
  <c r="I9" i="58"/>
  <c r="K233" i="2"/>
  <c r="K51" i="99"/>
  <c r="K202" i="99"/>
  <c r="L13" i="54"/>
  <c r="L248" i="2"/>
  <c r="J13" i="38"/>
  <c r="F11" i="38" s="1"/>
  <c r="V273" i="2"/>
  <c r="W273" i="2" s="1"/>
  <c r="F10" i="38"/>
  <c r="I61" i="54"/>
  <c r="K61" i="54" s="1"/>
  <c r="Y230" i="2"/>
  <c r="Z230" i="2" s="1"/>
  <c r="AH230" i="2"/>
  <c r="AI230" i="2" s="1"/>
  <c r="K44" i="54"/>
  <c r="K273" i="2"/>
  <c r="I9" i="38"/>
  <c r="V251" i="2"/>
  <c r="W251" i="2" s="1"/>
  <c r="J13" i="20"/>
  <c r="F11" i="20" s="1"/>
  <c r="F10" i="20"/>
  <c r="K232" i="2"/>
  <c r="K201" i="99"/>
  <c r="K50" i="99"/>
  <c r="I9" i="61"/>
  <c r="J13" i="74"/>
  <c r="F11" i="74" s="1"/>
  <c r="V218" i="2"/>
  <c r="W218" i="2" s="1"/>
  <c r="F10" i="74"/>
  <c r="AH233" i="2"/>
  <c r="AI233" i="2" s="1"/>
  <c r="L59" i="54"/>
  <c r="L279" i="2"/>
  <c r="K280" i="2"/>
  <c r="K29" i="54"/>
  <c r="I9" i="44"/>
  <c r="L55" i="99"/>
  <c r="L237" i="2"/>
  <c r="L220" i="99"/>
  <c r="I9" i="19"/>
  <c r="K13" i="54"/>
  <c r="K248" i="2"/>
  <c r="L218" i="99"/>
  <c r="L46" i="99"/>
  <c r="L228" i="2"/>
  <c r="J13" i="18"/>
  <c r="F11" i="18" s="1"/>
  <c r="V245" i="2"/>
  <c r="W245" i="2" s="1"/>
  <c r="F10" i="18"/>
  <c r="J13" i="19"/>
  <c r="V248" i="2"/>
  <c r="W248" i="2" s="1"/>
  <c r="F10" i="19"/>
  <c r="V280" i="2"/>
  <c r="W280" i="2" s="1"/>
  <c r="J13" i="44"/>
  <c r="F11" i="44" s="1"/>
  <c r="F10" i="44"/>
  <c r="V283" i="2"/>
  <c r="W283" i="2" s="1"/>
  <c r="F10" i="48"/>
  <c r="J13" i="48"/>
  <c r="W282" i="2"/>
  <c r="AH282" i="2"/>
  <c r="AI282" i="2" s="1"/>
  <c r="Y282" i="2"/>
  <c r="Z282" i="2" s="1"/>
  <c r="I9" i="46"/>
  <c r="K49" i="54"/>
  <c r="K282" i="2"/>
  <c r="F10" i="39"/>
  <c r="V274" i="2"/>
  <c r="W274" i="2" s="1"/>
  <c r="J13" i="39"/>
  <c r="F11" i="39" s="1"/>
  <c r="K34" i="54"/>
  <c r="K244" i="2"/>
  <c r="I9" i="17"/>
  <c r="L253" i="2"/>
  <c r="L23" i="54"/>
  <c r="Y280" i="2"/>
  <c r="Z280" i="2" s="1"/>
  <c r="AH280" i="2"/>
  <c r="L43" i="54"/>
  <c r="L270" i="2"/>
  <c r="L52" i="99"/>
  <c r="L237" i="99"/>
  <c r="L13" i="138"/>
  <c r="L234" i="2"/>
  <c r="L236" i="99"/>
  <c r="L12" i="138"/>
  <c r="K199" i="99"/>
  <c r="K229" i="2"/>
  <c r="I9" i="63"/>
  <c r="K47" i="99"/>
  <c r="L54" i="99"/>
  <c r="L236" i="2"/>
  <c r="F10" i="63"/>
  <c r="J13" i="63"/>
  <c r="F11" i="63" s="1"/>
  <c r="L42" i="99"/>
  <c r="L224" i="2"/>
  <c r="L43" i="99"/>
  <c r="L225" i="2"/>
  <c r="L39" i="99"/>
  <c r="L221" i="2"/>
  <c r="C11" i="65"/>
  <c r="C12" i="65"/>
  <c r="F55" i="59" l="1"/>
  <c r="G76" i="99"/>
  <c r="L233" i="2"/>
  <c r="W49" i="99"/>
  <c r="X49" i="99" s="1"/>
  <c r="L202" i="99"/>
  <c r="G78" i="99"/>
  <c r="AH231" i="2"/>
  <c r="AI231" i="2" s="1"/>
  <c r="V231" i="2"/>
  <c r="W231" i="2" s="1"/>
  <c r="L201" i="99"/>
  <c r="J65" i="99"/>
  <c r="L49" i="54"/>
  <c r="K181" i="99"/>
  <c r="L244" i="2"/>
  <c r="L230" i="2"/>
  <c r="L232" i="2"/>
  <c r="AM253" i="2"/>
  <c r="E7" i="65" s="1"/>
  <c r="J13" i="59"/>
  <c r="F11" i="59" s="1"/>
  <c r="B259" i="2"/>
  <c r="L34" i="54"/>
  <c r="L264" i="2"/>
  <c r="L25" i="54"/>
  <c r="L266" i="2"/>
  <c r="L26" i="54"/>
  <c r="L29" i="54"/>
  <c r="L280" i="2"/>
  <c r="B283" i="2" s="1"/>
  <c r="L44" i="54"/>
  <c r="L273" i="2"/>
  <c r="L218" i="2"/>
  <c r="B226" i="2" s="1"/>
  <c r="L36" i="99"/>
  <c r="L216" i="99"/>
  <c r="L11" i="54"/>
  <c r="L245" i="2"/>
  <c r="AI273" i="2"/>
  <c r="AL261" i="2"/>
  <c r="AI244" i="2"/>
  <c r="AL240" i="2"/>
  <c r="AI280" i="2"/>
  <c r="AL279" i="2"/>
  <c r="L45" i="54"/>
  <c r="L274" i="2"/>
  <c r="L15" i="54"/>
  <c r="L251" i="2"/>
  <c r="L199" i="99"/>
  <c r="L229" i="2"/>
  <c r="L47" i="99"/>
  <c r="K49" i="99"/>
  <c r="I9" i="59"/>
  <c r="K231" i="2"/>
  <c r="AL228" i="2" l="1"/>
  <c r="D5" i="65" s="1"/>
  <c r="AA46" i="99"/>
  <c r="AB46" i="99" s="1"/>
  <c r="L200" i="99"/>
  <c r="L49" i="99"/>
  <c r="L231" i="2"/>
  <c r="B238" i="2" s="1"/>
  <c r="L181" i="99"/>
  <c r="L48" i="99"/>
  <c r="B277" i="2"/>
  <c r="B251" i="2"/>
  <c r="D6" i="65"/>
  <c r="AM240" i="2"/>
  <c r="E6" i="65" s="1"/>
  <c r="D9" i="65"/>
  <c r="AM279" i="2"/>
  <c r="E9" i="65" s="1"/>
  <c r="D8" i="65"/>
  <c r="AM261" i="2"/>
  <c r="E8" i="65" s="1"/>
  <c r="AM228" i="2" l="1"/>
  <c r="E5" i="65" s="1"/>
  <c r="L65" i="99"/>
  <c r="L60" i="99"/>
  <c r="L62" i="99" s="1"/>
  <c r="L67" i="99" s="1"/>
  <c r="D11" i="65"/>
  <c r="E11" i="65" s="1"/>
  <c r="D12" i="65"/>
  <c r="E12" i="65" s="1"/>
  <c r="L68" i="99" l="1"/>
  <c r="G81" i="99" s="1"/>
  <c r="L63" i="99"/>
  <c r="G80" i="99" s="1"/>
  <c r="G72" i="99"/>
  <c r="G73" i="99" s="1"/>
  <c r="G77" i="99" l="1"/>
</calcChain>
</file>

<file path=xl/sharedStrings.xml><?xml version="1.0" encoding="utf-8"?>
<sst xmlns="http://schemas.openxmlformats.org/spreadsheetml/2006/main" count="24527" uniqueCount="1868">
  <si>
    <t>Project # :</t>
  </si>
  <si>
    <t>Project Name :</t>
  </si>
  <si>
    <t>Bid Date :</t>
  </si>
  <si>
    <t>PANYNJ Engr's Estimate:</t>
  </si>
  <si>
    <t>Est Prepared By :</t>
  </si>
  <si>
    <t>AAV</t>
  </si>
  <si>
    <t>LGA-124.229</t>
  </si>
  <si>
    <t>LaGuardia Airport - Watch Engineer's Office Relocation</t>
  </si>
  <si>
    <t>Budget History:</t>
  </si>
  <si>
    <t>= Stage 0</t>
  </si>
  <si>
    <t>= Stage 1</t>
  </si>
  <si>
    <t>= Stage 2</t>
  </si>
  <si>
    <t>= Stage 3</t>
  </si>
  <si>
    <t>Var 2 -&gt; 3 :</t>
  </si>
  <si>
    <t>Var 1 -&gt; 2 :</t>
  </si>
  <si>
    <t>Var 0 -&gt; 1 :</t>
  </si>
  <si>
    <t>Var 3 -&gt; B :</t>
  </si>
  <si>
    <t>Lump Sum Format Results</t>
  </si>
  <si>
    <t>Low Bidder :</t>
  </si>
  <si>
    <t>Variance :</t>
  </si>
  <si>
    <t xml:space="preserve"> -&gt;</t>
  </si>
  <si>
    <t>Contractor Name</t>
  </si>
  <si>
    <t>City</t>
  </si>
  <si>
    <t>State</t>
  </si>
  <si>
    <t>LS Bid</t>
  </si>
  <si>
    <t>NJ</t>
  </si>
  <si>
    <t>PRELIMINARY BID RESULTS LOG AND DATA ANALYSIS</t>
  </si>
  <si>
    <t>Rank</t>
  </si>
  <si>
    <t>Average :</t>
  </si>
  <si>
    <t>Spread :</t>
  </si>
  <si>
    <t>= Median</t>
  </si>
  <si>
    <t>= # Bids</t>
  </si>
  <si>
    <t>Port Authority of New York and New Jersey</t>
  </si>
  <si>
    <t>Engineering Department - Engineering Cost Management</t>
  </si>
  <si>
    <t>Public</t>
  </si>
  <si>
    <t>NYNJRR-644.531</t>
  </si>
  <si>
    <t>NY and NJ Rail - Transfer Bridge #10 Reconstruction and Fender Modifications at 65th St Yard, Brooklyn</t>
  </si>
  <si>
    <t>Unclassified</t>
  </si>
  <si>
    <t>Classified</t>
  </si>
  <si>
    <t>Total</t>
  </si>
  <si>
    <t>Carteret</t>
  </si>
  <si>
    <t>Var 0 -&gt; B :</t>
  </si>
  <si>
    <t>+ % on Net</t>
  </si>
  <si>
    <t>^^ Classified ^^</t>
  </si>
  <si>
    <t>^^Unclassified^^</t>
  </si>
  <si>
    <t>PN-654.545</t>
  </si>
  <si>
    <t>Port Newark Berth 19 Wharf Restoration</t>
  </si>
  <si>
    <t>Classified + Unclassified Format Results</t>
  </si>
  <si>
    <t>Classified + Unclassified + Net Cost Format Results</t>
  </si>
  <si>
    <t>^^  Net Cost  ^^</t>
  </si>
  <si>
    <t>^^  % on Net  ^^</t>
  </si>
  <si>
    <t>Overall Unit of Measure :</t>
  </si>
  <si>
    <t>sf</t>
  </si>
  <si>
    <t>SUMMARY OF BID RESULTS</t>
  </si>
  <si>
    <t>FOR THE YEAR</t>
  </si>
  <si>
    <t>Proj #</t>
  </si>
  <si>
    <t>Proj Name</t>
  </si>
  <si>
    <t>Bid Date</t>
  </si>
  <si>
    <t>Engr Est</t>
  </si>
  <si>
    <t>Low Bid</t>
  </si>
  <si>
    <t>Var</t>
  </si>
  <si>
    <t>Result</t>
  </si>
  <si>
    <t># Bids</t>
  </si>
  <si>
    <t>Notes</t>
  </si>
  <si>
    <t>Acceptable range:</t>
  </si>
  <si>
    <t>+10% above average bidder</t>
  </si>
  <si>
    <t>-10% below low bidder</t>
  </si>
  <si>
    <t>Variance to Low :</t>
  </si>
  <si>
    <t>Variance to Average :</t>
  </si>
  <si>
    <t>= lower limit</t>
  </si>
  <si>
    <t>= upper limit</t>
  </si>
  <si>
    <t>Acceptability to Standard :</t>
  </si>
  <si>
    <t>&lt;-   Stretch Goal</t>
  </si>
  <si>
    <t>abcdefghijklmnopqrstuvwxyz</t>
  </si>
  <si>
    <t>ABCDEFGHIJKLMNOPQRSTUVWXYZ</t>
  </si>
  <si>
    <t>!@#$%^&amp;*()</t>
  </si>
  <si>
    <t>t</t>
  </si>
  <si>
    <t>u</t>
  </si>
  <si>
    <t>For questions please contact Andrew A. Victors CPE, Chief Estimator, or your assigned project estimator.</t>
  </si>
  <si>
    <t>Input no data below this line. Copy/insert lines above to increase the number of bidders; do not add lines without embedded formulae and formats.</t>
  </si>
  <si>
    <t>George Washington Bridge-Facility Wide Prioirty Rehabilitation</t>
  </si>
  <si>
    <t>Iron Bridge Constructors Inc.</t>
  </si>
  <si>
    <t xml:space="preserve">New Brunswick </t>
  </si>
  <si>
    <t>Skanska Koch, Inc.</t>
  </si>
  <si>
    <t>Unicorn Construction Enterprises, Inc.</t>
  </si>
  <si>
    <t>Montvale</t>
  </si>
  <si>
    <t>GWB-566</t>
  </si>
  <si>
    <t>VRH Construction Corp.</t>
  </si>
  <si>
    <t>Englewood</t>
  </si>
  <si>
    <t>Belmont Construction Corp.</t>
  </si>
  <si>
    <t>Maywood</t>
  </si>
  <si>
    <t>J-Track, LLC</t>
  </si>
  <si>
    <t>College Point</t>
  </si>
  <si>
    <t>NY</t>
  </si>
  <si>
    <t>Lanmark Group, Inc.</t>
  </si>
  <si>
    <t>Brooklyn</t>
  </si>
  <si>
    <t>PAT-024.069</t>
  </si>
  <si>
    <t>PATH-30th Street Mezzanine Rehabilitation</t>
  </si>
  <si>
    <t>T. Moriarty &amp; Son, Inc.</t>
  </si>
  <si>
    <t>Paul J. Scariano, Inc.</t>
  </si>
  <si>
    <t>New Rochelle</t>
  </si>
  <si>
    <t>GWB-924.092</t>
  </si>
  <si>
    <t>GWB-924.159</t>
  </si>
  <si>
    <t xml:space="preserve">New York </t>
  </si>
  <si>
    <t>Megrant Corporation</t>
  </si>
  <si>
    <t>West Babylon</t>
  </si>
  <si>
    <t>EWR-154.184</t>
  </si>
  <si>
    <t>Newark Liberty International Airport-Central Heating &amp; Refirgeration Plant Substation and Pumps Upgrade</t>
  </si>
  <si>
    <t>A&amp;A industrial Piping, Inc.</t>
  </si>
  <si>
    <t>Fairfield</t>
  </si>
  <si>
    <t>The Bennett Company, Inc.</t>
  </si>
  <si>
    <t>Passaic</t>
  </si>
  <si>
    <t>S &amp; J Electrical Contractors, Inc.</t>
  </si>
  <si>
    <t>Newark</t>
  </si>
  <si>
    <t>Skanska USA Building, Inc.</t>
  </si>
  <si>
    <t>Parsippany</t>
  </si>
  <si>
    <t>Daidone Electric, Inc.</t>
  </si>
  <si>
    <t>PN-654.036</t>
  </si>
  <si>
    <t>Port Newark-Water System Rehabilitation At Central And South Sections</t>
  </si>
  <si>
    <t>Montana  Construction Corp., Inc.</t>
  </si>
  <si>
    <t>Lodi</t>
  </si>
  <si>
    <t>Tomco Construction, Inc.</t>
  </si>
  <si>
    <t>Mt. Arlington</t>
  </si>
  <si>
    <t>Underground Utilities Corp.</t>
  </si>
  <si>
    <t>Linden</t>
  </si>
  <si>
    <t>Reivax Contracting Corp</t>
  </si>
  <si>
    <t>Hutton Construction, L.L.C.</t>
  </si>
  <si>
    <t>Cedar Grove</t>
  </si>
  <si>
    <t>Tarheel Enterprises, Inc.</t>
  </si>
  <si>
    <t>Morgan</t>
  </si>
  <si>
    <t>J. Fletcher Creamer &amp; Son, Inc.</t>
  </si>
  <si>
    <t>Hackensack</t>
  </si>
  <si>
    <t>Vollers Excavating &amp; Construction, Inc.</t>
  </si>
  <si>
    <t>North Branch</t>
  </si>
  <si>
    <t>EIC Associates, Inc.</t>
  </si>
  <si>
    <t>Springfield</t>
  </si>
  <si>
    <t>D'Annunzio &amp; Sons, Inc.</t>
  </si>
  <si>
    <t>Clark</t>
  </si>
  <si>
    <t>Crisdel Group, Inc.</t>
  </si>
  <si>
    <t>Plainfield</t>
  </si>
  <si>
    <t>Petillo, Inc.</t>
  </si>
  <si>
    <t xml:space="preserve">Flanders </t>
  </si>
  <si>
    <t>Cruz Contractors LLC</t>
  </si>
  <si>
    <t>Holmdel</t>
  </si>
  <si>
    <t>Schiavone Construction Co. LLC</t>
  </si>
  <si>
    <t>Secaucus</t>
  </si>
  <si>
    <t>Nagori Contracting Corp.</t>
  </si>
  <si>
    <t>Staten Island</t>
  </si>
  <si>
    <t>Green Construction, Inc.</t>
  </si>
  <si>
    <t>South River</t>
  </si>
  <si>
    <t>Incomplete Bid</t>
  </si>
  <si>
    <t>LGA-124.226</t>
  </si>
  <si>
    <t>LaGuardia Airport-Hanger 7 South Build Out</t>
  </si>
  <si>
    <t>Megrant Corportation</t>
  </si>
  <si>
    <t>VRH Construction Corp</t>
  </si>
  <si>
    <t>Prismatic Development Corp.</t>
  </si>
  <si>
    <t>Peter Scalamandre &amp; Sons, Inc.</t>
  </si>
  <si>
    <t>Freeport</t>
  </si>
  <si>
    <t>DMR Construction Services, Inc.</t>
  </si>
  <si>
    <t>Flushing</t>
  </si>
  <si>
    <t>U.S. Tech Construction Corp.</t>
  </si>
  <si>
    <t>Astoria</t>
  </si>
  <si>
    <t>Tully Construction Company, Inc.</t>
  </si>
  <si>
    <t>LoSardo General Contractor, Inc.</t>
  </si>
  <si>
    <t>Cinalta Construction Corp.</t>
  </si>
  <si>
    <t>Bohemia</t>
  </si>
  <si>
    <t>Ashnu International, Inc.</t>
  </si>
  <si>
    <t>Woodside</t>
  </si>
  <si>
    <t>Fortunato Sons Contracting, Inc.</t>
  </si>
  <si>
    <t>National Environmental Saftey Co., Inc.</t>
  </si>
  <si>
    <t>Long Island City</t>
  </si>
  <si>
    <t>The Urban Group, Ltd.</t>
  </si>
  <si>
    <t>D'Onofrio General Contactors Corp.</t>
  </si>
  <si>
    <t>Iannelli Construction Co., Inc.</t>
  </si>
  <si>
    <t>Padilla Construction Services, Inc.</t>
  </si>
  <si>
    <t>Westburry</t>
  </si>
  <si>
    <t>EWR-924.320</t>
  </si>
  <si>
    <t>M/WBE</t>
  </si>
  <si>
    <t>Berto Construction, Inc.</t>
  </si>
  <si>
    <t>Rahway</t>
  </si>
  <si>
    <t>Deborah Bradley Construction and Management Service, Inc.</t>
  </si>
  <si>
    <t>New York</t>
  </si>
  <si>
    <t>PSP Construction, Inc.</t>
  </si>
  <si>
    <t>Jorrey Excavating, Inc.</t>
  </si>
  <si>
    <t>Middletown</t>
  </si>
  <si>
    <t>RML Construction, Inc.</t>
  </si>
  <si>
    <t>Carlstadt</t>
  </si>
  <si>
    <t>Mentor Protégé Program</t>
  </si>
  <si>
    <t>MFA-924.283</t>
  </si>
  <si>
    <t>Newark Liberty International Airport and Teterboro Airport  Asphalt Concrete Pavement Repairs Via Work Order</t>
  </si>
  <si>
    <t>PQL</t>
  </si>
  <si>
    <t>Tilcon New York, Inc.</t>
  </si>
  <si>
    <t>Wharton</t>
  </si>
  <si>
    <t>South Plainfield</t>
  </si>
  <si>
    <t>Intercounty Paving Associates, LLC</t>
  </si>
  <si>
    <t>Westbury</t>
  </si>
  <si>
    <t>HT-224.116</t>
  </si>
  <si>
    <t>Holland Tunnel-Concrete Repairs at Air Supply Ports</t>
  </si>
  <si>
    <t>Gateway Industries, Inc.</t>
  </si>
  <si>
    <t>Hicksville</t>
  </si>
  <si>
    <t>Railroad Construction Company, Inc.</t>
  </si>
  <si>
    <t>Paterson</t>
  </si>
  <si>
    <t>The Morganti Group, Inc.</t>
  </si>
  <si>
    <t>Danbury</t>
  </si>
  <si>
    <t>CT</t>
  </si>
  <si>
    <t>Gazebo Contracting, Inc.</t>
  </si>
  <si>
    <t>Citnalta Construction Corp.</t>
  </si>
  <si>
    <t>Halmar International LLC</t>
  </si>
  <si>
    <t>Nanuet</t>
  </si>
  <si>
    <t>Crisdel group, Inc.</t>
  </si>
  <si>
    <t>SCC-JPP-III Joint Venture Comprise Schiavone Construction Co. LLC</t>
  </si>
  <si>
    <t>George Washington Bridge-Improvements to Bruce Reynolds Boulevard</t>
  </si>
  <si>
    <t>Tarheel Enterprises Inc.</t>
  </si>
  <si>
    <t>Creamer-Sanzari, a joint venture. Fletcher Creamer &amp; Son, Inc. and Joseph M. Sanzarie</t>
  </si>
  <si>
    <t>Assuncao Brothers, Inc.</t>
  </si>
  <si>
    <t>Edison</t>
  </si>
  <si>
    <t>Primer Construction Corp.</t>
  </si>
  <si>
    <t>RML Construction Corp.</t>
  </si>
  <si>
    <t>Arch Builders &amp; Developers, Inc.</t>
  </si>
  <si>
    <t>GWB-244.256</t>
  </si>
  <si>
    <t>George Washington Bridge-Pavement Rehabilitation of the Lower Level eastbound Approch Roadways, Lower Level Eastbound Bridge Span and Lower Expressway East Ramp</t>
  </si>
  <si>
    <t>Restani Construction Corp</t>
  </si>
  <si>
    <t>Hackettstown</t>
  </si>
  <si>
    <t>Telcon New York, Inc.</t>
  </si>
  <si>
    <t>GWB-564</t>
  </si>
  <si>
    <t>Loc</t>
  </si>
  <si>
    <t>Both</t>
  </si>
  <si>
    <t>Will be rebid.</t>
  </si>
  <si>
    <t>George Washington Bridge-New Jersey Administration Building Hot Water/Chilled Water Piping Replacement</t>
  </si>
  <si>
    <t>BID RESULTS AND PERFORMANCE</t>
  </si>
  <si>
    <t>The Morganti Group, Inc</t>
  </si>
  <si>
    <t>CRC Associates, Inc.</t>
  </si>
  <si>
    <t>South Planfield</t>
  </si>
  <si>
    <t>WRH Construction Corp.</t>
  </si>
  <si>
    <t>Attri Enterprises, Inc.</t>
  </si>
  <si>
    <t>EWR-924.175A</t>
  </si>
  <si>
    <t>Newark Liberty International Airport-Building No. 105 Roof Replacement</t>
  </si>
  <si>
    <t>Pravco, Inc.</t>
  </si>
  <si>
    <t>NCC, Inc.</t>
  </si>
  <si>
    <t>Inventive Builders General &amp; Contractor, Inc.</t>
  </si>
  <si>
    <t>Bronx</t>
  </si>
  <si>
    <t>EWR-154.239</t>
  </si>
  <si>
    <t>Newark Liberty International Airport- Rehabilitation of Expansion Joints of Bridges N3, N9, N13, N17, N19 and N29, and Structural Elements</t>
  </si>
  <si>
    <t>Tony &amp; Son, Inc.</t>
  </si>
  <si>
    <t>Colonia</t>
  </si>
  <si>
    <t>Ritacco Construction, Inc.</t>
  </si>
  <si>
    <t>Belleville</t>
  </si>
  <si>
    <t>Halmar international LLC</t>
  </si>
  <si>
    <t>Nagi Constructions Co., Inc.</t>
  </si>
  <si>
    <t>Millburn</t>
  </si>
  <si>
    <t>Beaver Concrete Construction Co., Inc.</t>
  </si>
  <si>
    <t>Hazlet</t>
  </si>
  <si>
    <t>Mugrose Construction, Inc.</t>
  </si>
  <si>
    <t>West Caldwell</t>
  </si>
  <si>
    <t>Power Concrete Co., Inc.</t>
  </si>
  <si>
    <t>Creamer Sanzari a joint Venture with J. Fletcher Creamer and Songs, Inc. and Jospeh M. Sanzari, Inc.</t>
  </si>
  <si>
    <t>Raildroad Construction Company</t>
  </si>
  <si>
    <t>NY Asphalt, Inc.</t>
  </si>
  <si>
    <t>LGA-774.133A</t>
  </si>
  <si>
    <t>LaGuardia Airport-Emergency Storm Drainage Outfalls</t>
  </si>
  <si>
    <t>Bove Industries, Inc.</t>
  </si>
  <si>
    <t>East Setauket</t>
  </si>
  <si>
    <t>Restani Construction Corp.</t>
  </si>
  <si>
    <t>Galvin Bros, Inc. /Madhue Contracting Inc.</t>
  </si>
  <si>
    <t>Great Neck</t>
  </si>
  <si>
    <t>Lincoln Tunnel-Water Leak Repairs</t>
  </si>
  <si>
    <t>LT-924.014</t>
  </si>
  <si>
    <t>J. Fletcher Creamer &amp; Sons, Inc.</t>
  </si>
  <si>
    <t>GWB-244.240</t>
  </si>
  <si>
    <t>George Washington Bridge-Lower Level Priority Steel and Concrete Prepairs, Rehabilitation of Catwalks and Plaintenace Platform Travelers</t>
  </si>
  <si>
    <t>J.D' Annunzio &amp; Sons, Inc.</t>
  </si>
  <si>
    <t>Ahern Painting Contractors, Inc.</t>
  </si>
  <si>
    <t>Iron Bridge Constructors, Inc.</t>
  </si>
  <si>
    <t>New Brunswick</t>
  </si>
  <si>
    <t>Joseph M. Sanzari, Inc.</t>
  </si>
  <si>
    <t>Vista Engineering Corportation</t>
  </si>
  <si>
    <t>Ridgefield</t>
  </si>
  <si>
    <t>IEW Construction Group, Inc.</t>
  </si>
  <si>
    <t>Trenton</t>
  </si>
  <si>
    <t>MFP-924.623</t>
  </si>
  <si>
    <t>New York Marine Terminals-Paving and Utility Rehabilitation Via Work Order</t>
  </si>
  <si>
    <t>Tully Construction Co. Inc.</t>
  </si>
  <si>
    <t xml:space="preserve">Flushing </t>
  </si>
  <si>
    <t>DiFazio Industries, Inc.</t>
  </si>
  <si>
    <t>Trevcon Construction Co., Inc.</t>
  </si>
  <si>
    <t>Liberty Conrner</t>
  </si>
  <si>
    <t>CCA Civil, Inc.</t>
  </si>
  <si>
    <t>Jersey City</t>
  </si>
  <si>
    <t>Yonkers Contracting Company, Inc.</t>
  </si>
  <si>
    <t>Yonkers</t>
  </si>
  <si>
    <t>D'Annunzio and Songs, Inc.</t>
  </si>
  <si>
    <t>Weeks Marine, Inc.</t>
  </si>
  <si>
    <t>Cranford</t>
  </si>
  <si>
    <t>TBC Joint Venture Comprise Schiavone Construction Co. LLC</t>
  </si>
  <si>
    <t>Kiewit Infrastructure Co.</t>
  </si>
  <si>
    <t>Woodcliff Lake</t>
  </si>
  <si>
    <t>Conti Enterprises, Inc.</t>
  </si>
  <si>
    <t>JFK-914.209</t>
  </si>
  <si>
    <t>John F. Kennedy International Airport-Former Hangar 12 Site-West Area Lighting</t>
  </si>
  <si>
    <t>MBE</t>
  </si>
  <si>
    <t>D'Annunsio &amp; Sons, Inc.</t>
  </si>
  <si>
    <t>Cladwell Marine International, LLC</t>
  </si>
  <si>
    <t>Farmingdale</t>
  </si>
  <si>
    <t>Nj</t>
  </si>
  <si>
    <t>J.E. Hannon Inc. T/A Bird Construction</t>
  </si>
  <si>
    <t>Bayville</t>
  </si>
  <si>
    <t>Creamer-Sanzari, A Joint Venture J. Fletcher Creamer &amp; Son Inc. Joseph M. Sanzari, Inc.</t>
  </si>
  <si>
    <t>Trevcon Constructions Co., Inc.</t>
  </si>
  <si>
    <t>Liberty Corner</t>
  </si>
  <si>
    <t>PAT-131.000</t>
  </si>
  <si>
    <t>Path-Hackensack River Bridge Emergency Generator Fuel Tank</t>
  </si>
  <si>
    <t>Agate Construction Company, Inc.</t>
  </si>
  <si>
    <t>Clermont</t>
  </si>
  <si>
    <t>SWF-164.031A</t>
  </si>
  <si>
    <t>Stewart International-Passenger Loading Bridges Pressurization Fans</t>
  </si>
  <si>
    <t>TEB-914.203</t>
  </si>
  <si>
    <t>Teterboro Airport-Installation of Fencing to Mitigate Wildlife Hazards</t>
  </si>
  <si>
    <t>G.B. Hastie Fence Co.</t>
  </si>
  <si>
    <t>Garjeen Fence Co., Inc</t>
  </si>
  <si>
    <t>Peekskill</t>
  </si>
  <si>
    <t>Agawan</t>
  </si>
  <si>
    <t>MA</t>
  </si>
  <si>
    <t>Precision General Contractors, Inc.</t>
  </si>
  <si>
    <t>Livingston</t>
  </si>
  <si>
    <t>Mohegan Associates, Inc.</t>
  </si>
  <si>
    <t>Carmel</t>
  </si>
  <si>
    <t>Consolidated Steele &amp; Aluminum Fence</t>
  </si>
  <si>
    <t>Kenilworth</t>
  </si>
  <si>
    <t>Dobtol Construction, LLC</t>
  </si>
  <si>
    <t>National Fence Systems, Inc.</t>
  </si>
  <si>
    <t>Avenel</t>
  </si>
  <si>
    <t>Abel Fence LLC</t>
  </si>
  <si>
    <t>Wrightville</t>
  </si>
  <si>
    <t>PA</t>
  </si>
  <si>
    <t>MFP-924.630</t>
  </si>
  <si>
    <t>New Jersey Marine Terminals-Paving and Utility Rehabilitation via Work Order</t>
  </si>
  <si>
    <t>J.A. Alexander, Inc.</t>
  </si>
  <si>
    <t>Bloomfield</t>
  </si>
  <si>
    <t>Perfetto Enterprises, Co., Inc.</t>
  </si>
  <si>
    <t>Precision general Contractors, Inc.</t>
  </si>
  <si>
    <t>Cardinal Contracting Co., LLC</t>
  </si>
  <si>
    <t>South Hampton</t>
  </si>
  <si>
    <t>Path-Tunnels E&amp;F Temporary Event detection Systems (TEDS)</t>
  </si>
  <si>
    <t>Mass. Electric Construction Co.</t>
  </si>
  <si>
    <t>LGA-774.234</t>
  </si>
  <si>
    <t>Laguardia Airport-Flood Protection at the West Field Lighting Vault</t>
  </si>
  <si>
    <t>Bove Industries, Inc</t>
  </si>
  <si>
    <t>Nagori Contracting</t>
  </si>
  <si>
    <t>Tully Construction Co., Inc.</t>
  </si>
  <si>
    <t>Eastern Excavation, Inc.</t>
  </si>
  <si>
    <t>Elmsford</t>
  </si>
  <si>
    <t>Galvin Bros Inc./Maduhe Contracting, Inc. a Joint Venture</t>
  </si>
  <si>
    <t>Laguardia airport-Flood Protection at the West End Substation</t>
  </si>
  <si>
    <t>Tully Construction Company</t>
  </si>
  <si>
    <t>Morton Grove</t>
  </si>
  <si>
    <t>IL</t>
  </si>
  <si>
    <t>T. Moriarty &amp; Sons, Inc.</t>
  </si>
  <si>
    <t>Galvin Bros Inc./Maduhe Contracting, Inc. a joint venture</t>
  </si>
  <si>
    <t>JFK-1050</t>
  </si>
  <si>
    <t>John F. Kennedy International Airport-Replacement of Fire Alarm System at the Airport Traffic Control Tower</t>
  </si>
  <si>
    <t>PJS Electric, Inc</t>
  </si>
  <si>
    <t>Unity Electric, Co., Inc.</t>
  </si>
  <si>
    <t>East Rutherford</t>
  </si>
  <si>
    <t>Yonkers Electric Contracting Corpor.</t>
  </si>
  <si>
    <t>H.M. Hughes Co., Inc.</t>
  </si>
  <si>
    <t>Kanta Electric Corp.</t>
  </si>
  <si>
    <t>Community Electric Inc.</t>
  </si>
  <si>
    <t>Positive Electrical Associates, Inc.</t>
  </si>
  <si>
    <t>LGA-774.133</t>
  </si>
  <si>
    <t>LaGuardia Airport-Emergency Storm Drainage</t>
  </si>
  <si>
    <t>Lomma Construction Corp.</t>
  </si>
  <si>
    <t>Triumph Construction, Corp.</t>
  </si>
  <si>
    <t>PJ-924.624</t>
  </si>
  <si>
    <t>Port Jersey Marine Terminal-Paving and Utility Rehabilitation via Work Order</t>
  </si>
  <si>
    <t>MBE/WBE</t>
  </si>
  <si>
    <t>Sita Construction Co., Inc.</t>
  </si>
  <si>
    <t>Goshen</t>
  </si>
  <si>
    <t>MZM Construction Corp.</t>
  </si>
  <si>
    <t>Prescision General Contractor, Inc.</t>
  </si>
  <si>
    <t>PETK, Inc.</t>
  </si>
  <si>
    <t>West Hempstead</t>
  </si>
  <si>
    <t>Chestnut Ridge</t>
  </si>
  <si>
    <t>PSP Construction Inc.</t>
  </si>
  <si>
    <t>PAT-084.057</t>
  </si>
  <si>
    <t>PATH-Access Control and CCTV at Substation and Communications Rooms</t>
  </si>
  <si>
    <t>S and J Electric Contractor</t>
  </si>
  <si>
    <t>Scotch Plains</t>
  </si>
  <si>
    <t>PJS. Electric Inc.</t>
  </si>
  <si>
    <t>PN-654.004</t>
  </si>
  <si>
    <t>Port Newark-Berths 30, 32, and 34 Fender Systems Reconstruction</t>
  </si>
  <si>
    <t>Conway Marine Construction, Inc.</t>
  </si>
  <si>
    <t>Melville</t>
  </si>
  <si>
    <t>George Harms Constructions Co., Inc.</t>
  </si>
  <si>
    <t>Howell</t>
  </si>
  <si>
    <t>Agate Construction Co., Inc.</t>
  </si>
  <si>
    <t>J.H. Reid General Contractor</t>
  </si>
  <si>
    <t>Anselmi &amp; DeCicco, Inc.</t>
  </si>
  <si>
    <t>Maplewood</t>
  </si>
  <si>
    <t>Lomma Construction Corporation</t>
  </si>
  <si>
    <t>Caldwell Marine International, LLC</t>
  </si>
  <si>
    <t>JE Hannon, Inc/TA Bird Construction</t>
  </si>
  <si>
    <t>Reicon Group, LLC</t>
  </si>
  <si>
    <t>JFK-134.025</t>
  </si>
  <si>
    <t>John F. Kennedy International Airport-Unmanned AOA Gates and Perimeter Fence Enhancement-Phase II</t>
  </si>
  <si>
    <t>Ahura Construction Mgmt, Inc.</t>
  </si>
  <si>
    <t>Bayside</t>
  </si>
  <si>
    <t>Genesus One Enterprises Inc.</t>
  </si>
  <si>
    <t>Maspeth</t>
  </si>
  <si>
    <t>RML Construction Inc.</t>
  </si>
  <si>
    <t>PSP Construction , Inc.</t>
  </si>
  <si>
    <t>LGA-124.231</t>
  </si>
  <si>
    <t>Laguardia Airport-Rehabilitation of Taxiways West of Runway 4-22</t>
  </si>
  <si>
    <t>Grace Industries, LLC</t>
  </si>
  <si>
    <t>Plainview</t>
  </si>
  <si>
    <t>LGA-124.166</t>
  </si>
  <si>
    <t>Laguardia Airport-Rehabilitation of Runway 13-31 and Associated Taxiways</t>
  </si>
  <si>
    <t>George Washington Bridge-Temporary Semac Relocation</t>
  </si>
  <si>
    <t>Newark Liberty International Airport-Terminal 'C' Level 1 Drainage Improvements</t>
  </si>
  <si>
    <t>GWB-924.044</t>
  </si>
  <si>
    <t xml:space="preserve">George Washington Bridge-Electrical Bus Replacement </t>
  </si>
  <si>
    <t>PAT-643-Work Order No. 2</t>
  </si>
  <si>
    <t>LGA-774.236</t>
  </si>
  <si>
    <t>Qtr</t>
  </si>
  <si>
    <t>Year</t>
  </si>
  <si>
    <t>Format</t>
  </si>
  <si>
    <t>TP-104.006</t>
  </si>
  <si>
    <t>Backflow Prevention Devices</t>
  </si>
  <si>
    <t>Unicorn Construction</t>
  </si>
  <si>
    <t>Chestnut Ridge,</t>
  </si>
  <si>
    <t>PSP Construction</t>
  </si>
  <si>
    <t>RML Construction</t>
  </si>
  <si>
    <t>PETK Inc</t>
  </si>
  <si>
    <t>W Hempstead</t>
  </si>
  <si>
    <t>DASNY Mechanical</t>
  </si>
  <si>
    <t>AK-195</t>
  </si>
  <si>
    <t>Gunda</t>
  </si>
  <si>
    <t>Staten Island Bridges - Maint Pvmt Repairs via WO</t>
  </si>
  <si>
    <t>Restani Construction</t>
  </si>
  <si>
    <t>Joseph M Sanzari</t>
  </si>
  <si>
    <t>NY Asphalt</t>
  </si>
  <si>
    <t>Crisdel Group</t>
  </si>
  <si>
    <t>EP-684.509</t>
  </si>
  <si>
    <t>Wen Chang</t>
  </si>
  <si>
    <t>Bldg 1400 Upgrade of Fire Supression System</t>
  </si>
  <si>
    <t>RAMS Mechanical</t>
  </si>
  <si>
    <t>Corona</t>
  </si>
  <si>
    <t>TJ Piping and Heating</t>
  </si>
  <si>
    <t>Nathan Demaisip</t>
  </si>
  <si>
    <t>WTC-222.004</t>
  </si>
  <si>
    <t>WTC - Tower One Public Safety Radio Room</t>
  </si>
  <si>
    <t>Bel-Air Electric</t>
  </si>
  <si>
    <t>Hewlett</t>
  </si>
  <si>
    <t>Paul J. Scarano</t>
  </si>
  <si>
    <t>Turner Construction</t>
  </si>
  <si>
    <t>LD</t>
  </si>
  <si>
    <t>Sec</t>
  </si>
  <si>
    <t>Award Value</t>
  </si>
  <si>
    <t>TB&amp;T</t>
  </si>
  <si>
    <t>Avi</t>
  </si>
  <si>
    <t>PATH</t>
  </si>
  <si>
    <t>ANALYSIS OF BID RESULTS - 2015</t>
  </si>
  <si>
    <r>
      <rPr>
        <b/>
        <sz val="10"/>
        <color theme="1"/>
        <rFont val="Calibri"/>
        <family val="2"/>
        <scheme val="minor"/>
      </rPr>
      <t xml:space="preserve">TB&amp;T </t>
    </r>
    <r>
      <rPr>
        <sz val="10"/>
        <color theme="1"/>
        <rFont val="Calibri"/>
        <family val="2"/>
        <scheme val="minor"/>
      </rPr>
      <t>By Line Department:</t>
    </r>
  </si>
  <si>
    <r>
      <rPr>
        <b/>
        <sz val="10"/>
        <color theme="1"/>
        <rFont val="Calibri"/>
        <family val="2"/>
        <scheme val="minor"/>
      </rPr>
      <t xml:space="preserve">AVIATION </t>
    </r>
    <r>
      <rPr>
        <sz val="10"/>
        <color theme="1"/>
        <rFont val="Calibri"/>
        <family val="2"/>
        <scheme val="minor"/>
      </rPr>
      <t>By Line Department:</t>
    </r>
  </si>
  <si>
    <r>
      <rPr>
        <b/>
        <sz val="10"/>
        <color theme="1"/>
        <rFont val="Calibri"/>
        <family val="2"/>
        <scheme val="minor"/>
      </rPr>
      <t xml:space="preserve">PATH </t>
    </r>
    <r>
      <rPr>
        <sz val="10"/>
        <color theme="1"/>
        <rFont val="Calibri"/>
        <family val="2"/>
        <scheme val="minor"/>
      </rPr>
      <t>By Line Department:</t>
    </r>
  </si>
  <si>
    <t>GOOD</t>
  </si>
  <si>
    <t>FAIL</t>
  </si>
  <si>
    <r>
      <rPr>
        <b/>
        <sz val="10"/>
        <color theme="1"/>
        <rFont val="Calibri"/>
        <family val="2"/>
        <scheme val="minor"/>
      </rPr>
      <t>MWBE and MENTOR</t>
    </r>
    <r>
      <rPr>
        <sz val="10"/>
        <color theme="1"/>
        <rFont val="Calibri"/>
        <family val="2"/>
        <scheme val="minor"/>
      </rPr>
      <t xml:space="preserve"> by Contract Type:</t>
    </r>
  </si>
  <si>
    <t>PN-654.041</t>
  </si>
  <si>
    <t>Port Newark - Davit Street Extension</t>
  </si>
  <si>
    <t>Hutton Construction</t>
  </si>
  <si>
    <t>MZM Construction</t>
  </si>
  <si>
    <t>Sita Construction</t>
  </si>
  <si>
    <t>Will be rebid due to proposal errors.</t>
  </si>
  <si>
    <r>
      <rPr>
        <b/>
        <sz val="10"/>
        <color theme="1"/>
        <rFont val="Calibri"/>
        <family val="2"/>
        <scheme val="minor"/>
      </rPr>
      <t>PQL</t>
    </r>
    <r>
      <rPr>
        <sz val="10"/>
        <color theme="1"/>
        <rFont val="Calibri"/>
        <family val="2"/>
        <scheme val="minor"/>
      </rPr>
      <t xml:space="preserve"> by Contract Type:</t>
    </r>
  </si>
  <si>
    <r>
      <rPr>
        <b/>
        <sz val="10"/>
        <color theme="1"/>
        <rFont val="Calibri"/>
        <family val="2"/>
        <scheme val="minor"/>
      </rPr>
      <t>PUBLIC</t>
    </r>
    <r>
      <rPr>
        <sz val="10"/>
        <color theme="1"/>
        <rFont val="Calibri"/>
        <family val="2"/>
        <scheme val="minor"/>
      </rPr>
      <t xml:space="preserve"> by Contract Type:</t>
    </r>
  </si>
  <si>
    <r>
      <rPr>
        <b/>
        <sz val="10"/>
        <color theme="1"/>
        <rFont val="Calibri"/>
        <family val="2"/>
        <scheme val="minor"/>
      </rPr>
      <t>NJ</t>
    </r>
    <r>
      <rPr>
        <sz val="10"/>
        <color theme="1"/>
        <rFont val="Calibri"/>
        <family val="2"/>
        <scheme val="minor"/>
      </rPr>
      <t xml:space="preserve"> by Location:</t>
    </r>
  </si>
  <si>
    <r>
      <rPr>
        <b/>
        <sz val="10"/>
        <color theme="1"/>
        <rFont val="Calibri"/>
        <family val="2"/>
        <scheme val="minor"/>
      </rPr>
      <t>NY</t>
    </r>
    <r>
      <rPr>
        <sz val="10"/>
        <color theme="1"/>
        <rFont val="Calibri"/>
        <family val="2"/>
        <scheme val="minor"/>
      </rPr>
      <t xml:space="preserve"> by Location:</t>
    </r>
  </si>
  <si>
    <r>
      <rPr>
        <b/>
        <sz val="10"/>
        <color theme="1"/>
        <rFont val="Calibri"/>
        <family val="2"/>
        <scheme val="minor"/>
      </rPr>
      <t>UNDER $2mil</t>
    </r>
    <r>
      <rPr>
        <sz val="10"/>
        <color theme="1"/>
        <rFont val="Calibri"/>
        <family val="2"/>
        <scheme val="minor"/>
      </rPr>
      <t xml:space="preserve"> in Low Bid Value:</t>
    </r>
  </si>
  <si>
    <r>
      <t>OVER</t>
    </r>
    <r>
      <rPr>
        <b/>
        <sz val="10"/>
        <color theme="1"/>
        <rFont val="Calibri"/>
        <family val="2"/>
        <scheme val="minor"/>
      </rPr>
      <t xml:space="preserve"> $5mil</t>
    </r>
    <r>
      <rPr>
        <sz val="10"/>
        <color theme="1"/>
        <rFont val="Calibri"/>
        <family val="2"/>
        <scheme val="minor"/>
      </rPr>
      <t xml:space="preserve"> in Low Bid Value:</t>
    </r>
  </si>
  <si>
    <r>
      <rPr>
        <b/>
        <sz val="10"/>
        <color theme="1"/>
        <rFont val="Calibri"/>
        <family val="2"/>
        <scheme val="minor"/>
      </rPr>
      <t xml:space="preserve">PORTS </t>
    </r>
    <r>
      <rPr>
        <sz val="10"/>
        <color theme="1"/>
        <rFont val="Calibri"/>
        <family val="2"/>
        <scheme val="minor"/>
      </rPr>
      <t>By Line Department:</t>
    </r>
  </si>
  <si>
    <t>Rebid of 5 Jan 16</t>
  </si>
  <si>
    <t>PN-654.544</t>
  </si>
  <si>
    <t>Port Newark - Install Intelligent Transport Devices and Traffic Signals</t>
  </si>
  <si>
    <t>Aldridge Electric</t>
  </si>
  <si>
    <t>Libertyville</t>
  </si>
  <si>
    <t>Union Paving &amp; Constr</t>
  </si>
  <si>
    <t>Mountainside</t>
  </si>
  <si>
    <t>Daidone Electric</t>
  </si>
  <si>
    <t>HBC Company Inc.</t>
  </si>
  <si>
    <t>Con-El Electric</t>
  </si>
  <si>
    <t>Hillside</t>
  </si>
  <si>
    <t>Morganti Group</t>
  </si>
  <si>
    <t>Ports</t>
  </si>
  <si>
    <t>LGA-103.014</t>
  </si>
  <si>
    <t>Lucita Mendoza</t>
  </si>
  <si>
    <t>LGA - Pump Houses 2 and 3 Rehabilitation</t>
  </si>
  <si>
    <t>Mass Electric</t>
  </si>
  <si>
    <t>LK Comstock</t>
  </si>
  <si>
    <t>E Farmingdale</t>
  </si>
  <si>
    <t>PJS Electric</t>
  </si>
  <si>
    <t>ACS Systems</t>
  </si>
  <si>
    <t>Mt Vernon</t>
  </si>
  <si>
    <t>T. Moriarty &amp; Son</t>
  </si>
  <si>
    <t>GWB-244.150</t>
  </si>
  <si>
    <t>Reddy Gunda and Henry Yu</t>
  </si>
  <si>
    <t>Yonkers Contracting</t>
  </si>
  <si>
    <t>Skanska Koch</t>
  </si>
  <si>
    <t>D'Annunzio</t>
  </si>
  <si>
    <t>EE Cruz</t>
  </si>
  <si>
    <t>New York City</t>
  </si>
  <si>
    <t>Union Paving</t>
  </si>
  <si>
    <t>CCA Civil</t>
  </si>
  <si>
    <t>Morristown</t>
  </si>
  <si>
    <t>Anselmi &amp; DeCiccio</t>
  </si>
  <si>
    <t>Creamer/Sanzari JV</t>
  </si>
  <si>
    <t>Judlau</t>
  </si>
  <si>
    <t>Schiavone/Halmar JV</t>
  </si>
  <si>
    <t>Kiska Constr</t>
  </si>
  <si>
    <t>GWB - Replacement of PIP Helix, et. al.</t>
  </si>
  <si>
    <t>x</t>
  </si>
  <si>
    <t>LGA-774.133B</t>
  </si>
  <si>
    <t>Beaver Concrete</t>
  </si>
  <si>
    <t>Paul J. Scariano</t>
  </si>
  <si>
    <t>Mugrose Construction</t>
  </si>
  <si>
    <t>G&amp;M Earthmoving</t>
  </si>
  <si>
    <t>Holbrook</t>
  </si>
  <si>
    <t>Delaney Assoc</t>
  </si>
  <si>
    <t>Halmar</t>
  </si>
  <si>
    <t>Tully Construction</t>
  </si>
  <si>
    <t>CAC Industries</t>
  </si>
  <si>
    <t>Primer Construction</t>
  </si>
  <si>
    <t>Triumph Construction</t>
  </si>
  <si>
    <t>The Bronx</t>
  </si>
  <si>
    <t>J-Track</t>
  </si>
  <si>
    <t>GENERAL NOTES ABOUT THE BID RESULTS</t>
  </si>
  <si>
    <t>Notes Prepared By :</t>
  </si>
  <si>
    <t>Andy Victors</t>
  </si>
  <si>
    <t>Prepared Date:</t>
  </si>
  <si>
    <t>LGA-124.240</t>
  </si>
  <si>
    <t>LGA - Rehab Taxiway B between G and CY</t>
  </si>
  <si>
    <t>Intercounty Paving</t>
  </si>
  <si>
    <t>Tully Constr</t>
  </si>
  <si>
    <t>Restani Constr</t>
  </si>
  <si>
    <t>PAT-774.154</t>
  </si>
  <si>
    <t>PATH - Hoboken Station Under-Platform Fan Replacement</t>
  </si>
  <si>
    <t>Framan Mechanical</t>
  </si>
  <si>
    <t>Fords</t>
  </si>
  <si>
    <t>VRH Constr</t>
  </si>
  <si>
    <t>Ex Air DBA DDC Air Cond</t>
  </si>
  <si>
    <t>Teterboro</t>
  </si>
  <si>
    <t>LGA - Emergency Storm Drainage Outfalls</t>
  </si>
  <si>
    <t>By</t>
  </si>
  <si>
    <t>EWR-154.197</t>
  </si>
  <si>
    <t>Newark - Infrastructure Renewal, Electrical</t>
  </si>
  <si>
    <t>Anselmi &amp; DeCicco</t>
  </si>
  <si>
    <t>Tarheel Enterprises</t>
  </si>
  <si>
    <t>Railroad Construction</t>
  </si>
  <si>
    <t>Kyle Conti</t>
  </si>
  <si>
    <t>Hillsborough</t>
  </si>
  <si>
    <t>George Harms</t>
  </si>
  <si>
    <t>Creamer Sanzari JV</t>
  </si>
  <si>
    <t>Conti Enterprises</t>
  </si>
  <si>
    <t>Walsh Constr</t>
  </si>
  <si>
    <t>Rutherford</t>
  </si>
  <si>
    <t>Carbro Constructors</t>
  </si>
  <si>
    <t>MFP-924.638</t>
  </si>
  <si>
    <t>NJ Marine Terminals - Dredging via Work Order</t>
  </si>
  <si>
    <t>cy</t>
  </si>
  <si>
    <t>Weeks Marine</t>
  </si>
  <si>
    <t>Covington</t>
  </si>
  <si>
    <t>LA</t>
  </si>
  <si>
    <t>Jay Cashman</t>
  </si>
  <si>
    <t>Quincy</t>
  </si>
  <si>
    <t>Donjon Marine</t>
  </si>
  <si>
    <t>Clean Earth Dredging</t>
  </si>
  <si>
    <t>Hatboro</t>
  </si>
  <si>
    <t>Great Lakes Dredge &amp; Dock</t>
  </si>
  <si>
    <t>Oak Brook</t>
  </si>
  <si>
    <t>1Q2016</t>
  </si>
  <si>
    <t>4Q2015</t>
  </si>
  <si>
    <t>3Q2015</t>
  </si>
  <si>
    <t>2Q2015</t>
  </si>
  <si>
    <t>1Q2015</t>
  </si>
  <si>
    <t>Quarter</t>
  </si>
  <si>
    <t>Total EE</t>
  </si>
  <si>
    <t>Total LB</t>
  </si>
  <si>
    <t>%</t>
  </si>
  <si>
    <t>Last 4 Q</t>
  </si>
  <si>
    <t>Existing Metric</t>
  </si>
  <si>
    <r>
      <t>BETW</t>
    </r>
    <r>
      <rPr>
        <b/>
        <sz val="10"/>
        <color theme="1"/>
        <rFont val="Calibri"/>
        <family val="2"/>
        <scheme val="minor"/>
      </rPr>
      <t xml:space="preserve"> $2-5mil</t>
    </r>
    <r>
      <rPr>
        <sz val="10"/>
        <color theme="1"/>
        <rFont val="Calibri"/>
        <family val="2"/>
        <scheme val="minor"/>
      </rPr>
      <t xml:space="preserve"> in Low Bid Value:</t>
    </r>
  </si>
  <si>
    <t>SWF-164.054</t>
  </si>
  <si>
    <t>Stewart Airport - Backflow Prevention and Sump Pumps</t>
  </si>
  <si>
    <t>VRH Construction</t>
  </si>
  <si>
    <t>KUNJ Construction</t>
  </si>
  <si>
    <t>Northvale</t>
  </si>
  <si>
    <t>LJ Coppola</t>
  </si>
  <si>
    <t>Thornwood</t>
  </si>
  <si>
    <t>McNamee Construction</t>
  </si>
  <si>
    <t>Lincolndale</t>
  </si>
  <si>
    <t>PAT-784.163</t>
  </si>
  <si>
    <t>PATH - Infrastructure for Standby Generators</t>
  </si>
  <si>
    <t>Beach Electric</t>
  </si>
  <si>
    <t>Ex Air Inc.</t>
  </si>
  <si>
    <t>Austral Construction</t>
  </si>
  <si>
    <t>S&amp;J Electric</t>
  </si>
  <si>
    <t>HBC Company</t>
  </si>
  <si>
    <t>Paul J Scariano</t>
  </si>
  <si>
    <t>E-J Electric</t>
  </si>
  <si>
    <t>Low bidder is exceptionaly low.</t>
  </si>
  <si>
    <t>EP-684.509A</t>
  </si>
  <si>
    <t>EACM Corp.</t>
  </si>
  <si>
    <t>Sea Bright</t>
  </si>
  <si>
    <t>NCC Inc.</t>
  </si>
  <si>
    <t>K&amp;D Contractors</t>
  </si>
  <si>
    <t>EWR-924.281</t>
  </si>
  <si>
    <t>Peripheral Ditch Tide Gate Valve Repairs</t>
  </si>
  <si>
    <t>Henry Yu</t>
  </si>
  <si>
    <t>Fred Devins Constr</t>
  </si>
  <si>
    <t>Ringwood</t>
  </si>
  <si>
    <t>Lucas Construction</t>
  </si>
  <si>
    <t>Morganville</t>
  </si>
  <si>
    <t>Waterware Corp</t>
  </si>
  <si>
    <t>Philadelphia</t>
  </si>
  <si>
    <t>Atlantic Subsea</t>
  </si>
  <si>
    <t>Bridgeport</t>
  </si>
  <si>
    <t>HT-224.117</t>
  </si>
  <si>
    <t>Trevcon Constr</t>
  </si>
  <si>
    <t>Lomma Constr</t>
  </si>
  <si>
    <t>Primer Constr</t>
  </si>
  <si>
    <t>GWB-244.246</t>
  </si>
  <si>
    <t>Reddy Gunda</t>
  </si>
  <si>
    <t>PSP Constr</t>
  </si>
  <si>
    <t>Waterside Buffer Zone Protection</t>
  </si>
  <si>
    <t>Access Ramp Crash Barrier</t>
  </si>
  <si>
    <t>Ramani Sundaram</t>
  </si>
  <si>
    <t>LT-924.014A</t>
  </si>
  <si>
    <t>Water Line Leak Repairs</t>
  </si>
  <si>
    <t>J. Fletcher Creamer</t>
  </si>
  <si>
    <t>HT-473A</t>
  </si>
  <si>
    <t>Emerg Gen Infrastructure at NY &amp; NJ Ventilation Bldgs</t>
  </si>
  <si>
    <t>EJ Electric</t>
  </si>
  <si>
    <t>S&amp;V Electric</t>
  </si>
  <si>
    <t>Raymond Electric</t>
  </si>
  <si>
    <t>S Hackensack</t>
  </si>
  <si>
    <t>Arco Constructors</t>
  </si>
  <si>
    <t>Elizabeth</t>
  </si>
  <si>
    <t>Innovative Electric of NY</t>
  </si>
  <si>
    <t>Adnet Enterprises</t>
  </si>
  <si>
    <t>NYNJRR-644.537</t>
  </si>
  <si>
    <t>Repl Barge Mooring Structures at Greenville Yard</t>
  </si>
  <si>
    <t>Trevcon Construction</t>
  </si>
  <si>
    <t>Halmar International</t>
  </si>
  <si>
    <t>Simpson &amp; Brown</t>
  </si>
  <si>
    <t>Conway Marine</t>
  </si>
  <si>
    <t>JE Hannon</t>
  </si>
  <si>
    <t>EIC Associates</t>
  </si>
  <si>
    <t>Agate Construction</t>
  </si>
  <si>
    <t>MFM Contracting</t>
  </si>
  <si>
    <t>Mamaroneck</t>
  </si>
  <si>
    <t>Doyle Contracting</t>
  </si>
  <si>
    <t>Cashman Dredging &amp; Marine</t>
  </si>
  <si>
    <t>Pearl River</t>
  </si>
  <si>
    <t>Excess schedule time allotment influenced EE</t>
  </si>
  <si>
    <t>LGA-124.086</t>
  </si>
  <si>
    <t>Rehab of Runway 22 Deck Wearing Course</t>
  </si>
  <si>
    <t>Grace Industries</t>
  </si>
  <si>
    <t>Lucita Mendoza and Nathan Demaisip</t>
  </si>
  <si>
    <t>Anticipated 9 bids</t>
  </si>
  <si>
    <t>HT-469</t>
  </si>
  <si>
    <t>Mitigate Water Leakage at Ventilation Ducts and Mid-River Pump Room</t>
  </si>
  <si>
    <t>LT-924.028</t>
  </si>
  <si>
    <t>Priority Repairs on NY Approach Retaining Walls (Dyer Ave.)</t>
  </si>
  <si>
    <t>Vista Engineering</t>
  </si>
  <si>
    <t>TA Ahern Painting</t>
  </si>
  <si>
    <t>Oliviera Contracting</t>
  </si>
  <si>
    <t>Albertson</t>
  </si>
  <si>
    <t>Unicorn Constr</t>
  </si>
  <si>
    <t>PMY Constr</t>
  </si>
  <si>
    <t>Sharan Builders</t>
  </si>
  <si>
    <t>D'Annunzio &amp; Sons</t>
  </si>
  <si>
    <t>John Civetta &amp; Sons</t>
  </si>
  <si>
    <t>Gateway Industries</t>
  </si>
  <si>
    <t>PN-654.038</t>
  </si>
  <si>
    <t>RCC Builders &amp; Developers</t>
  </si>
  <si>
    <t>DMR Constr Serv</t>
  </si>
  <si>
    <t>Waldwick</t>
  </si>
  <si>
    <t>Arco Electric</t>
  </si>
  <si>
    <t>APS Contractors</t>
  </si>
  <si>
    <t>Expressrail Port Newark Administration Building</t>
  </si>
  <si>
    <t>D-B</t>
  </si>
  <si>
    <t>Quantity error drove high EE, subsequently contract cancelled, will be done by SEMAC.</t>
  </si>
  <si>
    <t>LT-800.382</t>
  </si>
  <si>
    <t>North Tube Pump Discharge Line</t>
  </si>
  <si>
    <t>MWBE</t>
  </si>
  <si>
    <t>JFK-1064</t>
  </si>
  <si>
    <t>Bulk Fuel Farm West End &amp; Satellite Remediation Upgrades</t>
  </si>
  <si>
    <t>VPH Mechanical</t>
  </si>
  <si>
    <t>Jamaica</t>
  </si>
  <si>
    <t>The Franklin Company</t>
  </si>
  <si>
    <t>SCE Environmental</t>
  </si>
  <si>
    <t>T Moriarty &amp; Son</t>
  </si>
  <si>
    <t>Aventura Constr</t>
  </si>
  <si>
    <t>Holtsville</t>
  </si>
  <si>
    <t>RJ Industries</t>
  </si>
  <si>
    <t>Jefferson Twsp</t>
  </si>
  <si>
    <t>LT-934.027</t>
  </si>
  <si>
    <t>NJ Admin Bldg - Emergency Power Modifications</t>
  </si>
  <si>
    <t>Twin Towers Enterprises</t>
  </si>
  <si>
    <t>Earth Constr</t>
  </si>
  <si>
    <t>Queens Village</t>
  </si>
  <si>
    <t>S&amp;J Electrical</t>
  </si>
  <si>
    <t>LT-944.096</t>
  </si>
  <si>
    <t>Replacement of Aboveground Storage Tanks</t>
  </si>
  <si>
    <t>DDC Air Conditioning</t>
  </si>
  <si>
    <t>Frankin Company</t>
  </si>
  <si>
    <t>Glass Armor DBA Empire Enviro</t>
  </si>
  <si>
    <t>LT-534</t>
  </si>
  <si>
    <t>Maintenance Pavement Repairs via Work Order</t>
  </si>
  <si>
    <t>PCI Industries</t>
  </si>
  <si>
    <t>PAT-784.164</t>
  </si>
  <si>
    <t>Replace Roof - MacMillian-Bloedel Building</t>
  </si>
  <si>
    <t>APS Contracting</t>
  </si>
  <si>
    <t>Pravco</t>
  </si>
  <si>
    <t>Sea Breeze GC</t>
  </si>
  <si>
    <t>Safeway Contracting</t>
  </si>
  <si>
    <t>Neelam Constr</t>
  </si>
  <si>
    <t>Additional bid of $5,783,554 rec'd but incomplete.</t>
  </si>
  <si>
    <t>EWR-924.366</t>
  </si>
  <si>
    <t>Bridge N5 Flooding Mitigation</t>
  </si>
  <si>
    <t>Verdugos Gen Contr</t>
  </si>
  <si>
    <t>Woodhaven</t>
  </si>
  <si>
    <t>PN-654.042A</t>
  </si>
  <si>
    <t>Demo Buildings 269 and 270</t>
  </si>
  <si>
    <t>Montana Constr</t>
  </si>
  <si>
    <t>Wild Heart Industries</t>
  </si>
  <si>
    <t>Breeze National</t>
  </si>
  <si>
    <t>S&amp;R Corp</t>
  </si>
  <si>
    <t>Lowell</t>
  </si>
  <si>
    <t>Gramercy Group</t>
  </si>
  <si>
    <t>Wantagh</t>
  </si>
  <si>
    <t>Green Constr</t>
  </si>
  <si>
    <t>Hudson Valley Environmental</t>
  </si>
  <si>
    <t>Pt Pleasant Beach</t>
  </si>
  <si>
    <t>JFK-144.019</t>
  </si>
  <si>
    <t>Rehab Runway4R-22L and Associated Taxiways</t>
  </si>
  <si>
    <t>Tully/Intercounty JV</t>
  </si>
  <si>
    <t>PJ-664.527</t>
  </si>
  <si>
    <t>Bldg 108 Switchgear Replacement</t>
  </si>
  <si>
    <t>Meridian Property Services</t>
  </si>
  <si>
    <t>Hamilton</t>
  </si>
  <si>
    <t>Drill Construction</t>
  </si>
  <si>
    <t>West Orange</t>
  </si>
  <si>
    <t>Ramani Sundaram and Ed Minall</t>
  </si>
  <si>
    <t>Will be rebid due to bidder withdrawl and extremely high bids.</t>
  </si>
  <si>
    <t>JFK-124.027</t>
  </si>
  <si>
    <t>CCTV at Terminal Baggage Areas</t>
  </si>
  <si>
    <t>VVP</t>
  </si>
  <si>
    <t>Securitas Electronic Sec</t>
  </si>
  <si>
    <t>PAT-024.069A</t>
  </si>
  <si>
    <t>30th Street Mezzanine Rehab</t>
  </si>
  <si>
    <t>AKO-924.054</t>
  </si>
  <si>
    <t>OBX - Structural Rehabilitation</t>
  </si>
  <si>
    <t>Ahearn Painting</t>
  </si>
  <si>
    <t>HT-924.097</t>
  </si>
  <si>
    <t>Ventilation Bldg Evac Stack Inspection Structures</t>
  </si>
  <si>
    <t>GCCOM Constr</t>
  </si>
  <si>
    <t>Builders 2000 LLC</t>
  </si>
  <si>
    <t>HT-224.127</t>
  </si>
  <si>
    <t>Replacement of Piers 9 and 204 Phase II</t>
  </si>
  <si>
    <t>Cashman Dredge &amp; Marine</t>
  </si>
  <si>
    <t>GWB-563</t>
  </si>
  <si>
    <t>Sanitary Sewer Rehab at NJ Admin Bldg Lower Parking Lot</t>
  </si>
  <si>
    <t>Inter-County Paving</t>
  </si>
  <si>
    <t>Acme Skillman Concrete</t>
  </si>
  <si>
    <t>Perfetto Industries</t>
  </si>
  <si>
    <t>Awarded Contract</t>
  </si>
  <si>
    <t>GWB-924.159A</t>
  </si>
  <si>
    <t>NJ Admin Building Heating Hot Water &amp; Chilled Water Piping Replacement</t>
  </si>
  <si>
    <t>Ocean</t>
  </si>
  <si>
    <t>A&amp;A Industrial Piping</t>
  </si>
  <si>
    <t>Nothvale</t>
  </si>
  <si>
    <t>Infinity Contracting</t>
  </si>
  <si>
    <t>Note one bid received.</t>
  </si>
  <si>
    <t>SWF-017</t>
  </si>
  <si>
    <t>Joe Lucin</t>
  </si>
  <si>
    <t>Asphalt and Concrete Repairs via Work Order</t>
  </si>
  <si>
    <t>Argenio Bros</t>
  </si>
  <si>
    <t>New Windsor</t>
  </si>
  <si>
    <t>Tilcon NY</t>
  </si>
  <si>
    <t>fail</t>
  </si>
  <si>
    <t>good</t>
  </si>
  <si>
    <t>over 5 mil</t>
  </si>
  <si>
    <t>Kappa Constr</t>
  </si>
  <si>
    <t>Deborah Bradley Constr</t>
  </si>
  <si>
    <t>^^  Maint  ^^</t>
  </si>
  <si>
    <t>Maintenance</t>
  </si>
  <si>
    <t>LGA-124.236</t>
  </si>
  <si>
    <t>Wetland Mitigation at Westchester Creek</t>
  </si>
  <si>
    <t>Galvin/Madhue JV</t>
  </si>
  <si>
    <t>Coastal Contracting</t>
  </si>
  <si>
    <t>Number of Bids</t>
  </si>
  <si>
    <t>Bids under $5 Million</t>
  </si>
  <si>
    <t>Bids over $5 Million</t>
  </si>
  <si>
    <t>Success Rate - Overall</t>
  </si>
  <si>
    <t>Success Rate - under $5 Million</t>
  </si>
  <si>
    <t>Success Rate - over $5 Million</t>
  </si>
  <si>
    <t>Participants per Bid</t>
  </si>
  <si>
    <t>Overall Bid vs Budget %</t>
  </si>
  <si>
    <t>Total $ of Bids (x 1 Million)</t>
  </si>
  <si>
    <t>PJ-664.503</t>
  </si>
  <si>
    <t>Greenville Yard Phase 1</t>
  </si>
  <si>
    <t>Geo. Harms Constr</t>
  </si>
  <si>
    <t>PN-654.551</t>
  </si>
  <si>
    <t>Tyler Street Pavement Rehab</t>
  </si>
  <si>
    <t>Sita Constr</t>
  </si>
  <si>
    <t>MZM Constr</t>
  </si>
  <si>
    <t>Ed Minall</t>
  </si>
  <si>
    <t>PAT-534.316</t>
  </si>
  <si>
    <t>Journal Square Transport Center - Hardening phase 2</t>
  </si>
  <si>
    <t>&lt;- manually update</t>
  </si>
  <si>
    <t>Will be rebid due to scope issues.</t>
  </si>
  <si>
    <t>EWR-924.288</t>
  </si>
  <si>
    <t>Fuel Farm Roadway Drainage Improvements</t>
  </si>
  <si>
    <t>Deborah Bradley Mgt Serv</t>
  </si>
  <si>
    <t>RML Constr</t>
  </si>
  <si>
    <t>PAT-084.039</t>
  </si>
  <si>
    <t>Event Detection Systems for Tunnels E and F</t>
  </si>
  <si>
    <t>Note bid after the Xmas holiday.</t>
  </si>
  <si>
    <t>JFK-124.016</t>
  </si>
  <si>
    <t>Rehab Taxiway Q, QG and Restricted Vehicle Service Road</t>
  </si>
  <si>
    <t>JFK-1067</t>
  </si>
  <si>
    <t>Asphalt Pavement Repairs via Work Order</t>
  </si>
  <si>
    <t>MFP-924.644</t>
  </si>
  <si>
    <t>NJ Marine Terminals Railroad Rehab via Work Order</t>
  </si>
  <si>
    <t>Railroad Constr of S Jersey</t>
  </si>
  <si>
    <t>Paulsboro</t>
  </si>
  <si>
    <t>Tracks Unlimited</t>
  </si>
  <si>
    <t>NJ BIDS</t>
  </si>
  <si>
    <t>NY BIDS</t>
  </si>
  <si>
    <t>BOTH BIDS</t>
  </si>
  <si>
    <r>
      <rPr>
        <b/>
        <sz val="10"/>
        <color theme="1"/>
        <rFont val="Calibri"/>
        <family val="2"/>
        <scheme val="minor"/>
      </rPr>
      <t>Reddy Gunda</t>
    </r>
    <r>
      <rPr>
        <sz val="10"/>
        <color theme="1"/>
        <rFont val="Calibri"/>
        <family val="2"/>
        <scheme val="minor"/>
      </rPr>
      <t xml:space="preserve"> and Henry Yu</t>
    </r>
  </si>
  <si>
    <r>
      <rPr>
        <b/>
        <sz val="10"/>
        <color theme="1"/>
        <rFont val="Calibri"/>
        <family val="2"/>
        <scheme val="minor"/>
      </rPr>
      <t>Lucita Mendoza</t>
    </r>
    <r>
      <rPr>
        <sz val="10"/>
        <color theme="1"/>
        <rFont val="Calibri"/>
        <family val="2"/>
        <scheme val="minor"/>
      </rPr>
      <t xml:space="preserve"> and Nathan Demaisip</t>
    </r>
  </si>
  <si>
    <t>Good</t>
  </si>
  <si>
    <t>Fail</t>
  </si>
  <si>
    <t>Nathan</t>
  </si>
  <si>
    <t>Henry</t>
  </si>
  <si>
    <t>Reddy</t>
  </si>
  <si>
    <t>Joe</t>
  </si>
  <si>
    <t>Wen</t>
  </si>
  <si>
    <t>Ed</t>
  </si>
  <si>
    <t>Ramani</t>
  </si>
  <si>
    <t>Lucita</t>
  </si>
  <si>
    <t>Performance %</t>
  </si>
  <si>
    <t>Regional Breakdown</t>
  </si>
  <si>
    <t>EE</t>
  </si>
  <si>
    <t>Participants</t>
  </si>
  <si>
    <t>Success</t>
  </si>
  <si>
    <t>HT-924.089</t>
  </si>
  <si>
    <t>NJ Service Building 1 and 2 Priority Repairs</t>
  </si>
  <si>
    <t>Precision Bldg</t>
  </si>
  <si>
    <t>Earth Construction</t>
  </si>
  <si>
    <t>Bound Brook</t>
  </si>
  <si>
    <t>EWR-154.392</t>
  </si>
  <si>
    <t xml:space="preserve">Terminal A Redev - Bridges N57, N58, N59 and Utilities </t>
  </si>
  <si>
    <t>Servidone/Anthony/Halmar JV</t>
  </si>
  <si>
    <t>Old Bridge</t>
  </si>
  <si>
    <t>Geo Harms Constr</t>
  </si>
  <si>
    <t>Schiavone Constr</t>
  </si>
  <si>
    <t>LGA-103.015</t>
  </si>
  <si>
    <t>Pump House 6 Substation</t>
  </si>
  <si>
    <t>Verde Electric</t>
  </si>
  <si>
    <t>Mount Vernon</t>
  </si>
  <si>
    <t>Positive Electrical</t>
  </si>
  <si>
    <t>L I City</t>
  </si>
  <si>
    <t>Hellman Electric</t>
  </si>
  <si>
    <t>PJ Scariano</t>
  </si>
  <si>
    <t>JFK-154.022</t>
  </si>
  <si>
    <t>Vehicle Gates Security Upgrade</t>
  </si>
  <si>
    <t>MFP-924.645</t>
  </si>
  <si>
    <t>NJ Paving and Utility Rehab by Work Order</t>
  </si>
  <si>
    <t>JFK-124.009</t>
  </si>
  <si>
    <t>Bldg 14 Roof Replacement, East Wing</t>
  </si>
  <si>
    <t>Proton Constr</t>
  </si>
  <si>
    <t>RSN Construction</t>
  </si>
  <si>
    <t>Roslyn Heights</t>
  </si>
  <si>
    <t>Imperium Constr</t>
  </si>
  <si>
    <t>Sea Breeze</t>
  </si>
  <si>
    <t>Armstrong Roofing</t>
  </si>
  <si>
    <t>Echostar Constr</t>
  </si>
  <si>
    <t>D'Onofrio Gen Contractors</t>
  </si>
  <si>
    <t>DA Nolt</t>
  </si>
  <si>
    <t>Berlin</t>
  </si>
  <si>
    <t>Astivida Constr</t>
  </si>
  <si>
    <t>Metropolitan Constr</t>
  </si>
  <si>
    <t>Lighthouse Builders</t>
  </si>
  <si>
    <t>Attri Enterprises</t>
  </si>
  <si>
    <t>Greenwood Industries</t>
  </si>
  <si>
    <t>Worchester</t>
  </si>
  <si>
    <t>GWB-924.170</t>
  </si>
  <si>
    <t>S Plainfield</t>
  </si>
  <si>
    <t>Low bidder is onsite at GWB-563.</t>
  </si>
  <si>
    <t>EWR-924.375</t>
  </si>
  <si>
    <t>Peripheral Ditch Containment Boom Anchor Walls</t>
  </si>
  <si>
    <t>JE Hannon TA Bird Constr</t>
  </si>
  <si>
    <t>Lucas Constr</t>
  </si>
  <si>
    <t>Tinton Falls</t>
  </si>
  <si>
    <t>North-East Constr &amp; Mgt</t>
  </si>
  <si>
    <t>Agate Constr</t>
  </si>
  <si>
    <t>Creamer-Sanzari JV</t>
  </si>
  <si>
    <t>YP Constr</t>
  </si>
  <si>
    <t>Low bidder is exceptionally low and has unbalanced CL/UCL.</t>
  </si>
  <si>
    <t>Will be rebid; one bid received.</t>
  </si>
  <si>
    <t>GWB-244.048</t>
  </si>
  <si>
    <t>American Bridge</t>
  </si>
  <si>
    <t>LGA-124.250</t>
  </si>
  <si>
    <t>Inter-County</t>
  </si>
  <si>
    <t>TEB-144.045</t>
  </si>
  <si>
    <t>Storm Drainage System Rehab Phase 1</t>
  </si>
  <si>
    <t>Hackensak</t>
  </si>
  <si>
    <t>The Shauger Group</t>
  </si>
  <si>
    <t>East Orange</t>
  </si>
  <si>
    <t>Reivax Contracting</t>
  </si>
  <si>
    <t>Petillo Inc</t>
  </si>
  <si>
    <t>Flanders</t>
  </si>
  <si>
    <t>Black Rock Enterprises</t>
  </si>
  <si>
    <t>Crisdel</t>
  </si>
  <si>
    <t>Hutton Constr</t>
  </si>
  <si>
    <t>Paving Mat's &amp; Contracting</t>
  </si>
  <si>
    <t>Montville</t>
  </si>
  <si>
    <t>HC Constructors</t>
  </si>
  <si>
    <t>Whitehouse</t>
  </si>
  <si>
    <t>New Prince Concrete</t>
  </si>
  <si>
    <t>Low bidder is exceptionally low.</t>
  </si>
  <si>
    <t>Rehab Taxiways B, AA, BB, and Associated Taxiways</t>
  </si>
  <si>
    <t>^^Maintenance^^</t>
  </si>
  <si>
    <t>Replacement of Suspender Ropes and Rehab of Main Cables &amp; Strands</t>
  </si>
  <si>
    <t>Engineering Department - Engineering Cost Management - Estimating Unit</t>
  </si>
  <si>
    <t>Fort Lee</t>
  </si>
  <si>
    <t>Tutor Perini/IHI JV</t>
  </si>
  <si>
    <t>Kiewit</t>
  </si>
  <si>
    <t>Replacement of Automatic Transfer Switches</t>
  </si>
  <si>
    <t>GWB-244.263</t>
  </si>
  <si>
    <t>JG Salas &amp; Sons</t>
  </si>
  <si>
    <t>Union Beach</t>
  </si>
  <si>
    <t>NCC Inc</t>
  </si>
  <si>
    <t>Lerco Electric</t>
  </si>
  <si>
    <t>Levest Electric</t>
  </si>
  <si>
    <t>Sciavone/Halmar/Piasecki JV</t>
  </si>
  <si>
    <t>Explanation of Bid vs Budget Performance:</t>
  </si>
  <si>
    <t>by:</t>
  </si>
  <si>
    <t xml:space="preserve">The LaGuardia Airport Rehabilitation of Taxiway B, AA, BB and associated Taxiways contract, was bid with an engineer’s estimate of </t>
  </si>
  <si>
    <t xml:space="preserve">$10,393.000. The Low bidder Tully Construction was at $7,913,950.  Second bidder Intercounty Paving Associates at $9,176,000, also </t>
  </si>
  <si>
    <t xml:space="preserve">the third and last bidder Grace Industries at $9,664,000. The Engineers Estimate is 16.5% higher than the average of the three bids </t>
  </si>
  <si>
    <t xml:space="preserve">received. The delta is mostly in the electrical unclassified lump sum part of the Estimate. Tully was not willing to identify his electrical </t>
  </si>
  <si>
    <t xml:space="preserve">subcontractor at the Pre-award meeting. The Low bidder Tully is mobilized on site and working at LaGuardia Airport. This is Tully’s </t>
  </si>
  <si>
    <t>advantage. Tully has completed many projects for the Port Authority.</t>
  </si>
  <si>
    <t>MFP-072.016</t>
  </si>
  <si>
    <t>NY Marine Terminals - Paving and Utilities by Work Order</t>
  </si>
  <si>
    <t>SH5 Constr</t>
  </si>
  <si>
    <t>Gateway Demo &amp; Civil</t>
  </si>
  <si>
    <t>PETK Inc.</t>
  </si>
  <si>
    <t>LGA-774.237</t>
  </si>
  <si>
    <t>Gennadiy Zavolkovskiy</t>
  </si>
  <si>
    <t>Rehab SCADA System at Various Substations</t>
  </si>
  <si>
    <t>LGA-124.255</t>
  </si>
  <si>
    <t>Rehab of Runway 22 Deck Wearing Course Panel 1A</t>
  </si>
  <si>
    <t>BT-254.123</t>
  </si>
  <si>
    <t>PABT Supplemental Fire Alarm Systems</t>
  </si>
  <si>
    <t>The Morganti Group</t>
  </si>
  <si>
    <t>Jemco Electrical Contr</t>
  </si>
  <si>
    <t>PyroSignal &amp; Supression</t>
  </si>
  <si>
    <t>Saijun Electric</t>
  </si>
  <si>
    <t>Interphase Electric</t>
  </si>
  <si>
    <t>Lynbrook</t>
  </si>
  <si>
    <t>Hylan Datacom &amp; Electric</t>
  </si>
  <si>
    <t>AAV 29 Mar 2017</t>
  </si>
  <si>
    <t>Low bidder is exceptionally low and has requested withdrawl.</t>
  </si>
  <si>
    <t>MFP-924.634</t>
  </si>
  <si>
    <t>NY Marine Terminals - Rail Rehab via Work Order</t>
  </si>
  <si>
    <t>Railroad Constr Co</t>
  </si>
  <si>
    <t>good =</t>
  </si>
  <si>
    <t>EWR-154.234</t>
  </si>
  <si>
    <t>AOA Light Circuit Replacement</t>
  </si>
  <si>
    <t>PAT-084.001</t>
  </si>
  <si>
    <t>Halmar/LB Electric JV</t>
  </si>
  <si>
    <t>Replacement of Substation 9</t>
  </si>
  <si>
    <t>TEB-144.048</t>
  </si>
  <si>
    <t>PN-654.558</t>
  </si>
  <si>
    <t>Berths 26, 28, 32, 34 Dredging</t>
  </si>
  <si>
    <t>MFP-924.645A</t>
  </si>
  <si>
    <t>Whitehouse Sta</t>
  </si>
  <si>
    <t>GWB-924.176</t>
  </si>
  <si>
    <t>Upper Level Sidewalk Repairs via Work Order</t>
  </si>
  <si>
    <t>Creamer-Senzari JV</t>
  </si>
  <si>
    <t>AAV 24 Apr 2017</t>
  </si>
  <si>
    <t>LT-234.179</t>
  </si>
  <si>
    <t>JT Cleary</t>
  </si>
  <si>
    <t>Phoenix Marine</t>
  </si>
  <si>
    <t>Sayreville</t>
  </si>
  <si>
    <t>EP-924.643</t>
  </si>
  <si>
    <t>Priority Marine Rehab via Work Order</t>
  </si>
  <si>
    <t>MFP-924.641</t>
  </si>
  <si>
    <t>JE Hannon T/A Bird Constr</t>
  </si>
  <si>
    <t>Simpson and Brown</t>
  </si>
  <si>
    <t>Reicon Group</t>
  </si>
  <si>
    <t>D'Onofrio Gen Contr</t>
  </si>
  <si>
    <t>Tully - Cleary JV</t>
  </si>
  <si>
    <t>Tomar Constr</t>
  </si>
  <si>
    <t>NY &amp; NJ Marine Terminals - Multi-Facility Fender System Rehab via WO</t>
  </si>
  <si>
    <t>JFK-154.019</t>
  </si>
  <si>
    <t>Install Gate/Check Valves for Exist Stormwater Outfalls 2-3-4-5-6</t>
  </si>
  <si>
    <t xml:space="preserve">Tully Constr </t>
  </si>
  <si>
    <t>Bond Brothers</t>
  </si>
  <si>
    <t>Everitt</t>
  </si>
  <si>
    <t>EWR-924.233</t>
  </si>
  <si>
    <t>Priority Repair of Bridges N14, N15, N18, N19, N21, N42, N43</t>
  </si>
  <si>
    <t>Kinturk Contracting</t>
  </si>
  <si>
    <t>Railroad Constr</t>
  </si>
  <si>
    <t>PAT-024.031</t>
  </si>
  <si>
    <t>Replacement of Substation 7</t>
  </si>
  <si>
    <t>Low bidder withdrawn.</t>
  </si>
  <si>
    <t>GWB-924.159B</t>
  </si>
  <si>
    <t>NJ Admin Bldg HW/CW Piping Replacement</t>
  </si>
  <si>
    <t>EWR-154.264</t>
  </si>
  <si>
    <t>Rehab CTA Frontage Bridges N18 and N20 Longitudinal Joints</t>
  </si>
  <si>
    <t>EWR-154.271</t>
  </si>
  <si>
    <t>Central Heating and Refrigeration Plant South Substation Roof Replacement</t>
  </si>
  <si>
    <t>NCC</t>
  </si>
  <si>
    <t>LGA-774.235</t>
  </si>
  <si>
    <t>Emergency Generators at Various Locations</t>
  </si>
  <si>
    <t>Transit Constr</t>
  </si>
  <si>
    <t>Positive Electrical Assoc</t>
  </si>
  <si>
    <t>TAP Electrical</t>
  </si>
  <si>
    <t>Everett</t>
  </si>
  <si>
    <t>Haugland Energy Group</t>
  </si>
  <si>
    <t>EWR-154.227</t>
  </si>
  <si>
    <t>Terminal B CCTV at Baggage Areas</t>
  </si>
  <si>
    <t>Plugout LLC</t>
  </si>
  <si>
    <t>EWR-154.240</t>
  </si>
  <si>
    <t>Meeter-Greeter Queuing Area Modifications</t>
  </si>
  <si>
    <t>Floracon LLC</t>
  </si>
  <si>
    <t>Fresh Meadows</t>
  </si>
  <si>
    <t>PAT-024.002</t>
  </si>
  <si>
    <t>Exchange Place Underwater Netting</t>
  </si>
  <si>
    <t>Seward Marine</t>
  </si>
  <si>
    <t>Chesapeake</t>
  </si>
  <si>
    <t>VA</t>
  </si>
  <si>
    <t>LGA-124.244</t>
  </si>
  <si>
    <t xml:space="preserve">EJ Electric </t>
  </si>
  <si>
    <t>HT-224.120</t>
  </si>
  <si>
    <t>Rehabilitation of Bronze Doors at Spring Street</t>
  </si>
  <si>
    <t>Builders 2000</t>
  </si>
  <si>
    <t>JFK-154.024</t>
  </si>
  <si>
    <t>Backflow Prevention &amp; Water Meters Phase 4</t>
  </si>
  <si>
    <t>UTB United Technology</t>
  </si>
  <si>
    <t>Mineola</t>
  </si>
  <si>
    <t>Dasny Mechanical</t>
  </si>
  <si>
    <t>JFK-1070</t>
  </si>
  <si>
    <t>Landside Asphalt Repairs via Work Ouder</t>
  </si>
  <si>
    <t>Trac Constr Group</t>
  </si>
  <si>
    <t>MFP-924.662</t>
  </si>
  <si>
    <t>NJ Marine Terminals - Maintenance Dredging via Work Order</t>
  </si>
  <si>
    <t>Clean Earth Dredging Tech</t>
  </si>
  <si>
    <t>LGA-154.251</t>
  </si>
  <si>
    <t>Rehab of Runway Deck Structural Elements phase 3</t>
  </si>
  <si>
    <t>J&amp;N Constr</t>
  </si>
  <si>
    <t>Ozone Park</t>
  </si>
  <si>
    <t>Caldwell Marine</t>
  </si>
  <si>
    <t>EWR-251</t>
  </si>
  <si>
    <t>Rehab of Taxiway Z from Runway 11 Edge to UA</t>
  </si>
  <si>
    <t>MF-924.022</t>
  </si>
  <si>
    <t>LT and GWB - Rock Slope Priority Repairs</t>
  </si>
  <si>
    <t>Merco of NJ</t>
  </si>
  <si>
    <t>Lebanon</t>
  </si>
  <si>
    <t>J Fletcher Creamer &amp; Son</t>
  </si>
  <si>
    <t>BP-694.510</t>
  </si>
  <si>
    <t>Brooklyn Pier 10 Concrete Girder Repairs</t>
  </si>
  <si>
    <t>Eastco Shotcrete</t>
  </si>
  <si>
    <t>Manville</t>
  </si>
  <si>
    <t>Empire Con/Wittich Bros JV</t>
  </si>
  <si>
    <t>H&amp;L Contracting</t>
  </si>
  <si>
    <t>Bay Shore</t>
  </si>
  <si>
    <t>Beaver Concrete Constr</t>
  </si>
  <si>
    <t>Perfetto Contracting</t>
  </si>
  <si>
    <t>GWB-244.042</t>
  </si>
  <si>
    <t>Replacement of 178/179 St Ramps, Bus Ramps and Bus Turnaround</t>
  </si>
  <si>
    <t>El Sol</t>
  </si>
  <si>
    <t>Halmar/Sciavone JV</t>
  </si>
  <si>
    <t>Tully</t>
  </si>
  <si>
    <t>HT-924.106</t>
  </si>
  <si>
    <t>Replace Missing Tiles at Walls and Ceiling</t>
  </si>
  <si>
    <t>HT-924.144</t>
  </si>
  <si>
    <t>Heat Tracing and Insulation in Discharge Pipes, N&amp;S Tubes</t>
  </si>
  <si>
    <t>EWR-924.384</t>
  </si>
  <si>
    <t>Bus Canopy B1, C1 and Gas Island Improvements and Roofing</t>
  </si>
  <si>
    <t>Northeast Roof Maintenance</t>
  </si>
  <si>
    <t>Perth Amboy</t>
  </si>
  <si>
    <t>Dobtol Constr</t>
  </si>
  <si>
    <t>D'Onofrio Gen Constr</t>
  </si>
  <si>
    <t>EWR-154.254</t>
  </si>
  <si>
    <t>Rehab of Terminal Frontage Bridges - Ph1 - Bridge N18, N20 Pier Caps</t>
  </si>
  <si>
    <t>JFK-154.021</t>
  </si>
  <si>
    <t>Airside Switchgear Replacement</t>
  </si>
  <si>
    <t>Welsbach Electric</t>
  </si>
  <si>
    <t>Mnew Rochelle</t>
  </si>
  <si>
    <t>Haugland Energy Grp</t>
  </si>
  <si>
    <t>T Moriarty &amp; Sons</t>
  </si>
  <si>
    <t>PAT-534.316A</t>
  </si>
  <si>
    <t>Atlas Concrete</t>
  </si>
  <si>
    <t>JSQ Transportation Center - Hardening Phase 2</t>
  </si>
  <si>
    <t>LT-234.194</t>
  </si>
  <si>
    <t>Flood Protection for Ventilation Bldgs and Emergency Generators</t>
  </si>
  <si>
    <t>Nagan Constr</t>
  </si>
  <si>
    <t>Inwood</t>
  </si>
  <si>
    <t>JR Cruz</t>
  </si>
  <si>
    <t>Aberdeen</t>
  </si>
  <si>
    <t>EWR-154.383</t>
  </si>
  <si>
    <t>Terminal A Redev - Airside Paving and Utilities South phase 1</t>
  </si>
  <si>
    <t>PJ-654.502</t>
  </si>
  <si>
    <t>Greenville Yard phase 2</t>
  </si>
  <si>
    <t>Tomco Constr</t>
  </si>
  <si>
    <t>Mt Arlington</t>
  </si>
  <si>
    <t>Flanagan's Contracting</t>
  </si>
  <si>
    <t>Hackesack</t>
  </si>
  <si>
    <t>EWR-154.247</t>
  </si>
  <si>
    <t>Terminal B Automated Passport System Kiosks</t>
  </si>
  <si>
    <t>JG Salas and Sons</t>
  </si>
  <si>
    <t>BT-254.085</t>
  </si>
  <si>
    <t>Internal Structural Enhancements (Column Hardening)</t>
  </si>
  <si>
    <t>EWR-154.235</t>
  </si>
  <si>
    <t>Rehab CTA Entrance and Bridges N1, N2, N5, N6</t>
  </si>
  <si>
    <t>IEW Constr Group</t>
  </si>
  <si>
    <t>Northeast Remsco Constr</t>
  </si>
  <si>
    <t>Ferreira Constr</t>
  </si>
  <si>
    <t>Branchburg</t>
  </si>
  <si>
    <t>JFK-144.023</t>
  </si>
  <si>
    <t>EWR-154.263</t>
  </si>
  <si>
    <t>Terminal B Satellite B2 Sterile Corridor Glass Door Replacement</t>
  </si>
  <si>
    <t>RCC Bldrs &amp; Developers</t>
  </si>
  <si>
    <t>LT-234.193</t>
  </si>
  <si>
    <t>Latent Salt Damage Repairs</t>
  </si>
  <si>
    <t>Projects with 1, 2 or 3 Bidders</t>
  </si>
  <si>
    <t>Rejected or Re- Bids</t>
  </si>
  <si>
    <t>% of overall bids</t>
  </si>
  <si>
    <t>Total $ of Bids (x 1 Million) (Low)</t>
  </si>
  <si>
    <t>LGA-924.287</t>
  </si>
  <si>
    <t>Airside Asphalt Paving Repairs via Work Order</t>
  </si>
  <si>
    <t>PN-654.562</t>
  </si>
  <si>
    <t>Building 267 Roof Collapse Repair</t>
  </si>
  <si>
    <t>Sea Breeze Gen Constr</t>
  </si>
  <si>
    <t>TEB-144.056</t>
  </si>
  <si>
    <t>Rehabilitation of Sewage Pumps</t>
  </si>
  <si>
    <t>Infinity Contr dba DASNY Mech</t>
  </si>
  <si>
    <t>Gennadiy Zavokovsky</t>
  </si>
  <si>
    <t>Rehab of Low Voltage Power Systems</t>
  </si>
  <si>
    <t>Deborah Bradley CM</t>
  </si>
  <si>
    <t>Energize Electrical</t>
  </si>
  <si>
    <t>Denal Constr</t>
  </si>
  <si>
    <t>Raymond Electrical Contr</t>
  </si>
  <si>
    <t>GWB-244.261</t>
  </si>
  <si>
    <t>Engineering Department - Estimating Unit</t>
  </si>
  <si>
    <t>Gennadiy</t>
  </si>
  <si>
    <t>Boris</t>
  </si>
  <si>
    <t>Andy</t>
  </si>
  <si>
    <t>NA</t>
  </si>
  <si>
    <t>Personnel Performance %</t>
  </si>
  <si>
    <t xml:space="preserve">  % workload</t>
  </si>
  <si>
    <t>OVERALL BID RESULTS and COMPARISON</t>
  </si>
  <si>
    <t>Rebids as a % of all bids</t>
  </si>
  <si>
    <t>TB&amp;T BID RESULTS and COMPARISON</t>
  </si>
  <si>
    <t>PORTS BID RESULTS and COMPARISON</t>
  </si>
  <si>
    <t>PATH BID RESULTS and COMPARISON</t>
  </si>
  <si>
    <t>---</t>
  </si>
  <si>
    <t>percentage work order bids</t>
  </si>
  <si>
    <t>win</t>
  </si>
  <si>
    <t>loss</t>
  </si>
  <si>
    <t>definition - est is within the range of bids received</t>
  </si>
  <si>
    <t>AVIATION (Overall) BID RESULTS and COMPARISON</t>
  </si>
  <si>
    <t>AVIATION (EWR Only) BID RESULTS</t>
  </si>
  <si>
    <t>AVIATION (JFK Only) BID RESULTS</t>
  </si>
  <si>
    <t>AVIATION (LGA Only) BID RESULTS</t>
  </si>
  <si>
    <t>AVIATION (TEB Only) BID RESULTS</t>
  </si>
  <si>
    <t>By Contract Type:</t>
  </si>
  <si>
    <t>1 bidder</t>
  </si>
  <si>
    <t>2 bidders</t>
  </si>
  <si>
    <t>3 bidders</t>
  </si>
  <si>
    <t>4 bidders</t>
  </si>
  <si>
    <t>5 bidders</t>
  </si>
  <si>
    <t>6 bidders</t>
  </si>
  <si>
    <t>7 bidders</t>
  </si>
  <si>
    <t>8 bidders</t>
  </si>
  <si>
    <t>9 bidders</t>
  </si>
  <si>
    <t>10 or more bidders</t>
  </si>
  <si>
    <t>Rate</t>
  </si>
  <si>
    <t>Success based on Bid Count</t>
  </si>
  <si>
    <t>GWB-244.267</t>
  </si>
  <si>
    <t>TME Hydrant and Water Main Rehabilitation</t>
  </si>
  <si>
    <t>Joseph M. Sanzari</t>
  </si>
  <si>
    <t>PAT-650</t>
  </si>
  <si>
    <t>Tunnels E and F Infrastructure Repairs</t>
  </si>
  <si>
    <t>Tutor Perini</t>
  </si>
  <si>
    <t>EWR-154.224</t>
  </si>
  <si>
    <t>Terminal B Exterior Curtain Wall Upgrade</t>
  </si>
  <si>
    <t>^^Alternate 1^^</t>
  </si>
  <si>
    <t>Alternate 1</t>
  </si>
  <si>
    <t>PAT-924.802</t>
  </si>
  <si>
    <t>Fire Alarm System Upgrade</t>
  </si>
  <si>
    <t>Barbaro Electric</t>
  </si>
  <si>
    <t>HH-634.514</t>
  </si>
  <si>
    <t>Howland Hook Upgrade of Pavement Subgrade</t>
  </si>
  <si>
    <t>Eastern Excavation</t>
  </si>
  <si>
    <t>Kyle Conti Constr</t>
  </si>
  <si>
    <t>NY Concrete</t>
  </si>
  <si>
    <t>LGA-774.264</t>
  </si>
  <si>
    <t>Flood Protection at the West End Substation</t>
  </si>
  <si>
    <t>Medford</t>
  </si>
  <si>
    <t>Kinturk Contr</t>
  </si>
  <si>
    <t>Nagori Contr</t>
  </si>
  <si>
    <t>Baldwin</t>
  </si>
  <si>
    <t>GWB-244.265</t>
  </si>
  <si>
    <t>Pedestrian Safety Fencing on NJ Approach Parapets</t>
  </si>
  <si>
    <t>HASA Constr</t>
  </si>
  <si>
    <t>Glendale</t>
  </si>
  <si>
    <t>LGA-124.264</t>
  </si>
  <si>
    <t>Rehab of Runway Decks Wearing Course (Epoxy Stage 3)</t>
  </si>
  <si>
    <t>JFK-184.010</t>
  </si>
  <si>
    <t>Replace Control Tower Roofs, HVAC Equipment and Curtain Wall Repairs</t>
  </si>
  <si>
    <t>EDA Contractors</t>
  </si>
  <si>
    <t>Bensalem</t>
  </si>
  <si>
    <t>Adam's European Contracting</t>
  </si>
  <si>
    <t>D. A. Nolt</t>
  </si>
  <si>
    <t>Voided by Procurement</t>
  </si>
  <si>
    <t>% of Budget</t>
  </si>
  <si>
    <t>Range</t>
  </si>
  <si>
    <t>Q Perf</t>
  </si>
  <si>
    <t>EWR-924.231</t>
  </si>
  <si>
    <t>Priority and Safety Repairs</t>
  </si>
  <si>
    <t>IEW Construction Group</t>
  </si>
  <si>
    <t>Maarv Waterproofing</t>
  </si>
  <si>
    <t>Clifton</t>
  </si>
  <si>
    <t>Low bidder has math errors on form.</t>
  </si>
  <si>
    <t>PAT-784.172</t>
  </si>
  <si>
    <t>Hoboken Station Elevator Flood Resiliency</t>
  </si>
  <si>
    <t>Paul Otto Building</t>
  </si>
  <si>
    <t>J-Track LLC</t>
  </si>
  <si>
    <t>EWR-154.396</t>
  </si>
  <si>
    <t>Carbo Constructors</t>
  </si>
  <si>
    <t>A Servidone/ B Anthony JV</t>
  </si>
  <si>
    <t>Bridge N64 and Hotel Road Widening</t>
  </si>
  <si>
    <t>LT-924.175</t>
  </si>
  <si>
    <t>Helix Guiderail Repair and Manhole Cover Relocation</t>
  </si>
  <si>
    <t>Boris Lenderman</t>
  </si>
  <si>
    <t>AKO-284.049</t>
  </si>
  <si>
    <t>Tollhouse Building Roof</t>
  </si>
  <si>
    <t>D A Nolt</t>
  </si>
  <si>
    <t>Landmark Group</t>
  </si>
  <si>
    <t>Armstrong Roof</t>
  </si>
  <si>
    <t>Ex Air</t>
  </si>
  <si>
    <t>AKO-284.051</t>
  </si>
  <si>
    <t>Main Spain Pier and Fender Upgrades</t>
  </si>
  <si>
    <t>Richard E Pierson Constr</t>
  </si>
  <si>
    <t>Pilesgrove</t>
  </si>
  <si>
    <t>Tully-Cleary JV</t>
  </si>
  <si>
    <t>LGA-124.261</t>
  </si>
  <si>
    <t>Rehab of Pump House 1 Retaining Wall</t>
  </si>
  <si>
    <t>Defoe Constr</t>
  </si>
  <si>
    <t>Northbrook Contr</t>
  </si>
  <si>
    <t>Peter Scalamandre &amp; Sons</t>
  </si>
  <si>
    <t>TEB-144.046</t>
  </si>
  <si>
    <t>Removal of Taxiway B and Construction of Taxiway V</t>
  </si>
  <si>
    <t>Tilcon New York</t>
  </si>
  <si>
    <t>MFP-824.016</t>
  </si>
  <si>
    <t>NY Marine Terminals Priority Repairs by Work Order</t>
  </si>
  <si>
    <t>PAT-774.169</t>
  </si>
  <si>
    <t>Replace Elevators at Harrison Car Maintenance Facility</t>
  </si>
  <si>
    <t>ea</t>
  </si>
  <si>
    <t>Skanska USA Civil Northeast</t>
  </si>
  <si>
    <t>Whitestone</t>
  </si>
  <si>
    <t>SMBA Constr</t>
  </si>
  <si>
    <t>N Arlington</t>
  </si>
  <si>
    <t>Lead</t>
  </si>
  <si>
    <t>M</t>
  </si>
  <si>
    <t>S</t>
  </si>
  <si>
    <t>C</t>
  </si>
  <si>
    <t>A</t>
  </si>
  <si>
    <t>G</t>
  </si>
  <si>
    <t>E</t>
  </si>
  <si>
    <t>Avg of Bids</t>
  </si>
  <si>
    <t>Var Low-Avg</t>
  </si>
  <si>
    <t xml:space="preserve">Low versus Average </t>
  </si>
  <si>
    <t>Individual Project Range</t>
  </si>
  <si>
    <t>EWR-154.308</t>
  </si>
  <si>
    <t>Rehabilitation of Taxiway S</t>
  </si>
  <si>
    <t>1st and 2nd bid disqualified.</t>
  </si>
  <si>
    <t>LT-924.121</t>
  </si>
  <si>
    <t>Steel Repairs at 38th St Bridge and Concrete Repairs at NY Vent Bldg South</t>
  </si>
  <si>
    <t>Malcom Patrick Corp</t>
  </si>
  <si>
    <t>Bids taken:</t>
  </si>
  <si>
    <t>Budgets - Not bid yet:</t>
  </si>
  <si>
    <t>Interesting flood related projects for the Army Corps of Engineers to look at</t>
  </si>
  <si>
    <t xml:space="preserve">Hoboken flood resiliency </t>
  </si>
  <si>
    <t>PATH raising of tracks along Passaic river</t>
  </si>
  <si>
    <t>HT and LT, flood tunnel plugs</t>
  </si>
  <si>
    <t>MFP-924.650</t>
  </si>
  <si>
    <t>NY Marine Terminals - Maintenance Dredging via Work Order</t>
  </si>
  <si>
    <t>EWR-154.395</t>
  </si>
  <si>
    <t>Conti Group</t>
  </si>
  <si>
    <t>IEW Group</t>
  </si>
  <si>
    <t>MLJ Contracting</t>
  </si>
  <si>
    <t>Walsh Constr II</t>
  </si>
  <si>
    <t>Bridges N61, 62, 63, At-Grade Roadways and Appurtenances</t>
  </si>
  <si>
    <t>PAT-024.099</t>
  </si>
  <si>
    <t>Exchange Place Substation #4 Roof Replacement</t>
  </si>
  <si>
    <t>UTB-United Technology</t>
  </si>
  <si>
    <t>GWB-244.204</t>
  </si>
  <si>
    <t>Rehab Center and Lemoine Avenue Bridges</t>
  </si>
  <si>
    <t>MFP-694.514</t>
  </si>
  <si>
    <t>NY and NJ Marine Terminals - CCTV Upgrade and Expansion (Port Newark and Brooklyn)</t>
  </si>
  <si>
    <t>CRC Associates</t>
  </si>
  <si>
    <t>Sout Plainfield</t>
  </si>
  <si>
    <t>Allan Briteway</t>
  </si>
  <si>
    <t>Whippany</t>
  </si>
  <si>
    <t>Securitas Contracting</t>
  </si>
  <si>
    <t>= 2018 running total</t>
  </si>
  <si>
    <t>= qtr</t>
  </si>
  <si>
    <t>PAT-774.170</t>
  </si>
  <si>
    <t>Repl Exchange Place and Newport Escalators and Elevators</t>
  </si>
  <si>
    <t>Skanska USA Civil NE</t>
  </si>
  <si>
    <t>Queens</t>
  </si>
  <si>
    <t>\</t>
  </si>
  <si>
    <t>EWR-154.308 bafo</t>
  </si>
  <si>
    <t>HT-224.082</t>
  </si>
  <si>
    <t>Repl Bulkhead Doors in Ventilation Buildings</t>
  </si>
  <si>
    <t>JR Cruz Corp</t>
  </si>
  <si>
    <t>RCC Builders &amp; Dev</t>
  </si>
  <si>
    <t>Lanmark Group</t>
  </si>
  <si>
    <t>Navillus/Fitzgerald Elec JV</t>
  </si>
  <si>
    <t>LGA-124.260</t>
  </si>
  <si>
    <t>Rehab of Runway 4-22 and Associated Taxiways</t>
  </si>
  <si>
    <t>PN-654.562A</t>
  </si>
  <si>
    <t>Bldg 267 Roof Collapse Repair</t>
  </si>
  <si>
    <t>SBE</t>
  </si>
  <si>
    <t>withdrawn</t>
  </si>
  <si>
    <t>GWB-244.049</t>
  </si>
  <si>
    <t>Judlau Contracting</t>
  </si>
  <si>
    <t>El Sol Contracting</t>
  </si>
  <si>
    <t>Trans-Manhattan Expressway Median Barriers and Water Mains</t>
  </si>
  <si>
    <t>LT-924.183</t>
  </si>
  <si>
    <t>South Tube Pavement Fine Milling</t>
  </si>
  <si>
    <t>GWB-924.137</t>
  </si>
  <si>
    <t>NJ Administration Building - Sprinkler System Rehabiliation</t>
  </si>
  <si>
    <t>Pacific Plumbing &amp; Heating</t>
  </si>
  <si>
    <t>LT-944.096B</t>
  </si>
  <si>
    <t>Welkin Mechanical</t>
  </si>
  <si>
    <t>MFA-924.454</t>
  </si>
  <si>
    <t>EWR and TEB - Asphalt Repairs via Work Order</t>
  </si>
  <si>
    <t>Terminal Expansion - Federal Inspection Services Facility</t>
  </si>
  <si>
    <t>J. Kokolakis Contracting</t>
  </si>
  <si>
    <t>SWF-164.032</t>
  </si>
  <si>
    <t>Meeting w/ Denise - 10 Sept 2018</t>
  </si>
  <si>
    <t>Third Quarter Results - Notes</t>
  </si>
  <si>
    <t>Bidder Participation</t>
  </si>
  <si>
    <t>3Q</t>
  </si>
  <si>
    <t>2Q</t>
  </si>
  <si>
    <t>1Q</t>
  </si>
  <si>
    <t>Historic Avg 15-17</t>
  </si>
  <si>
    <t>Historic Avg 5 Yr</t>
  </si>
  <si>
    <t>Trends on 3Q Results: (to date)</t>
  </si>
  <si>
    <t>Performance</t>
  </si>
  <si>
    <t xml:space="preserve">of </t>
  </si>
  <si>
    <t>In some cases the low bidder was about half the EE.</t>
  </si>
  <si>
    <t>In all cases the low bidder insisted on performing the work.</t>
  </si>
  <si>
    <t>Per previous analysis, where 2 bids are received, performance is 40%.</t>
  </si>
  <si>
    <t>Where 6 or more bids are received, performance is 100%.</t>
  </si>
  <si>
    <t xml:space="preserve">   &lt;- major problem</t>
  </si>
  <si>
    <t>Data Anomaly: Exceptionally Low Bid Incidence in 2018</t>
  </si>
  <si>
    <t>Theory: Contractors booking work for a potential slowdown?</t>
  </si>
  <si>
    <t>Note building work has slowed, but horizontal work has not. (ENR cost index)</t>
  </si>
  <si>
    <t>MWBE and SBE Analysis</t>
  </si>
  <si>
    <t>Attached file</t>
  </si>
  <si>
    <t>Bid Log Data rev6 and Analysis.xlsx - MWBE tab</t>
  </si>
  <si>
    <t>bids so far</t>
  </si>
  <si>
    <t>YTD performance</t>
  </si>
  <si>
    <t>YTD low vs EE performance</t>
  </si>
  <si>
    <t>min 75%</t>
  </si>
  <si>
    <t xml:space="preserve"> 85-110%</t>
  </si>
  <si>
    <t>million total low bids so far</t>
  </si>
  <si>
    <t>of all bids</t>
  </si>
  <si>
    <t>bids are more than 27% below the EE =</t>
  </si>
  <si>
    <t>bids thrown out, not incl in analysis</t>
  </si>
  <si>
    <t>Reasons estimates change when they change</t>
  </si>
  <si>
    <t>Changes in scope not described prior to issuance to LD</t>
  </si>
  <si>
    <t>Change in contract type - SBE a major issue</t>
  </si>
  <si>
    <t>Low bidder participation - generally we don't have any warning</t>
  </si>
  <si>
    <t>Market forces - Projects often languish between phases and our perception changes</t>
  </si>
  <si>
    <t>Script for low-bid meetings</t>
  </si>
  <si>
    <t>No.</t>
  </si>
  <si>
    <t>Top reasons, in no particular order:</t>
  </si>
  <si>
    <t>Poor quality estimate submissions or gamed submissions</t>
  </si>
  <si>
    <t>PAT-784.162</t>
  </si>
  <si>
    <t>Hoboken Flood Resiliency</t>
  </si>
  <si>
    <t>DMR Constr Services</t>
  </si>
  <si>
    <t>PAT-024.203</t>
  </si>
  <si>
    <t>Redundant Fluid Cooler at PATH Train Control Center</t>
  </si>
  <si>
    <t>Lashay's Constr</t>
  </si>
  <si>
    <t>EWR-154.348</t>
  </si>
  <si>
    <t>Airtrain Station P4 Elev Shaft Glass Replacement</t>
  </si>
  <si>
    <t>GWB-244.204A</t>
  </si>
  <si>
    <t>Michels Corporation</t>
  </si>
  <si>
    <t>Meeting Results for 3Q 2018 - 1 October 2018</t>
  </si>
  <si>
    <t>See Below for 10 Sept notes for Denise</t>
  </si>
  <si>
    <t>PAT-784.169</t>
  </si>
  <si>
    <t>Exchange Place and Newport Head House Flood Protection</t>
  </si>
  <si>
    <t>Dobco, Inc</t>
  </si>
  <si>
    <t>Wayne</t>
  </si>
  <si>
    <t>Hall Constr</t>
  </si>
  <si>
    <t>Skanska USA Civil</t>
  </si>
  <si>
    <t>HT-924.110</t>
  </si>
  <si>
    <t>Aye Thann</t>
  </si>
  <si>
    <t>NJ Admin Bldg Second Means of Egress</t>
  </si>
  <si>
    <t>GWB-924.168</t>
  </si>
  <si>
    <t>Rock Slope Priority Repairs</t>
  </si>
  <si>
    <t>Merco</t>
  </si>
  <si>
    <t>HT-924.152</t>
  </si>
  <si>
    <t>JFK-174.017</t>
  </si>
  <si>
    <t>Dean Stracuzza</t>
  </si>
  <si>
    <t>Replacement of 86 Pad Substation</t>
  </si>
  <si>
    <t>Meco Electric</t>
  </si>
  <si>
    <t>BT-254.153</t>
  </si>
  <si>
    <t>Partial South Wing 3rd Flr Wearing Course and Waterproof Membrane</t>
  </si>
  <si>
    <t>RCC Builders</t>
  </si>
  <si>
    <t>Prima Paving</t>
  </si>
  <si>
    <t>PAT-630</t>
  </si>
  <si>
    <t>South Street Compressor Upgrade</t>
  </si>
  <si>
    <t>EWR-154.306</t>
  </si>
  <si>
    <t>Rehabilitation of Runway 11-29</t>
  </si>
  <si>
    <t>Note 1 bidder.</t>
  </si>
  <si>
    <t>PAT-784.175</t>
  </si>
  <si>
    <t>Extend C-Yard Rail Bridge over Waldo Tunnel Portal</t>
  </si>
  <si>
    <t>IEW Constr</t>
  </si>
  <si>
    <t>George Harms Constr</t>
  </si>
  <si>
    <t>PAT-774.174</t>
  </si>
  <si>
    <t>Grove Street Headhouse Permanent Flood Protection</t>
  </si>
  <si>
    <t>HT-224.125</t>
  </si>
  <si>
    <t>NY Emergency Garage Bldg - Parapet Repairs and Roof Replacement</t>
  </si>
  <si>
    <t>Gem-Quality Corp</t>
  </si>
  <si>
    <t>AK-196</t>
  </si>
  <si>
    <t>Tun Tun Lin</t>
  </si>
  <si>
    <t>SI Bridges - Maintenance Pavement Repairs via Work Order</t>
  </si>
  <si>
    <t>PAT-024.200</t>
  </si>
  <si>
    <t>Upgrade of Fire Supression System</t>
  </si>
  <si>
    <t>North Arlington</t>
  </si>
  <si>
    <t>EX Air</t>
  </si>
  <si>
    <t>LGA-924.120</t>
  </si>
  <si>
    <t>Runway Instrument Landing &amp; Approach Lighting Pier Repairs</t>
  </si>
  <si>
    <t>JFK-164.020</t>
  </si>
  <si>
    <t>Reconstruct Runway 13L-31R and Associated Taxiways</t>
  </si>
  <si>
    <t>Walsh/Grace JV</t>
  </si>
  <si>
    <t>Michels Corp</t>
  </si>
  <si>
    <t>EWR-154.299</t>
  </si>
  <si>
    <t>Repl CHIRP North Electric Substation and Chiller Upgrades</t>
  </si>
  <si>
    <t>Alna Constr</t>
  </si>
  <si>
    <t>LGA-124.268</t>
  </si>
  <si>
    <t>Gateway Demo</t>
  </si>
  <si>
    <t>Patrol Road Drainage Rehabilitation</t>
  </si>
  <si>
    <t>LGA-124.269</t>
  </si>
  <si>
    <t>Hangar 7S Drainage Rehabilitation</t>
  </si>
  <si>
    <t>Manny P. Concrete</t>
  </si>
  <si>
    <t>EWR-154.386</t>
  </si>
  <si>
    <t>Term A Redev - Airside Utilities and Paving South phase 2</t>
  </si>
  <si>
    <t>PAT-214.013</t>
  </si>
  <si>
    <t>JSQ - Public Restroom Rehabilitation</t>
  </si>
  <si>
    <t>UTB - United Technology</t>
  </si>
  <si>
    <t>Kapris Inc.</t>
  </si>
  <si>
    <t>PAT-774.176</t>
  </si>
  <si>
    <t>HCMF-Replace Track Slab and Rehab of Parking Lots &amp; Roads</t>
  </si>
  <si>
    <t>TEB-144.055</t>
  </si>
  <si>
    <t>Rehab of Taxiways G, L and P</t>
  </si>
  <si>
    <t>EWR-154.360</t>
  </si>
  <si>
    <t>Bldg 76 Underground Storage Tank Repl</t>
  </si>
  <si>
    <t>SUMMARY OF BID RESULTS for WORK ORDERS</t>
  </si>
  <si>
    <t>=</t>
  </si>
  <si>
    <t>PAT-651</t>
  </si>
  <si>
    <t>NY&amp;NJ Facilities - Building and Site Improvements</t>
  </si>
  <si>
    <t>DATA -&gt;</t>
  </si>
  <si>
    <t>RCC Bldrs &amp; Dev</t>
  </si>
  <si>
    <t>Bidder 1</t>
  </si>
  <si>
    <t>Bidder 2</t>
  </si>
  <si>
    <t>Bidder 3</t>
  </si>
  <si>
    <t>Bidder 4</t>
  </si>
  <si>
    <t>Bidder 5</t>
  </si>
  <si>
    <t>Bidder 6</t>
  </si>
  <si>
    <t>Bidder 7</t>
  </si>
  <si>
    <t>Bidder 8</t>
  </si>
  <si>
    <t>Bidder 9</t>
  </si>
  <si>
    <t>Bidder 10</t>
  </si>
  <si>
    <t>Bidder 11</t>
  </si>
  <si>
    <t>Bidder 12</t>
  </si>
  <si>
    <t>Bidder 13</t>
  </si>
  <si>
    <t>Bidder 14</t>
  </si>
  <si>
    <t>Bidder 15</t>
  </si>
  <si>
    <t>Bidder 16</t>
  </si>
  <si>
    <t>Bidder 17</t>
  </si>
  <si>
    <t>Bidder 18</t>
  </si>
  <si>
    <t>Bidder 19</t>
  </si>
  <si>
    <t>Bidder 20</t>
  </si>
  <si>
    <t>Bidder 21</t>
  </si>
  <si>
    <t>Bidder 22</t>
  </si>
  <si>
    <t>Bidder 23</t>
  </si>
  <si>
    <t>Bidder 24</t>
  </si>
  <si>
    <t>Bidder 25</t>
  </si>
  <si>
    <t>BT-924.159</t>
  </si>
  <si>
    <t>PABT Priority Improvement via Work Order</t>
  </si>
  <si>
    <t>GWB-244.736</t>
  </si>
  <si>
    <t>GWB Bus Station - Enhancements</t>
  </si>
  <si>
    <t>MFA-924.452</t>
  </si>
  <si>
    <t>EWR and TEB - Disposal of Constr Debris and Hazmat Materials</t>
  </si>
  <si>
    <t>WTC-500.010A</t>
  </si>
  <si>
    <t>WTC Immediate Repairs</t>
  </si>
  <si>
    <t>Lashay's Constr &amp; Dev</t>
  </si>
  <si>
    <t>EWR-924.453</t>
  </si>
  <si>
    <t>General Airport Signage</t>
  </si>
  <si>
    <t>WTC-500.003</t>
  </si>
  <si>
    <t>General Signage</t>
  </si>
  <si>
    <t>WTC-500.002</t>
  </si>
  <si>
    <t>General Building and Site Work</t>
  </si>
  <si>
    <t>Base Value</t>
  </si>
  <si>
    <t>EWR-154.398</t>
  </si>
  <si>
    <t>Terminal A Redev - Traffic &amp; Facility Infrastructure Upgrades</t>
  </si>
  <si>
    <t>WTC</t>
  </si>
  <si>
    <t>Allen Briteway</t>
  </si>
  <si>
    <t>Perfetto Ent</t>
  </si>
  <si>
    <t>MFB-100.538</t>
  </si>
  <si>
    <t>LT and PABT Immediate Repairs</t>
  </si>
  <si>
    <t>WTC-500.001</t>
  </si>
  <si>
    <t>Site Systems Integration</t>
  </si>
  <si>
    <t>MF-244.252</t>
  </si>
  <si>
    <t>Goethals and Outerbridge - Cashless Tolling Infrastructure</t>
  </si>
  <si>
    <t>Bove Industries</t>
  </si>
  <si>
    <t>Yonkers Constr</t>
  </si>
  <si>
    <t>Perfetto Enterprises</t>
  </si>
  <si>
    <t>SWF-018</t>
  </si>
  <si>
    <t>MFA-924.481</t>
  </si>
  <si>
    <t>EWR and TEB - General Building and Site Work</t>
  </si>
  <si>
    <t>Ashnu International</t>
  </si>
  <si>
    <t>PAT-648</t>
  </si>
  <si>
    <t>MFB-100.537</t>
  </si>
  <si>
    <t>GWB and GWBBS - Immediate Repairs</t>
  </si>
  <si>
    <t>Ahern Painting</t>
  </si>
  <si>
    <t>PAT-649</t>
  </si>
  <si>
    <t>Chemical Grouting</t>
  </si>
  <si>
    <t>Cruz Conc &amp; Gunite</t>
  </si>
  <si>
    <t>Totals =</t>
  </si>
  <si>
    <t>SBE Totals:</t>
  </si>
  <si>
    <t>JFK-174.016</t>
  </si>
  <si>
    <t>Bridges J31 &amp; J32 Rehab - Aqueduct Road</t>
  </si>
  <si>
    <t>Gateway Demo/Civil</t>
  </si>
  <si>
    <t>Iron Bridge Constructors</t>
  </si>
  <si>
    <t>North Brunswick</t>
  </si>
  <si>
    <t>GWB-244.236</t>
  </si>
  <si>
    <t>Intelligent Transportation System Repl Signs and Field Devices</t>
  </si>
  <si>
    <t>El Sol / Hyland JV</t>
  </si>
  <si>
    <t>EWR-154.306A</t>
  </si>
  <si>
    <t>Rehab of Runway 11-29</t>
  </si>
  <si>
    <t>GWB-244.260</t>
  </si>
  <si>
    <t>El Sol / GCCOM JV</t>
  </si>
  <si>
    <t>Main Span Upper Level Struct Stl Rehab (Phase 2) &amp; Appurtenances</t>
  </si>
  <si>
    <t>MFP-994.679</t>
  </si>
  <si>
    <t>NJ - Maintenance Dredging via Work Order</t>
  </si>
  <si>
    <t>LGA-124.270</t>
  </si>
  <si>
    <t>Replace West Field Lighting Vault Emergency Generator</t>
  </si>
  <si>
    <t>ARCO Electric</t>
  </si>
  <si>
    <t>RDS Industries</t>
  </si>
  <si>
    <t>LERCO Electric</t>
  </si>
  <si>
    <t>GWB-934.046</t>
  </si>
  <si>
    <t>Flag Hoist System Upgrade</t>
  </si>
  <si>
    <t>AK-196A</t>
  </si>
  <si>
    <t>GWB-984.205</t>
  </si>
  <si>
    <t>GWB - Maintenance Pavement Repairs via Work Order</t>
  </si>
  <si>
    <t>El Sol / El Sol II JV</t>
  </si>
  <si>
    <t>PN-654.566</t>
  </si>
  <si>
    <t>Rehab of Berth 25 and East End Bulkhead Extension (Grouting)</t>
  </si>
  <si>
    <t>JFK-184.043</t>
  </si>
  <si>
    <t>John Alen</t>
  </si>
  <si>
    <t>Taxiways CA and CB Paving &amp; Enhancements</t>
  </si>
  <si>
    <t>Tully / Intercounty JV</t>
  </si>
  <si>
    <t>LGA-124.256</t>
  </si>
  <si>
    <t>Rehab of Fuel Farm Substation</t>
  </si>
  <si>
    <t>LB Electric</t>
  </si>
  <si>
    <t>Aurora Electric</t>
  </si>
  <si>
    <t>DATA - - - &gt;</t>
  </si>
  <si>
    <t>MF-244.254</t>
  </si>
  <si>
    <t>Bridge Facility Priority Repairs via Work Order</t>
  </si>
  <si>
    <t>Gateway</t>
  </si>
  <si>
    <t>JFK-184.676</t>
  </si>
  <si>
    <t>Building 111 Interim Unified Operations Center</t>
  </si>
  <si>
    <t>Paul Otto Bldg</t>
  </si>
  <si>
    <t>GWB-934.137A</t>
  </si>
  <si>
    <t>NJ Admin Bldg Sprinkler System Rehabilitation</t>
  </si>
  <si>
    <t>WTC-500.002A</t>
  </si>
  <si>
    <t>General Building and Sitework via Work Order</t>
  </si>
  <si>
    <t>MFA-944.485</t>
  </si>
  <si>
    <t>General Building and Sitework via Work Order (EWR &amp; TEB)</t>
  </si>
  <si>
    <t>Epic Management</t>
  </si>
  <si>
    <t>J Fletcher Creamer</t>
  </si>
  <si>
    <t>Perfetto</t>
  </si>
  <si>
    <t>PAT-774.179</t>
  </si>
  <si>
    <t>HCMF Sewage Ejection Pit Rehabilitation</t>
  </si>
  <si>
    <t>A&amp;J Constr</t>
  </si>
  <si>
    <t>PAT-084.064</t>
  </si>
  <si>
    <t>C-Yard CCTV</t>
  </si>
  <si>
    <t>LGA-124.248</t>
  </si>
  <si>
    <t>Pugsley Creek Wetland Mitigation</t>
  </si>
  <si>
    <t>Galvin / Madhue JV</t>
  </si>
  <si>
    <t>LT-535</t>
  </si>
  <si>
    <t>Rock Slope Priority Repairs for Slope A</t>
  </si>
  <si>
    <t>PETK</t>
  </si>
  <si>
    <t>EWR-154.389</t>
  </si>
  <si>
    <t>Terminal A Redev - Airside Infrastructure Upgrades via Work Order</t>
  </si>
  <si>
    <t>Steven Schwan</t>
  </si>
  <si>
    <t>JFK-154.020</t>
  </si>
  <si>
    <t>Cut &amp; Cover Tunnel Power Distribution Vault &amp; Pump Station Repairs</t>
  </si>
  <si>
    <t>PAT-774.217</t>
  </si>
  <si>
    <t>Skanska-Daidone JV</t>
  </si>
  <si>
    <t>East Elmhurst</t>
  </si>
  <si>
    <t>Railroad Constr / Beach Elec</t>
  </si>
  <si>
    <t>East Farmingdale</t>
  </si>
  <si>
    <t>JBL (dba McPhee) Electric</t>
  </si>
  <si>
    <t>Replacement of Substation 14</t>
  </si>
  <si>
    <t>Replacement of Substation 8</t>
  </si>
  <si>
    <t>PAT-774.216</t>
  </si>
  <si>
    <t>PAT-784.165</t>
  </si>
  <si>
    <t>HCMF Permanent Flood Protection</t>
  </si>
  <si>
    <t>MFA-954.492</t>
  </si>
  <si>
    <t>EWR &amp; TEB - Asbestos and Lead Abatement via Work Order</t>
  </si>
  <si>
    <t>B&amp;N&amp;K Restoration</t>
  </si>
  <si>
    <t>Apex Development</t>
  </si>
  <si>
    <t>Pow-R-Save</t>
  </si>
  <si>
    <t>MFA-924.317</t>
  </si>
  <si>
    <t>LGA &amp; SWF - Immediate Repairs via Work Order</t>
  </si>
  <si>
    <t>MF-100.539</t>
  </si>
  <si>
    <t>HT &amp; SIB - Immediate Repairs via Work Order</t>
  </si>
  <si>
    <t>PAT-944.232</t>
  </si>
  <si>
    <t>Immediate Repairs</t>
  </si>
  <si>
    <t>MF-244.030</t>
  </si>
  <si>
    <t>HT &amp; LT - Improvements via Work Order</t>
  </si>
  <si>
    <t>LGA-124.266</t>
  </si>
  <si>
    <t>Repl Taxiway A between K to E</t>
  </si>
  <si>
    <t>Posillico Civil</t>
  </si>
  <si>
    <t>JFK-1076A</t>
  </si>
  <si>
    <t>Asbestos and Lead Abatement via Work Order</t>
  </si>
  <si>
    <t>Int'l Asbestos Rmvl</t>
  </si>
  <si>
    <t>NY Enviro Systems</t>
  </si>
  <si>
    <t>D&amp;S Restoration</t>
  </si>
  <si>
    <t>HT-224.134</t>
  </si>
  <si>
    <t>Mace Constr</t>
  </si>
  <si>
    <t>J R Cruz</t>
  </si>
  <si>
    <t>Flood Protection for Ventilation Buildings</t>
  </si>
  <si>
    <t>LT-234.181</t>
  </si>
  <si>
    <t>Admin Bldg HVAC Rehab Phase 2</t>
  </si>
  <si>
    <t>KUNJ Constr</t>
  </si>
  <si>
    <t>Mace Contracting</t>
  </si>
  <si>
    <t>LGA-124.431</t>
  </si>
  <si>
    <t>Support Airport Needs to LGA Redevelopment via Work Order</t>
  </si>
  <si>
    <t>Triumph Constr</t>
  </si>
  <si>
    <t>AAV 18 July 2019</t>
  </si>
  <si>
    <t>PN-654.072</t>
  </si>
  <si>
    <t>Corbin St. &amp; Reconstruction of Berth 3 Culvert</t>
  </si>
  <si>
    <t>Northeast Remsco</t>
  </si>
  <si>
    <t>Sayerville</t>
  </si>
  <si>
    <t>Perfetto Contr</t>
  </si>
  <si>
    <t>MFA-924.452A</t>
  </si>
  <si>
    <t>United Energy Systems</t>
  </si>
  <si>
    <t>EWR &amp; TEB - Disposal of Constr Debris, Contaminated &amp; Hazardous Materials via Work Order</t>
  </si>
  <si>
    <t>HT-944.004</t>
  </si>
  <si>
    <t>Repair of Collapsed Drain Pipe at NY Land Vent Bldg</t>
  </si>
  <si>
    <t>= 2019 running total</t>
  </si>
  <si>
    <t>AAV 9 July 2019</t>
  </si>
  <si>
    <t>MF-415.950</t>
  </si>
  <si>
    <t>TB&amp;T Asbestos and Lead Abatement via Work Order</t>
  </si>
  <si>
    <t>MFP-944.684</t>
  </si>
  <si>
    <t>NJ Ports - Bridge and Concrete Repairs via Work Order</t>
  </si>
  <si>
    <t>HT-224.121</t>
  </si>
  <si>
    <t>Roof Replacement at NJ Service Garage</t>
  </si>
  <si>
    <t>Gem Roofing &amp; Waterprfg</t>
  </si>
  <si>
    <t>Gem-Quality</t>
  </si>
  <si>
    <t>Union City</t>
  </si>
  <si>
    <t>Stealth Contracting</t>
  </si>
  <si>
    <t>PJ-664.532</t>
  </si>
  <si>
    <t>Construct Second Lead Track</t>
  </si>
  <si>
    <t>Railworks Transit</t>
  </si>
  <si>
    <t>Significant qty differences found in consultant estimate</t>
  </si>
  <si>
    <t>HT-224.130</t>
  </si>
  <si>
    <t>Latent Salt Damage Repairs and Mitigation</t>
  </si>
  <si>
    <t>Little Falls</t>
  </si>
  <si>
    <t>Navillus Tile</t>
  </si>
  <si>
    <t>LGA-954.326</t>
  </si>
  <si>
    <t>International Asb Rmv</t>
  </si>
  <si>
    <t>Total Constr</t>
  </si>
  <si>
    <t>HT-924.152A</t>
  </si>
  <si>
    <t>PAT-784.166</t>
  </si>
  <si>
    <t>Tracks G &amp; H Permanent Flood Protection</t>
  </si>
  <si>
    <t>DMR Constr</t>
  </si>
  <si>
    <t>Incorrect Bid Docs</t>
  </si>
  <si>
    <t>LGA-984.315</t>
  </si>
  <si>
    <t>Landside Paving via Classified Work Order</t>
  </si>
  <si>
    <t>GWB-244.112</t>
  </si>
  <si>
    <t>Lower Level Steel, Paint and Traveller</t>
  </si>
  <si>
    <t>Corapolis</t>
  </si>
  <si>
    <t>Schiavone</t>
  </si>
  <si>
    <t>Tully / Nuco JV</t>
  </si>
  <si>
    <t>bid error?</t>
  </si>
  <si>
    <t>EWR-154.224A</t>
  </si>
  <si>
    <t>Prismatic Development</t>
  </si>
  <si>
    <t>Terminal B Exterior Wall Glass Upgrade</t>
  </si>
  <si>
    <t>Will be rebid or issued as work order.</t>
  </si>
  <si>
    <t>Bidder Withdrew</t>
  </si>
  <si>
    <t>Low bidder has withdrawn.</t>
  </si>
  <si>
    <t>PJ-664.537</t>
  </si>
  <si>
    <t>Upgrade Electrical Infrastructure - Service Drops for 13.2kV Loop</t>
  </si>
  <si>
    <t>RMD Electric</t>
  </si>
  <si>
    <t>Elmont</t>
  </si>
  <si>
    <t>MECO Electric</t>
  </si>
  <si>
    <t>PAT-652</t>
  </si>
  <si>
    <t>GWB-244.397</t>
  </si>
  <si>
    <t>Defoe Corp</t>
  </si>
  <si>
    <t>Ecco III Enterprises</t>
  </si>
  <si>
    <t>El Sol / Hylan Data JV</t>
  </si>
  <si>
    <t>Jos. M. Sanzari</t>
  </si>
  <si>
    <t>MF-994.992</t>
  </si>
  <si>
    <t>Cashless Tolling Infrastructure via Work Order (HT&amp;LT)</t>
  </si>
  <si>
    <t>Cashless Tolling Infrastructure via Work Order (GWB)</t>
  </si>
  <si>
    <t>MF-234.217</t>
  </si>
  <si>
    <t>HT &amp; LT - Ventilation Buildings CCTV Cameras</t>
  </si>
  <si>
    <t>Yonkers Electric</t>
  </si>
  <si>
    <t>JFK-1078</t>
  </si>
  <si>
    <t>Landside Asphalt Repairs via Work Order</t>
  </si>
  <si>
    <t>HT-924.110A</t>
  </si>
  <si>
    <t>HT Admin Bldg - Second Means of Egress</t>
  </si>
  <si>
    <t>Kapris</t>
  </si>
  <si>
    <t>Floracon</t>
  </si>
  <si>
    <t>AFL Constr</t>
  </si>
  <si>
    <t>JFK-944.805</t>
  </si>
  <si>
    <t>Replace Switch House #1 Emergency Generator</t>
  </si>
  <si>
    <t>Kanta Electric</t>
  </si>
  <si>
    <t>Welsback Electric</t>
  </si>
  <si>
    <t>Jemco Electric</t>
  </si>
  <si>
    <t>bid error</t>
  </si>
  <si>
    <t>Dynamic US</t>
  </si>
  <si>
    <t>Purchase</t>
  </si>
  <si>
    <t>Infra</t>
  </si>
  <si>
    <t>Z</t>
  </si>
  <si>
    <t>2019-Q3</t>
  </si>
  <si>
    <t>Other</t>
  </si>
  <si>
    <t>Building</t>
  </si>
  <si>
    <t>Paving</t>
  </si>
  <si>
    <t>2019-Q2</t>
  </si>
  <si>
    <t>2019-Q1</t>
  </si>
  <si>
    <t>2018-Q4</t>
  </si>
  <si>
    <t>2018-Q3</t>
  </si>
  <si>
    <t>2018-Q2</t>
  </si>
  <si>
    <t>2018-Q1</t>
  </si>
  <si>
    <t>2017-Q4</t>
  </si>
  <si>
    <t>2017-Q3</t>
  </si>
  <si>
    <t>2017-Q2</t>
  </si>
  <si>
    <t>2017-Q1</t>
  </si>
  <si>
    <t>2016-Q4</t>
  </si>
  <si>
    <t>2016-Q3</t>
  </si>
  <si>
    <t>2016-Q2</t>
  </si>
  <si>
    <t>2016-Q1</t>
  </si>
  <si>
    <t>2015-Q4</t>
  </si>
  <si>
    <t>2015-Q3</t>
  </si>
  <si>
    <t>2015-Q2</t>
  </si>
  <si>
    <t>2015-Q1</t>
  </si>
  <si>
    <t>Type</t>
  </si>
  <si>
    <t>quantile_5</t>
  </si>
  <si>
    <t>quantile_4</t>
  </si>
  <si>
    <t>quantile_3</t>
  </si>
  <si>
    <t>quantile_2</t>
  </si>
  <si>
    <t>quantile_1</t>
  </si>
  <si>
    <t>bal</t>
  </si>
  <si>
    <t>quantile</t>
  </si>
  <si>
    <t>accuracy</t>
  </si>
  <si>
    <t>Format2</t>
  </si>
  <si>
    <t>cci</t>
  </si>
  <si>
    <t>permits_1</t>
  </si>
  <si>
    <t>permits</t>
  </si>
  <si>
    <t>Total.population</t>
  </si>
  <si>
    <t>Total.output</t>
  </si>
  <si>
    <t>Total.office.based.employment</t>
  </si>
  <si>
    <t>Total.employment</t>
  </si>
  <si>
    <t>Retail.sales..real</t>
  </si>
  <si>
    <t>Retail.sales..nominal</t>
  </si>
  <si>
    <t>Personal.income..nominal</t>
  </si>
  <si>
    <t>Personal.disposable.income..real</t>
  </si>
  <si>
    <t>Personal.disposable.income..nominal</t>
  </si>
  <si>
    <t>Output.in.wholesale</t>
  </si>
  <si>
    <t>Output.in.transport.services</t>
  </si>
  <si>
    <t>Output.in.real.estate</t>
  </si>
  <si>
    <t>Output.in.professional.services</t>
  </si>
  <si>
    <t>Output.in.production.industries</t>
  </si>
  <si>
    <t>Output.in.other.services</t>
  </si>
  <si>
    <t>Output.in.financial.and.business.services</t>
  </si>
  <si>
    <t>Output.in.education.and.health</t>
  </si>
  <si>
    <t>Output.in.retail</t>
  </si>
  <si>
    <t>Output.in.government</t>
  </si>
  <si>
    <t>Output.in.financial.services</t>
  </si>
  <si>
    <t>Output.in.construction</t>
  </si>
  <si>
    <t>Output.in.communications</t>
  </si>
  <si>
    <t>Employment.in.wholesale</t>
  </si>
  <si>
    <t>Employment.in.transport.services</t>
  </si>
  <si>
    <t>Employment.in.retail</t>
  </si>
  <si>
    <t>Employment.in.real.estate</t>
  </si>
  <si>
    <t>Employment.in.professional.services</t>
  </si>
  <si>
    <t>Employment.in.production.industries</t>
  </si>
  <si>
    <t>Employment.in.other.services</t>
  </si>
  <si>
    <t>Employment.in.government</t>
  </si>
  <si>
    <t>Employment.in.financial.services</t>
  </si>
  <si>
    <t>Employment.in.financial.and.business.services</t>
  </si>
  <si>
    <t>Employment.in.education.and.health</t>
  </si>
  <si>
    <t>Employment.in.construction</t>
  </si>
  <si>
    <t>Employment.in.communications</t>
  </si>
  <si>
    <t>Consumer.price.index</t>
  </si>
  <si>
    <t>Second.Bid</t>
  </si>
  <si>
    <t>Typeology</t>
  </si>
  <si>
    <t>Bids</t>
  </si>
  <si>
    <t>Low.Bid</t>
  </si>
  <si>
    <t>Engr.Est</t>
  </si>
  <si>
    <t>Date</t>
  </si>
  <si>
    <t>Proj.Name</t>
  </si>
  <si>
    <t>Proj</t>
  </si>
  <si>
    <t>Q</t>
  </si>
  <si>
    <t>Quantile</t>
  </si>
  <si>
    <t>bids$quantile_5</t>
  </si>
  <si>
    <t>bids$quantile_4</t>
  </si>
  <si>
    <t>bids$quantile_3</t>
  </si>
  <si>
    <t>bids$quantile_2</t>
  </si>
  <si>
    <t>bids$Engr.Est</t>
  </si>
  <si>
    <t>(Intercept)</t>
  </si>
  <si>
    <t>p.value</t>
  </si>
  <si>
    <t>statistic</t>
  </si>
  <si>
    <t>std.error</t>
  </si>
  <si>
    <t>estimate</t>
  </si>
  <si>
    <t>term</t>
  </si>
  <si>
    <t>Aggregate</t>
  </si>
  <si>
    <t>Second-Rule</t>
  </si>
  <si>
    <t>Second-Equation</t>
  </si>
  <si>
    <t>N=239</t>
  </si>
  <si>
    <t>Abs(Diff)</t>
  </si>
  <si>
    <t>Diff</t>
  </si>
  <si>
    <t>Adjusted_Equation</t>
  </si>
  <si>
    <t>Abs(Difference)</t>
  </si>
  <si>
    <t>Difference</t>
  </si>
  <si>
    <t>Adjusted_Rule</t>
  </si>
  <si>
    <t>Adjust_Non-Public</t>
  </si>
  <si>
    <t>Adjust_Large_Project</t>
  </si>
  <si>
    <t>PREDICTION</t>
  </si>
  <si>
    <t>PLANNING::ECONOMICS</t>
  </si>
  <si>
    <t>Estimate using inputs and equation</t>
  </si>
  <si>
    <t>bids$Format2Other</t>
  </si>
  <si>
    <t>Absolute Error*</t>
  </si>
  <si>
    <t>Average**</t>
  </si>
  <si>
    <t>* Using absolute value of difference between second bid and estimate.</t>
  </si>
  <si>
    <t>As %</t>
  </si>
  <si>
    <t>** 'Mean absolute error' is a commonly used statistical accuracy metric.</t>
  </si>
  <si>
    <t>Second-Estimate</t>
  </si>
  <si>
    <t>CV</t>
  </si>
  <si>
    <t>Second-CV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</si>
</sst>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$-409]#,##0"/>
    <numFmt numFmtId="165" formatCode="[$$-409]#,##0.00_);\([$$-409]#,##0.00\)"/>
    <numFmt numFmtId="166" formatCode="_(&quot;$&quot;* #,##0_);_(&quot;$&quot;* \(#,##0\);_(&quot;$&quot;* &quot;-&quot;??_);_(@_)"/>
    <numFmt numFmtId="167" formatCode="0.0%"/>
    <numFmt numFmtId="168" formatCode="_(* #,##0_);_(* \(#,##0\);_(* &quot;-&quot;??_);_(@_)"/>
    <numFmt numFmtId="169" formatCode="0.0"/>
    <numFmt numFmtId="170" formatCode="[$$-409]#,##0.00"/>
    <numFmt numFmtId="171" formatCode="[$$-409]#,##0.000"/>
    <numFmt numFmtId="172" formatCode="&quot;$&quot;#,##0"/>
  </numFmts>
  <fonts count="3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 Narrow"/>
      <family val="2"/>
    </font>
    <font>
      <sz val="11"/>
      <color theme="1"/>
      <name val="Wingdings 3"/>
      <family val="1"/>
      <charset val="2"/>
    </font>
    <font>
      <sz val="10"/>
      <color theme="0" tint="-0.499984740745262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sz val="10"/>
      <color theme="0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Arial"/>
      <family val="2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7"/>
      <name val="Calibri"/>
      <family val="2"/>
      <scheme val="minor"/>
    </font>
    <font>
      <sz val="10"/>
      <color theme="7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7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71">
    <xf numFmtId="0" fontId="0" fillId="0" borderId="0" xfId="0"/>
    <xf numFmtId="0" fontId="0" fillId="0" borderId="0" xfId="0" quotePrefix="1"/>
    <xf numFmtId="0" fontId="0" fillId="0" borderId="0" xfId="0" applyAlignment="1">
      <alignment horizontal="right"/>
    </xf>
    <xf numFmtId="0" fontId="5" fillId="0" borderId="0" xfId="0" applyFont="1"/>
    <xf numFmtId="164" fontId="0" fillId="0" borderId="0" xfId="0" applyNumberFormat="1"/>
    <xf numFmtId="164" fontId="4" fillId="0" borderId="0" xfId="0" applyNumberFormat="1" applyFont="1"/>
    <xf numFmtId="15" fontId="0" fillId="0" borderId="0" xfId="0" applyNumberFormat="1"/>
    <xf numFmtId="10" fontId="0" fillId="0" borderId="0" xfId="1" applyNumberFormat="1" applyFont="1"/>
    <xf numFmtId="0" fontId="6" fillId="0" borderId="0" xfId="0" applyFont="1"/>
    <xf numFmtId="0" fontId="0" fillId="0" borderId="1" xfId="0" applyBorder="1"/>
    <xf numFmtId="0" fontId="0" fillId="0" borderId="1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quotePrefix="1" applyAlignment="1">
      <alignment horizontal="right"/>
    </xf>
    <xf numFmtId="0" fontId="7" fillId="0" borderId="0" xfId="0" applyFont="1"/>
    <xf numFmtId="10" fontId="4" fillId="0" borderId="0" xfId="1" applyNumberFormat="1" applyFont="1"/>
    <xf numFmtId="0" fontId="0" fillId="0" borderId="1" xfId="0" quotePrefix="1" applyBorder="1" applyAlignment="1">
      <alignment horizontal="right"/>
    </xf>
    <xf numFmtId="0" fontId="0" fillId="0" borderId="3" xfId="0" quotePrefix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0" fontId="0" fillId="0" borderId="2" xfId="1" applyNumberFormat="1" applyFont="1" applyBorder="1" applyAlignment="1">
      <alignment horizontal="center"/>
    </xf>
    <xf numFmtId="0" fontId="0" fillId="0" borderId="0" xfId="0" applyBorder="1"/>
    <xf numFmtId="164" fontId="0" fillId="0" borderId="0" xfId="0" applyNumberFormat="1" applyBorder="1"/>
    <xf numFmtId="0" fontId="0" fillId="0" borderId="0" xfId="0" applyAlignment="1">
      <alignment horizontal="left"/>
    </xf>
    <xf numFmtId="0" fontId="8" fillId="0" borderId="0" xfId="0" applyFont="1"/>
    <xf numFmtId="15" fontId="7" fillId="0" borderId="0" xfId="0" applyNumberFormat="1" applyFont="1"/>
    <xf numFmtId="10" fontId="7" fillId="0" borderId="0" xfId="0" applyNumberFormat="1" applyFont="1"/>
    <xf numFmtId="164" fontId="7" fillId="0" borderId="0" xfId="0" applyNumberFormat="1" applyFont="1"/>
    <xf numFmtId="0" fontId="7" fillId="0" borderId="1" xfId="0" applyFont="1" applyBorder="1"/>
    <xf numFmtId="0" fontId="7" fillId="0" borderId="1" xfId="0" applyFont="1" applyBorder="1" applyAlignment="1">
      <alignment horizontal="right"/>
    </xf>
    <xf numFmtId="0" fontId="0" fillId="2" borderId="0" xfId="0" applyFill="1"/>
    <xf numFmtId="0" fontId="4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0" borderId="1" xfId="0" applyFont="1" applyBorder="1" applyAlignment="1">
      <alignment horizontal="left"/>
    </xf>
    <xf numFmtId="0" fontId="13" fillId="0" borderId="1" xfId="0" applyFont="1" applyBorder="1"/>
    <xf numFmtId="0" fontId="13" fillId="0" borderId="1" xfId="0" applyFont="1" applyBorder="1" applyAlignment="1">
      <alignment horizontal="right"/>
    </xf>
    <xf numFmtId="0" fontId="13" fillId="0" borderId="1" xfId="0" applyFont="1" applyBorder="1" applyAlignment="1">
      <alignment horizontal="center"/>
    </xf>
    <xf numFmtId="0" fontId="13" fillId="0" borderId="1" xfId="0" applyFont="1" applyBorder="1" applyAlignment="1">
      <alignment horizontal="left" indent="1"/>
    </xf>
    <xf numFmtId="0" fontId="0" fillId="0" borderId="0" xfId="0" applyAlignment="1">
      <alignment horizontal="left" indent="1"/>
    </xf>
    <xf numFmtId="164" fontId="7" fillId="0" borderId="0" xfId="0" applyNumberFormat="1" applyFont="1" applyAlignment="1">
      <alignment horizontal="left" indent="1"/>
    </xf>
    <xf numFmtId="0" fontId="13" fillId="3" borderId="1" xfId="0" applyFont="1" applyFill="1" applyBorder="1" applyAlignment="1">
      <alignment horizontal="right"/>
    </xf>
    <xf numFmtId="0" fontId="13" fillId="3" borderId="1" xfId="0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1" xfId="0" applyFont="1" applyFill="1" applyBorder="1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Fill="1"/>
    <xf numFmtId="165" fontId="0" fillId="0" borderId="0" xfId="2" applyNumberFormat="1" applyFont="1"/>
    <xf numFmtId="164" fontId="14" fillId="0" borderId="0" xfId="0" applyNumberFormat="1" applyFont="1"/>
    <xf numFmtId="166" fontId="0" fillId="0" borderId="0" xfId="2" applyNumberFormat="1" applyFont="1"/>
    <xf numFmtId="9" fontId="0" fillId="0" borderId="0" xfId="1" applyFont="1"/>
    <xf numFmtId="166" fontId="0" fillId="0" borderId="0" xfId="0" applyNumberFormat="1"/>
    <xf numFmtId="0" fontId="4" fillId="0" borderId="1" xfId="0" applyFont="1" applyBorder="1"/>
    <xf numFmtId="0" fontId="4" fillId="0" borderId="1" xfId="0" applyFont="1" applyBorder="1" applyAlignment="1">
      <alignment horizontal="right"/>
    </xf>
    <xf numFmtId="0" fontId="4" fillId="0" borderId="1" xfId="0" quotePrefix="1" applyFont="1" applyBorder="1" applyAlignment="1">
      <alignment horizontal="right"/>
    </xf>
    <xf numFmtId="0" fontId="4" fillId="0" borderId="1" xfId="0" applyFont="1" applyBorder="1" applyAlignment="1">
      <alignment horizontal="right" wrapText="1"/>
    </xf>
    <xf numFmtId="0" fontId="7" fillId="0" borderId="0" xfId="0" applyFont="1" applyFill="1"/>
    <xf numFmtId="0" fontId="8" fillId="0" borderId="0" xfId="0" applyFont="1" applyFill="1"/>
    <xf numFmtId="15" fontId="7" fillId="0" borderId="0" xfId="0" applyNumberFormat="1" applyFont="1" applyFill="1"/>
    <xf numFmtId="164" fontId="7" fillId="0" borderId="0" xfId="0" applyNumberFormat="1" applyFont="1" applyFill="1" applyAlignment="1">
      <alignment horizontal="left" indent="1"/>
    </xf>
    <xf numFmtId="167" fontId="0" fillId="0" borderId="0" xfId="1" applyNumberFormat="1" applyFont="1"/>
    <xf numFmtId="43" fontId="0" fillId="0" borderId="0" xfId="3" applyFont="1"/>
    <xf numFmtId="168" fontId="7" fillId="0" borderId="0" xfId="3" applyNumberFormat="1" applyFont="1"/>
    <xf numFmtId="168" fontId="0" fillId="0" borderId="0" xfId="3" applyNumberFormat="1" applyFont="1"/>
    <xf numFmtId="0" fontId="4" fillId="0" borderId="1" xfId="0" applyFont="1" applyBorder="1" applyAlignment="1">
      <alignment horizontal="center"/>
    </xf>
    <xf numFmtId="0" fontId="4" fillId="0" borderId="4" xfId="0" applyFont="1" applyBorder="1" applyAlignment="1">
      <alignment horizontal="right"/>
    </xf>
    <xf numFmtId="0" fontId="4" fillId="0" borderId="5" xfId="0" applyFont="1" applyBorder="1" applyAlignment="1">
      <alignment horizontal="right"/>
    </xf>
    <xf numFmtId="0" fontId="4" fillId="0" borderId="6" xfId="0" applyFont="1" applyBorder="1"/>
    <xf numFmtId="167" fontId="0" fillId="0" borderId="0" xfId="1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0" fontId="0" fillId="2" borderId="0" xfId="0" quotePrefix="1" applyFill="1" applyAlignment="1">
      <alignment horizontal="left"/>
    </xf>
    <xf numFmtId="0" fontId="7" fillId="0" borderId="0" xfId="0" quotePrefix="1" applyFont="1"/>
    <xf numFmtId="164" fontId="0" fillId="0" borderId="0" xfId="0" applyNumberFormat="1" applyAlignment="1">
      <alignment horizontal="center"/>
    </xf>
    <xf numFmtId="0" fontId="11" fillId="4" borderId="0" xfId="0" applyFont="1" applyFill="1" applyAlignment="1">
      <alignment horizontal="left"/>
    </xf>
    <xf numFmtId="0" fontId="0" fillId="4" borderId="0" xfId="0" applyFill="1"/>
    <xf numFmtId="0" fontId="4" fillId="4" borderId="0" xfId="0" applyFont="1" applyFill="1" applyAlignment="1">
      <alignment horizontal="right"/>
    </xf>
    <xf numFmtId="0" fontId="0" fillId="4" borderId="0" xfId="0" applyFill="1" applyAlignment="1">
      <alignment horizontal="center"/>
    </xf>
    <xf numFmtId="0" fontId="13" fillId="0" borderId="0" xfId="0" applyFont="1"/>
    <xf numFmtId="169" fontId="0" fillId="0" borderId="0" xfId="0" applyNumberFormat="1"/>
    <xf numFmtId="0" fontId="0" fillId="5" borderId="0" xfId="0" applyFill="1"/>
    <xf numFmtId="164" fontId="0" fillId="5" borderId="0" xfId="0" applyNumberFormat="1" applyFill="1"/>
    <xf numFmtId="10" fontId="0" fillId="5" borderId="0" xfId="1" applyNumberFormat="1" applyFont="1" applyFill="1"/>
    <xf numFmtId="169" fontId="0" fillId="5" borderId="0" xfId="0" applyNumberFormat="1" applyFill="1"/>
    <xf numFmtId="9" fontId="0" fillId="5" borderId="0" xfId="1" applyFont="1" applyFill="1" applyAlignment="1">
      <alignment horizontal="center"/>
    </xf>
    <xf numFmtId="0" fontId="4" fillId="0" borderId="0" xfId="0" applyFont="1" applyAlignment="1">
      <alignment horizontal="center"/>
    </xf>
    <xf numFmtId="10" fontId="0" fillId="0" borderId="0" xfId="0" applyNumberFormat="1"/>
    <xf numFmtId="9" fontId="0" fillId="0" borderId="0" xfId="0" applyNumberFormat="1"/>
    <xf numFmtId="0" fontId="15" fillId="0" borderId="0" xfId="0" applyFont="1"/>
    <xf numFmtId="164" fontId="7" fillId="0" borderId="0" xfId="0" applyNumberFormat="1" applyFont="1" applyFill="1"/>
    <xf numFmtId="0" fontId="11" fillId="6" borderId="0" xfId="0" applyFont="1" applyFill="1" applyAlignment="1">
      <alignment horizontal="left"/>
    </xf>
    <xf numFmtId="0" fontId="0" fillId="6" borderId="0" xfId="0" applyFill="1"/>
    <xf numFmtId="0" fontId="0" fillId="6" borderId="0" xfId="0" applyFill="1" applyAlignment="1">
      <alignment horizontal="center"/>
    </xf>
    <xf numFmtId="167" fontId="16" fillId="2" borderId="0" xfId="1" applyNumberFormat="1" applyFont="1" applyFill="1" applyAlignment="1">
      <alignment horizontal="center"/>
    </xf>
    <xf numFmtId="170" fontId="6" fillId="0" borderId="0" xfId="0" applyNumberFormat="1" applyFont="1"/>
    <xf numFmtId="0" fontId="0" fillId="7" borderId="7" xfId="0" applyFill="1" applyBorder="1" applyAlignment="1">
      <alignment wrapText="1"/>
    </xf>
    <xf numFmtId="0" fontId="11" fillId="0" borderId="0" xfId="0" applyFont="1" applyFill="1" applyAlignment="1">
      <alignment horizontal="left"/>
    </xf>
    <xf numFmtId="0" fontId="7" fillId="0" borderId="0" xfId="0" applyFont="1" applyFill="1" applyBorder="1"/>
    <xf numFmtId="0" fontId="0" fillId="0" borderId="0" xfId="0" applyFill="1" applyAlignment="1">
      <alignment horizontal="center"/>
    </xf>
    <xf numFmtId="164" fontId="7" fillId="8" borderId="0" xfId="0" applyNumberFormat="1" applyFont="1" applyFill="1"/>
    <xf numFmtId="0" fontId="4" fillId="0" borderId="5" xfId="0" quotePrefix="1" applyFont="1" applyBorder="1" applyAlignment="1">
      <alignment horizontal="right"/>
    </xf>
    <xf numFmtId="0" fontId="17" fillId="0" borderId="0" xfId="0" applyFont="1" applyFill="1" applyAlignment="1">
      <alignment horizontal="left"/>
    </xf>
    <xf numFmtId="167" fontId="0" fillId="0" borderId="0" xfId="1" applyNumberFormat="1" applyFont="1" applyFill="1" applyAlignment="1">
      <alignment horizontal="center"/>
    </xf>
    <xf numFmtId="0" fontId="11" fillId="10" borderId="0" xfId="0" applyFont="1" applyFill="1" applyAlignment="1">
      <alignment horizontal="left"/>
    </xf>
    <xf numFmtId="0" fontId="0" fillId="10" borderId="0" xfId="0" applyFill="1"/>
    <xf numFmtId="0" fontId="0" fillId="10" borderId="0" xfId="0" applyFill="1" applyAlignment="1">
      <alignment horizontal="center"/>
    </xf>
    <xf numFmtId="0" fontId="11" fillId="11" borderId="0" xfId="0" applyFont="1" applyFill="1" applyAlignment="1">
      <alignment horizontal="left"/>
    </xf>
    <xf numFmtId="0" fontId="0" fillId="11" borderId="0" xfId="0" applyFill="1"/>
    <xf numFmtId="0" fontId="0" fillId="11" borderId="0" xfId="0" applyFill="1" applyAlignment="1">
      <alignment horizontal="center"/>
    </xf>
    <xf numFmtId="167" fontId="0" fillId="5" borderId="0" xfId="1" applyNumberFormat="1" applyFont="1" applyFill="1"/>
    <xf numFmtId="167" fontId="0" fillId="0" borderId="0" xfId="0" applyNumberFormat="1"/>
    <xf numFmtId="0" fontId="4" fillId="0" borderId="1" xfId="0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9" fontId="0" fillId="0" borderId="0" xfId="0" applyNumberFormat="1" applyFill="1" applyAlignment="1">
      <alignment horizontal="center"/>
    </xf>
    <xf numFmtId="167" fontId="0" fillId="0" borderId="0" xfId="0" applyNumberFormat="1" applyFill="1" applyAlignment="1">
      <alignment horizontal="center"/>
    </xf>
    <xf numFmtId="0" fontId="18" fillId="3" borderId="6" xfId="0" applyFont="1" applyFill="1" applyBorder="1" applyAlignment="1">
      <alignment horizontal="right"/>
    </xf>
    <xf numFmtId="0" fontId="18" fillId="9" borderId="6" xfId="0" applyFont="1" applyFill="1" applyBorder="1" applyAlignment="1">
      <alignment horizontal="right"/>
    </xf>
    <xf numFmtId="167" fontId="0" fillId="0" borderId="0" xfId="1" quotePrefix="1" applyNumberFormat="1" applyFont="1" applyAlignment="1">
      <alignment horizontal="center"/>
    </xf>
    <xf numFmtId="0" fontId="19" fillId="12" borderId="0" xfId="0" applyFont="1" applyFill="1"/>
    <xf numFmtId="0" fontId="20" fillId="12" borderId="0" xfId="0" applyFont="1" applyFill="1" applyAlignment="1">
      <alignment horizontal="left"/>
    </xf>
    <xf numFmtId="0" fontId="19" fillId="12" borderId="0" xfId="0" applyFont="1" applyFill="1" applyAlignment="1">
      <alignment horizontal="center"/>
    </xf>
    <xf numFmtId="0" fontId="4" fillId="13" borderId="0" xfId="0" applyFont="1" applyFill="1" applyBorder="1" applyAlignment="1">
      <alignment horizontal="right"/>
    </xf>
    <xf numFmtId="0" fontId="4" fillId="13" borderId="0" xfId="0" applyFont="1" applyFill="1" applyBorder="1" applyAlignment="1">
      <alignment horizontal="center"/>
    </xf>
    <xf numFmtId="0" fontId="0" fillId="13" borderId="0" xfId="0" applyFill="1" applyBorder="1" applyAlignment="1">
      <alignment horizontal="right"/>
    </xf>
    <xf numFmtId="0" fontId="0" fillId="13" borderId="0" xfId="0" applyFill="1" applyBorder="1" applyAlignment="1">
      <alignment horizontal="center"/>
    </xf>
    <xf numFmtId="167" fontId="0" fillId="13" borderId="0" xfId="1" applyNumberFormat="1" applyFont="1" applyFill="1" applyBorder="1"/>
    <xf numFmtId="167" fontId="0" fillId="13" borderId="0" xfId="1" applyNumberFormat="1" applyFont="1" applyFill="1"/>
    <xf numFmtId="0" fontId="0" fillId="13" borderId="0" xfId="0" quotePrefix="1" applyFill="1" applyAlignment="1">
      <alignment horizontal="right"/>
    </xf>
    <xf numFmtId="167" fontId="0" fillId="13" borderId="0" xfId="1" applyNumberFormat="1" applyFont="1" applyFill="1" applyBorder="1" applyAlignment="1">
      <alignment horizontal="right"/>
    </xf>
    <xf numFmtId="0" fontId="0" fillId="14" borderId="0" xfId="0" applyFill="1"/>
    <xf numFmtId="0" fontId="11" fillId="14" borderId="0" xfId="0" applyFont="1" applyFill="1" applyAlignment="1">
      <alignment horizontal="left"/>
    </xf>
    <xf numFmtId="0" fontId="0" fillId="14" borderId="0" xfId="0" applyFill="1" applyAlignment="1">
      <alignment horizontal="center"/>
    </xf>
    <xf numFmtId="0" fontId="21" fillId="14" borderId="0" xfId="0" applyFont="1" applyFill="1"/>
    <xf numFmtId="167" fontId="21" fillId="14" borderId="0" xfId="1" applyNumberFormat="1" applyFont="1" applyFill="1"/>
    <xf numFmtId="0" fontId="22" fillId="15" borderId="0" xfId="0" applyFont="1" applyFill="1"/>
    <xf numFmtId="0" fontId="23" fillId="15" borderId="0" xfId="0" applyFont="1" applyFill="1" applyAlignment="1">
      <alignment horizontal="left"/>
    </xf>
    <xf numFmtId="0" fontId="22" fillId="15" borderId="0" xfId="0" applyFont="1" applyFill="1" applyAlignment="1">
      <alignment horizontal="center"/>
    </xf>
    <xf numFmtId="0" fontId="0" fillId="15" borderId="0" xfId="0" applyFill="1"/>
    <xf numFmtId="0" fontId="11" fillId="15" borderId="0" xfId="0" applyFont="1" applyFill="1" applyAlignment="1">
      <alignment horizontal="left"/>
    </xf>
    <xf numFmtId="0" fontId="0" fillId="15" borderId="0" xfId="0" applyFill="1" applyAlignment="1">
      <alignment horizontal="center"/>
    </xf>
    <xf numFmtId="0" fontId="24" fillId="16" borderId="6" xfId="0" applyFont="1" applyFill="1" applyBorder="1" applyAlignment="1">
      <alignment horizontal="right"/>
    </xf>
    <xf numFmtId="167" fontId="0" fillId="13" borderId="7" xfId="1" applyNumberFormat="1" applyFont="1" applyFill="1" applyBorder="1" applyAlignment="1">
      <alignment horizontal="center"/>
    </xf>
    <xf numFmtId="167" fontId="0" fillId="13" borderId="0" xfId="1" applyNumberFormat="1" applyFont="1" applyFill="1" applyAlignment="1">
      <alignment horizontal="center"/>
    </xf>
    <xf numFmtId="10" fontId="7" fillId="0" borderId="0" xfId="0" applyNumberFormat="1" applyFont="1" applyFill="1"/>
    <xf numFmtId="0" fontId="7" fillId="0" borderId="0" xfId="0" applyFont="1" applyFill="1" applyAlignment="1">
      <alignment horizontal="center"/>
    </xf>
    <xf numFmtId="164" fontId="14" fillId="0" borderId="0" xfId="0" applyNumberFormat="1" applyFont="1" applyFill="1"/>
    <xf numFmtId="0" fontId="0" fillId="18" borderId="0" xfId="0" applyFill="1"/>
    <xf numFmtId="0" fontId="0" fillId="18" borderId="0" xfId="0" applyFill="1" applyAlignment="1">
      <alignment horizontal="center"/>
    </xf>
    <xf numFmtId="0" fontId="18" fillId="18" borderId="1" xfId="0" applyFont="1" applyFill="1" applyBorder="1" applyAlignment="1">
      <alignment horizontal="right"/>
    </xf>
    <xf numFmtId="0" fontId="0" fillId="18" borderId="1" xfId="0" applyFill="1" applyBorder="1" applyAlignment="1">
      <alignment horizontal="right"/>
    </xf>
    <xf numFmtId="0" fontId="0" fillId="18" borderId="1" xfId="0" applyFill="1" applyBorder="1" applyAlignment="1">
      <alignment horizontal="left" indent="2"/>
    </xf>
    <xf numFmtId="0" fontId="0" fillId="18" borderId="0" xfId="0" applyFill="1" applyAlignment="1">
      <alignment horizontal="right"/>
    </xf>
    <xf numFmtId="167" fontId="0" fillId="18" borderId="0" xfId="1" applyNumberFormat="1" applyFont="1" applyFill="1"/>
    <xf numFmtId="170" fontId="0" fillId="0" borderId="0" xfId="0" applyNumberFormat="1"/>
    <xf numFmtId="171" fontId="0" fillId="0" borderId="0" xfId="0" applyNumberFormat="1"/>
    <xf numFmtId="164" fontId="0" fillId="9" borderId="2" xfId="0" applyNumberFormat="1" applyFill="1" applyBorder="1" applyAlignment="1">
      <alignment horizontal="center"/>
    </xf>
    <xf numFmtId="10" fontId="7" fillId="0" borderId="0" xfId="1" applyNumberFormat="1" applyFont="1"/>
    <xf numFmtId="0" fontId="0" fillId="19" borderId="0" xfId="0" applyFill="1"/>
    <xf numFmtId="10" fontId="0" fillId="19" borderId="0" xfId="1" applyNumberFormat="1" applyFont="1" applyFill="1"/>
    <xf numFmtId="167" fontId="21" fillId="6" borderId="0" xfId="1" applyNumberFormat="1" applyFont="1" applyFill="1" applyAlignment="1">
      <alignment horizontal="center"/>
    </xf>
    <xf numFmtId="10" fontId="7" fillId="0" borderId="0" xfId="1" applyNumberFormat="1" applyFont="1" applyFill="1"/>
    <xf numFmtId="0" fontId="0" fillId="20" borderId="0" xfId="0" applyFill="1"/>
    <xf numFmtId="0" fontId="25" fillId="0" borderId="0" xfId="0" applyFont="1"/>
    <xf numFmtId="164" fontId="0" fillId="0" borderId="0" xfId="0" applyNumberFormat="1" applyFill="1" applyBorder="1"/>
    <xf numFmtId="10" fontId="0" fillId="2" borderId="0" xfId="1" applyNumberFormat="1" applyFont="1" applyFill="1"/>
    <xf numFmtId="164" fontId="0" fillId="3" borderId="0" xfId="0" applyNumberFormat="1" applyFill="1"/>
    <xf numFmtId="10" fontId="0" fillId="3" borderId="8" xfId="1" applyNumberFormat="1" applyFont="1" applyFill="1" applyBorder="1"/>
    <xf numFmtId="0" fontId="0" fillId="3" borderId="9" xfId="0" quotePrefix="1" applyFill="1" applyBorder="1"/>
    <xf numFmtId="0" fontId="0" fillId="3" borderId="10" xfId="0" applyFill="1" applyBorder="1"/>
    <xf numFmtId="10" fontId="0" fillId="0" borderId="0" xfId="1" applyNumberFormat="1" applyFont="1" applyFill="1"/>
    <xf numFmtId="164" fontId="0" fillId="0" borderId="0" xfId="0" applyNumberFormat="1" applyFill="1"/>
    <xf numFmtId="10" fontId="0" fillId="0" borderId="8" xfId="1" applyNumberFormat="1" applyFont="1" applyFill="1" applyBorder="1"/>
    <xf numFmtId="0" fontId="0" fillId="0" borderId="9" xfId="0" quotePrefix="1" applyFill="1" applyBorder="1"/>
    <xf numFmtId="0" fontId="0" fillId="0" borderId="10" xfId="0" applyFill="1" applyBorder="1"/>
    <xf numFmtId="0" fontId="26" fillId="0" borderId="0" xfId="0" applyFont="1"/>
    <xf numFmtId="0" fontId="27" fillId="0" borderId="0" xfId="0" applyFont="1"/>
    <xf numFmtId="0" fontId="26" fillId="21" borderId="0" xfId="0" applyFont="1" applyFill="1"/>
    <xf numFmtId="0" fontId="27" fillId="21" borderId="0" xfId="0" applyFont="1" applyFill="1"/>
    <xf numFmtId="0" fontId="0" fillId="21" borderId="0" xfId="0" applyFill="1"/>
    <xf numFmtId="0" fontId="4" fillId="21" borderId="0" xfId="0" applyFont="1" applyFill="1"/>
    <xf numFmtId="0" fontId="0" fillId="21" borderId="0" xfId="0" applyFill="1" applyAlignment="1">
      <alignment horizontal="right"/>
    </xf>
    <xf numFmtId="0" fontId="0" fillId="21" borderId="0" xfId="0" quotePrefix="1" applyFill="1"/>
    <xf numFmtId="167" fontId="0" fillId="21" borderId="0" xfId="1" applyNumberFormat="1" applyFont="1" applyFill="1"/>
    <xf numFmtId="168" fontId="0" fillId="21" borderId="0" xfId="3" applyNumberFormat="1" applyFont="1" applyFill="1"/>
    <xf numFmtId="166" fontId="0" fillId="21" borderId="0" xfId="2" applyNumberFormat="1" applyFont="1" applyFill="1"/>
    <xf numFmtId="9" fontId="0" fillId="21" borderId="0" xfId="1" applyFont="1" applyFill="1"/>
    <xf numFmtId="167" fontId="21" fillId="0" borderId="0" xfId="1" applyNumberFormat="1" applyFont="1" applyFill="1" applyAlignment="1">
      <alignment horizontal="center"/>
    </xf>
    <xf numFmtId="10" fontId="0" fillId="0" borderId="0" xfId="1" applyNumberFormat="1" applyFont="1" applyFill="1" applyBorder="1"/>
    <xf numFmtId="0" fontId="0" fillId="0" borderId="0" xfId="0" quotePrefix="1" applyFill="1" applyBorder="1"/>
    <xf numFmtId="0" fontId="0" fillId="0" borderId="0" xfId="0" applyFill="1" applyBorder="1"/>
    <xf numFmtId="0" fontId="5" fillId="9" borderId="0" xfId="0" applyFont="1" applyFill="1"/>
    <xf numFmtId="0" fontId="0" fillId="9" borderId="0" xfId="0" applyFill="1"/>
    <xf numFmtId="0" fontId="4" fillId="9" borderId="0" xfId="0" applyFont="1" applyFill="1" applyAlignment="1">
      <alignment horizontal="right"/>
    </xf>
    <xf numFmtId="0" fontId="0" fillId="9" borderId="0" xfId="0" quotePrefix="1" applyFill="1" applyAlignment="1">
      <alignment horizontal="center"/>
    </xf>
    <xf numFmtId="0" fontId="4" fillId="9" borderId="0" xfId="0" applyFont="1" applyFill="1" applyAlignment="1">
      <alignment horizontal="left"/>
    </xf>
    <xf numFmtId="0" fontId="0" fillId="0" borderId="8" xfId="0" applyBorder="1" applyAlignment="1">
      <alignment horizontal="right"/>
    </xf>
    <xf numFmtId="2" fontId="0" fillId="0" borderId="10" xfId="0" applyNumberFormat="1" applyBorder="1"/>
    <xf numFmtId="2" fontId="0" fillId="18" borderId="0" xfId="0" applyNumberFormat="1" applyFill="1"/>
    <xf numFmtId="0" fontId="0" fillId="0" borderId="8" xfId="0" applyFill="1" applyBorder="1" applyAlignment="1">
      <alignment horizontal="right"/>
    </xf>
    <xf numFmtId="2" fontId="0" fillId="0" borderId="10" xfId="0" applyNumberFormat="1" applyFill="1" applyBorder="1"/>
    <xf numFmtId="0" fontId="28" fillId="0" borderId="0" xfId="0" applyFont="1" applyAlignment="1">
      <alignment horizontal="left"/>
    </xf>
    <xf numFmtId="0" fontId="29" fillId="0" borderId="0" xfId="0" applyFont="1" applyAlignment="1">
      <alignment horizontal="left"/>
    </xf>
    <xf numFmtId="0" fontId="13" fillId="0" borderId="0" xfId="0" applyFont="1" applyFill="1"/>
    <xf numFmtId="0" fontId="7" fillId="5" borderId="0" xfId="0" applyFont="1" applyFill="1"/>
    <xf numFmtId="0" fontId="7" fillId="0" borderId="0" xfId="0" applyFont="1" applyAlignment="1">
      <alignment horizontal="right"/>
    </xf>
    <xf numFmtId="0" fontId="28" fillId="0" borderId="1" xfId="0" applyFont="1" applyBorder="1" applyAlignment="1">
      <alignment horizontal="left"/>
    </xf>
    <xf numFmtId="0" fontId="7" fillId="0" borderId="1" xfId="0" applyFont="1" applyFill="1" applyBorder="1"/>
    <xf numFmtId="0" fontId="8" fillId="0" borderId="1" xfId="0" applyFont="1" applyFill="1" applyBorder="1"/>
    <xf numFmtId="15" fontId="7" fillId="0" borderId="1" xfId="0" applyNumberFormat="1" applyFont="1" applyFill="1" applyBorder="1"/>
    <xf numFmtId="164" fontId="7" fillId="0" borderId="1" xfId="0" applyNumberFormat="1" applyFont="1" applyFill="1" applyBorder="1" applyAlignment="1">
      <alignment horizontal="left" indent="1"/>
    </xf>
    <xf numFmtId="10" fontId="7" fillId="0" borderId="1" xfId="1" applyNumberFormat="1" applyFont="1" applyFill="1" applyBorder="1"/>
    <xf numFmtId="164" fontId="7" fillId="0" borderId="1" xfId="0" applyNumberFormat="1" applyFont="1" applyFill="1" applyBorder="1"/>
    <xf numFmtId="10" fontId="7" fillId="0" borderId="1" xfId="0" applyNumberFormat="1" applyFont="1" applyFill="1" applyBorder="1"/>
    <xf numFmtId="0" fontId="13" fillId="5" borderId="0" xfId="0" applyFont="1" applyFill="1"/>
    <xf numFmtId="164" fontId="13" fillId="5" borderId="0" xfId="0" applyNumberFormat="1" applyFont="1" applyFill="1"/>
    <xf numFmtId="10" fontId="13" fillId="5" borderId="0" xfId="1" applyNumberFormat="1" applyFont="1" applyFill="1"/>
    <xf numFmtId="169" fontId="13" fillId="5" borderId="0" xfId="0" applyNumberFormat="1" applyFont="1" applyFill="1"/>
    <xf numFmtId="9" fontId="13" fillId="5" borderId="0" xfId="1" applyFont="1" applyFill="1" applyAlignment="1">
      <alignment horizontal="center"/>
    </xf>
    <xf numFmtId="167" fontId="13" fillId="22" borderId="0" xfId="1" applyNumberFormat="1" applyFont="1" applyFill="1"/>
    <xf numFmtId="0" fontId="28" fillId="0" borderId="0" xfId="0" applyFont="1" applyBorder="1" applyAlignment="1">
      <alignment horizontal="left"/>
    </xf>
    <xf numFmtId="0" fontId="8" fillId="0" borderId="0" xfId="0" applyFont="1" applyFill="1" applyBorder="1"/>
    <xf numFmtId="15" fontId="7" fillId="0" borderId="0" xfId="0" applyNumberFormat="1" applyFont="1" applyFill="1" applyBorder="1"/>
    <xf numFmtId="164" fontId="7" fillId="0" borderId="0" xfId="0" applyNumberFormat="1" applyFont="1" applyFill="1" applyBorder="1" applyAlignment="1">
      <alignment horizontal="left" indent="1"/>
    </xf>
    <xf numFmtId="10" fontId="7" fillId="0" borderId="0" xfId="1" applyNumberFormat="1" applyFont="1" applyFill="1" applyBorder="1"/>
    <xf numFmtId="164" fontId="7" fillId="0" borderId="0" xfId="0" applyNumberFormat="1" applyFont="1" applyFill="1" applyBorder="1"/>
    <xf numFmtId="10" fontId="7" fillId="0" borderId="0" xfId="0" applyNumberFormat="1" applyFont="1" applyFill="1" applyBorder="1"/>
    <xf numFmtId="0" fontId="0" fillId="0" borderId="0" xfId="0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center"/>
    </xf>
    <xf numFmtId="0" fontId="2" fillId="0" borderId="0" xfId="4"/>
    <xf numFmtId="14" fontId="2" fillId="0" borderId="0" xfId="4" applyNumberFormat="1"/>
    <xf numFmtId="167" fontId="0" fillId="0" borderId="0" xfId="5" applyNumberFormat="1" applyFont="1"/>
    <xf numFmtId="172" fontId="2" fillId="0" borderId="0" xfId="4" applyNumberFormat="1"/>
    <xf numFmtId="0" fontId="0" fillId="23" borderId="0" xfId="0" applyFill="1"/>
    <xf numFmtId="172" fontId="7" fillId="0" borderId="0" xfId="0" applyNumberFormat="1" applyFont="1"/>
    <xf numFmtId="0" fontId="2" fillId="0" borderId="0" xfId="4" applyAlignment="1">
      <alignment vertical="center"/>
    </xf>
    <xf numFmtId="172" fontId="2" fillId="0" borderId="0" xfId="4" applyNumberFormat="1" applyAlignment="1">
      <alignment vertical="center"/>
    </xf>
    <xf numFmtId="172" fontId="2" fillId="0" borderId="5" xfId="4" applyNumberFormat="1" applyBorder="1" applyAlignment="1">
      <alignment vertical="center"/>
    </xf>
    <xf numFmtId="0" fontId="2" fillId="0" borderId="5" xfId="4" applyBorder="1" applyAlignment="1">
      <alignment vertical="center"/>
    </xf>
    <xf numFmtId="172" fontId="0" fillId="0" borderId="0" xfId="6" applyNumberFormat="1" applyFont="1" applyAlignment="1">
      <alignment vertical="center"/>
    </xf>
    <xf numFmtId="0" fontId="26" fillId="0" borderId="0" xfId="4" quotePrefix="1" applyFont="1" applyAlignment="1">
      <alignment vertical="center"/>
    </xf>
    <xf numFmtId="172" fontId="2" fillId="0" borderId="11" xfId="4" applyNumberFormat="1" applyBorder="1" applyAlignment="1">
      <alignment vertical="center"/>
    </xf>
    <xf numFmtId="167" fontId="30" fillId="0" borderId="0" xfId="5" applyNumberFormat="1" applyFont="1" applyBorder="1" applyAlignment="1">
      <alignment vertical="center"/>
    </xf>
    <xf numFmtId="172" fontId="2" fillId="0" borderId="0" xfId="4" applyNumberFormat="1" applyBorder="1" applyAlignment="1">
      <alignment vertical="center"/>
    </xf>
    <xf numFmtId="0" fontId="2" fillId="0" borderId="0" xfId="4" applyBorder="1" applyAlignment="1">
      <alignment vertical="center"/>
    </xf>
    <xf numFmtId="0" fontId="30" fillId="0" borderId="0" xfId="4" applyFont="1" applyAlignment="1">
      <alignment vertical="center" wrapText="1"/>
    </xf>
    <xf numFmtId="167" fontId="2" fillId="0" borderId="1" xfId="1" applyNumberFormat="1" applyFont="1" applyBorder="1" applyAlignment="1">
      <alignment vertical="center"/>
    </xf>
    <xf numFmtId="167" fontId="2" fillId="0" borderId="0" xfId="1" applyNumberFormat="1" applyFont="1" applyBorder="1" applyAlignment="1">
      <alignment vertical="center"/>
    </xf>
    <xf numFmtId="0" fontId="32" fillId="22" borderId="0" xfId="4" applyFont="1" applyFill="1" applyAlignment="1">
      <alignment vertical="center"/>
    </xf>
    <xf numFmtId="0" fontId="2" fillId="22" borderId="0" xfId="4" applyFill="1" applyAlignment="1">
      <alignment vertical="center"/>
    </xf>
    <xf numFmtId="0" fontId="31" fillId="22" borderId="0" xfId="4" quotePrefix="1" applyFont="1" applyFill="1" applyAlignment="1">
      <alignment horizontal="left" vertical="center"/>
    </xf>
    <xf numFmtId="0" fontId="31" fillId="22" borderId="0" xfId="4" applyFont="1" applyFill="1" applyAlignment="1">
      <alignment horizontal="left" vertical="center"/>
    </xf>
    <xf numFmtId="0" fontId="26" fillId="22" borderId="0" xfId="4" quotePrefix="1" applyFont="1" applyFill="1" applyAlignment="1">
      <alignment vertical="center"/>
    </xf>
    <xf numFmtId="0" fontId="26" fillId="22" borderId="11" xfId="4" applyFont="1" applyFill="1" applyBorder="1" applyAlignment="1">
      <alignment vertical="center"/>
    </xf>
    <xf numFmtId="172" fontId="2" fillId="22" borderId="11" xfId="4" applyNumberFormat="1" applyFill="1" applyBorder="1" applyAlignment="1">
      <alignment vertical="center"/>
    </xf>
    <xf numFmtId="0" fontId="26" fillId="22" borderId="0" xfId="4" applyFont="1" applyFill="1" applyBorder="1" applyAlignment="1">
      <alignment vertical="center"/>
    </xf>
    <xf numFmtId="172" fontId="2" fillId="22" borderId="0" xfId="4" applyNumberFormat="1" applyFill="1" applyBorder="1" applyAlignment="1">
      <alignment vertical="center"/>
    </xf>
    <xf numFmtId="0" fontId="30" fillId="22" borderId="1" xfId="4" applyFont="1" applyFill="1" applyBorder="1" applyAlignment="1">
      <alignment horizontal="left" vertical="center" indent="1"/>
    </xf>
    <xf numFmtId="167" fontId="2" fillId="22" borderId="1" xfId="1" applyNumberFormat="1" applyFont="1" applyFill="1" applyBorder="1" applyAlignment="1">
      <alignment vertical="center"/>
    </xf>
    <xf numFmtId="0" fontId="1" fillId="0" borderId="0" xfId="4" applyFont="1" applyAlignment="1">
      <alignment vertical="center"/>
    </xf>
    <xf numFmtId="172" fontId="1" fillId="0" borderId="0" xfId="0" applyNumberFormat="1" applyFont="1"/>
    <xf numFmtId="0" fontId="21" fillId="17" borderId="0" xfId="0" applyFont="1" applyFill="1" applyAlignment="1">
      <alignment horizontal="center"/>
    </xf>
    <xf numFmtId="0" fontId="30" fillId="22" borderId="0" xfId="4" applyFont="1" applyFill="1" applyAlignment="1">
      <alignment vertical="center" wrapText="1"/>
    </xf>
    <xf numFmtId="0" fontId="30" fillId="22" borderId="0" xfId="4" applyFont="1" applyFill="1" applyAlignment="1">
      <alignment horizontal="left" vertical="center" wrapText="1"/>
    </xf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</cellXfs>
  <cellStyles count="7">
    <cellStyle name="Comma" xfId="3" builtinId="3"/>
    <cellStyle name="Currency" xfId="2" builtinId="4"/>
    <cellStyle name="Currency 2" xfId="6" xr:uid="{75FB024D-0CC0-1443-9D4F-AB4C5ADB9A0D}"/>
    <cellStyle name="Normal" xfId="0" builtinId="0"/>
    <cellStyle name="Normal 2" xfId="4" xr:uid="{42E69E38-3CA0-9841-A38B-6AFBD066505A}"/>
    <cellStyle name="Percent" xfId="1" builtinId="5"/>
    <cellStyle name="Percent 2" xfId="5" xr:uid="{9989967E-8DF6-8F4D-890E-7F45FE3CC2A3}"/>
  </cellStyles>
  <dxfs count="5727"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 val="0"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7DFFB8"/>
        </patternFill>
      </fill>
    </dxf>
    <dxf>
      <font>
        <b/>
        <i/>
        <color theme="1"/>
      </font>
      <fill>
        <patternFill>
          <bgColor rgb="FFFF9797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00B050"/>
        </patternFill>
      </fill>
    </dxf>
    <dxf>
      <font>
        <b/>
        <i/>
        <color theme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99CCFF"/>
      <color rgb="FFFF9797"/>
      <color rgb="FF7DFFB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theme" Target="theme/theme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styles" Target="styles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65" Type="http://schemas.openxmlformats.org/officeDocument/2006/relationships/worksheet" Target="worksheets/sheet265.xml"/><Relationship Id="rId281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worksheet" Target="worksheets/sheet271.xml"/><Relationship Id="rId276" Type="http://schemas.openxmlformats.org/officeDocument/2006/relationships/worksheet" Target="worksheets/sheet276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282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142875</xdr:rowOff>
        </xdr:from>
        <xdr:to>
          <xdr:col>3</xdr:col>
          <xdr:colOff>1819275</xdr:colOff>
          <xdr:row>2</xdr:row>
          <xdr:rowOff>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1</xdr:row>
      <xdr:rowOff>238125</xdr:rowOff>
    </xdr:from>
    <xdr:to>
      <xdr:col>4</xdr:col>
      <xdr:colOff>3182976</xdr:colOff>
      <xdr:row>2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9100" y="428625"/>
          <a:ext cx="4411701" cy="285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1</xdr:row>
      <xdr:rowOff>238125</xdr:rowOff>
    </xdr:from>
    <xdr:to>
      <xdr:col>5</xdr:col>
      <xdr:colOff>246102</xdr:colOff>
      <xdr:row>2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9100" y="428625"/>
          <a:ext cx="4411701" cy="2857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0</xdr:row>
          <xdr:rowOff>142875</xdr:rowOff>
        </xdr:from>
        <xdr:to>
          <xdr:col>4</xdr:col>
          <xdr:colOff>1409700</xdr:colOff>
          <xdr:row>2</xdr:row>
          <xdr:rowOff>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3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1</xdr:row>
      <xdr:rowOff>228600</xdr:rowOff>
    </xdr:from>
    <xdr:to>
      <xdr:col>4</xdr:col>
      <xdr:colOff>3182976</xdr:colOff>
      <xdr:row>2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9100" y="419100"/>
          <a:ext cx="4411701" cy="2857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1</xdr:row>
      <xdr:rowOff>228600</xdr:rowOff>
    </xdr:from>
    <xdr:to>
      <xdr:col>4</xdr:col>
      <xdr:colOff>3182976</xdr:colOff>
      <xdr:row>2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9100" y="419100"/>
          <a:ext cx="4411701" cy="285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1</xdr:row>
      <xdr:rowOff>228600</xdr:rowOff>
    </xdr:from>
    <xdr:to>
      <xdr:col>4</xdr:col>
      <xdr:colOff>3078201</xdr:colOff>
      <xdr:row>2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419100"/>
          <a:ext cx="4411701" cy="2857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1</xdr:row>
      <xdr:rowOff>228600</xdr:rowOff>
    </xdr:from>
    <xdr:to>
      <xdr:col>4</xdr:col>
      <xdr:colOff>3182976</xdr:colOff>
      <xdr:row>2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9100" y="419100"/>
          <a:ext cx="4411701" cy="2857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104775</xdr:colOff>
          <xdr:row>21</xdr:row>
          <xdr:rowOff>9525</xdr:rowOff>
        </xdr:from>
        <xdr:to>
          <xdr:col>7</xdr:col>
          <xdr:colOff>304800</xdr:colOff>
          <xdr:row>23</xdr:row>
          <xdr:rowOff>28575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1501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274.bin"/><Relationship Id="rId1" Type="http://schemas.openxmlformats.org/officeDocument/2006/relationships/hyperlink" Target="mailto:!@#$%^&amp;*()" TargetMode="External"/><Relationship Id="rId6" Type="http://schemas.openxmlformats.org/officeDocument/2006/relationships/image" Target="../media/image1.emf"/><Relationship Id="rId5" Type="http://schemas.openxmlformats.org/officeDocument/2006/relationships/oleObject" Target="../embeddings/oleObject3.bin"/><Relationship Id="rId4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C2:Q28"/>
  <sheetViews>
    <sheetView workbookViewId="0">
      <selection activeCell="E23" sqref="E23"/>
    </sheetView>
  </sheetViews>
  <sheetFormatPr defaultColWidth="8.85546875" defaultRowHeight="15" x14ac:dyDescent="0.25"/>
  <cols>
    <col min="2" max="2" width="2.85546875" customWidth="1"/>
    <col min="3" max="3" width="13.42578125" customWidth="1"/>
    <col min="4" max="4" width="51.42578125" customWidth="1"/>
    <col min="6" max="7" width="13.7109375" customWidth="1"/>
    <col min="8" max="8" width="9.42578125" customWidth="1"/>
    <col min="9" max="9" width="7" customWidth="1"/>
    <col min="10" max="10" width="6.42578125" customWidth="1"/>
    <col min="11" max="11" width="5.7109375" style="11" customWidth="1"/>
    <col min="13" max="13" width="44.7109375" customWidth="1"/>
  </cols>
  <sheetData>
    <row r="2" spans="3:17" ht="27.75" customHeight="1" x14ac:dyDescent="0.25">
      <c r="D2" s="15"/>
      <c r="E2" s="15" t="s">
        <v>32</v>
      </c>
      <c r="G2" s="15"/>
      <c r="I2" s="15" t="s">
        <v>33</v>
      </c>
    </row>
    <row r="3" spans="3:17" ht="18.75" x14ac:dyDescent="0.3">
      <c r="C3" s="3" t="s">
        <v>229</v>
      </c>
      <c r="H3" s="2"/>
      <c r="I3" s="23"/>
    </row>
    <row r="5" spans="3:17" x14ac:dyDescent="0.25">
      <c r="C5" s="28"/>
      <c r="D5" s="28"/>
      <c r="E5" s="28"/>
      <c r="F5" s="29"/>
      <c r="G5" s="29"/>
      <c r="H5" s="29"/>
      <c r="I5" s="28"/>
      <c r="J5" s="29"/>
      <c r="K5" s="34"/>
      <c r="L5" s="28"/>
      <c r="M5" s="28"/>
      <c r="N5" s="9"/>
      <c r="O5" s="9"/>
      <c r="P5" s="9"/>
      <c r="Q5" s="9"/>
    </row>
    <row r="6" spans="3:17" ht="7.5" customHeight="1" x14ac:dyDescent="0.25"/>
    <row r="7" spans="3:17" x14ac:dyDescent="0.25">
      <c r="C7" s="15"/>
      <c r="D7" s="24"/>
      <c r="E7" s="25"/>
      <c r="F7" s="27"/>
      <c r="G7" s="27"/>
      <c r="H7" s="26"/>
      <c r="I7" s="11"/>
      <c r="J7" s="15"/>
      <c r="K7" s="35"/>
      <c r="L7" s="15"/>
      <c r="M7" s="24"/>
      <c r="N7" s="15"/>
      <c r="O7" s="15"/>
      <c r="P7" s="15"/>
      <c r="Q7" s="15"/>
    </row>
    <row r="8" spans="3:17" x14ac:dyDescent="0.25">
      <c r="C8" s="15"/>
      <c r="D8" s="24"/>
      <c r="E8" s="25"/>
      <c r="F8" s="27"/>
      <c r="G8" s="27"/>
      <c r="H8" s="26"/>
      <c r="I8" s="11"/>
      <c r="J8" s="15"/>
      <c r="K8" s="35"/>
      <c r="L8" s="15"/>
      <c r="M8" s="24"/>
      <c r="N8" s="15"/>
      <c r="O8" s="15"/>
      <c r="P8" s="15"/>
      <c r="Q8" s="15"/>
    </row>
    <row r="9" spans="3:17" x14ac:dyDescent="0.25">
      <c r="C9" s="15"/>
      <c r="D9" s="24"/>
      <c r="E9" s="25"/>
      <c r="F9" s="27"/>
      <c r="G9" s="27"/>
      <c r="H9" s="26"/>
      <c r="I9" s="11"/>
      <c r="J9" s="15"/>
      <c r="K9" s="35"/>
      <c r="L9" s="15"/>
      <c r="M9" s="24"/>
      <c r="N9" s="15"/>
      <c r="O9" s="15"/>
      <c r="P9" s="15"/>
      <c r="Q9" s="15"/>
    </row>
    <row r="10" spans="3:17" x14ac:dyDescent="0.25">
      <c r="C10" s="15"/>
      <c r="D10" s="24"/>
      <c r="E10" s="25"/>
      <c r="F10" s="27"/>
      <c r="G10" s="27"/>
      <c r="H10" s="26"/>
      <c r="I10" s="11"/>
      <c r="J10" s="15"/>
      <c r="K10" s="35"/>
      <c r="L10" s="15"/>
      <c r="M10" s="24"/>
      <c r="N10" s="15"/>
      <c r="O10" s="15"/>
      <c r="P10" s="15"/>
      <c r="Q10" s="15"/>
    </row>
    <row r="11" spans="3:17" x14ac:dyDescent="0.25">
      <c r="C11" s="15"/>
      <c r="D11" s="24"/>
      <c r="E11" s="25"/>
      <c r="F11" s="27"/>
      <c r="G11" s="27"/>
      <c r="H11" s="26"/>
      <c r="I11" s="11"/>
      <c r="J11" s="15"/>
      <c r="K11" s="35"/>
      <c r="L11" s="15"/>
      <c r="M11" s="11"/>
      <c r="N11" s="15"/>
      <c r="O11" s="15"/>
      <c r="P11" s="15"/>
      <c r="Q11" s="15"/>
    </row>
    <row r="12" spans="3:17" x14ac:dyDescent="0.25">
      <c r="C12" s="15"/>
      <c r="D12" s="24"/>
      <c r="E12" s="25"/>
      <c r="F12" s="27"/>
      <c r="G12" s="27"/>
      <c r="H12" s="26"/>
      <c r="I12" s="11"/>
      <c r="J12" s="15"/>
      <c r="K12" s="35"/>
      <c r="L12" s="15"/>
      <c r="M12" s="24"/>
      <c r="N12" s="15"/>
      <c r="O12" s="15"/>
      <c r="P12" s="15"/>
      <c r="Q12" s="15"/>
    </row>
    <row r="13" spans="3:17" x14ac:dyDescent="0.25">
      <c r="C13" s="15"/>
      <c r="D13" s="24"/>
      <c r="E13" s="25"/>
      <c r="F13" s="27"/>
      <c r="G13" s="27"/>
      <c r="H13" s="26"/>
      <c r="I13" s="11"/>
      <c r="J13" s="15"/>
      <c r="K13" s="35"/>
      <c r="L13" s="15"/>
      <c r="M13" s="24"/>
      <c r="N13" s="15"/>
      <c r="O13" s="15"/>
      <c r="P13" s="15"/>
      <c r="Q13" s="15"/>
    </row>
    <row r="14" spans="3:17" x14ac:dyDescent="0.25">
      <c r="C14" s="15"/>
      <c r="D14" s="24"/>
      <c r="E14" s="25"/>
      <c r="F14" s="27"/>
      <c r="G14" s="27"/>
      <c r="H14" s="26"/>
      <c r="I14" s="11"/>
      <c r="J14" s="15"/>
      <c r="K14" s="35"/>
      <c r="L14" s="15"/>
      <c r="M14" s="24"/>
      <c r="N14" s="15"/>
      <c r="O14" s="15"/>
      <c r="P14" s="15"/>
      <c r="Q14" s="15"/>
    </row>
    <row r="15" spans="3:17" x14ac:dyDescent="0.25">
      <c r="C15" s="15"/>
      <c r="D15" s="24"/>
      <c r="E15" s="25"/>
      <c r="F15" s="27"/>
      <c r="G15" s="27"/>
      <c r="H15" s="26"/>
      <c r="I15" s="11"/>
      <c r="J15" s="15"/>
      <c r="K15" s="35"/>
      <c r="L15" s="15"/>
      <c r="M15" s="24"/>
      <c r="N15" s="15"/>
      <c r="O15" s="15"/>
      <c r="P15" s="15"/>
      <c r="Q15" s="15"/>
    </row>
    <row r="16" spans="3:17" x14ac:dyDescent="0.25">
      <c r="C16" s="15"/>
      <c r="D16" s="24"/>
      <c r="E16" s="25"/>
      <c r="F16" s="27"/>
      <c r="G16" s="27"/>
      <c r="H16" s="26"/>
      <c r="I16" s="11"/>
      <c r="J16" s="15"/>
      <c r="K16" s="35"/>
      <c r="L16" s="15"/>
      <c r="M16" s="24"/>
      <c r="N16" s="15"/>
      <c r="O16" s="15"/>
      <c r="P16" s="15"/>
      <c r="Q16" s="15"/>
    </row>
    <row r="17" spans="3:17" x14ac:dyDescent="0.25">
      <c r="C17" s="15"/>
      <c r="D17" s="24"/>
      <c r="E17" s="25"/>
      <c r="F17" s="27"/>
      <c r="G17" s="27"/>
      <c r="H17" s="26"/>
      <c r="I17" s="11"/>
      <c r="J17" s="15"/>
      <c r="K17" s="35"/>
      <c r="L17" s="15"/>
      <c r="M17" s="24"/>
      <c r="N17" s="15"/>
      <c r="O17" s="15"/>
      <c r="P17" s="15"/>
      <c r="Q17" s="15"/>
    </row>
    <row r="18" spans="3:17" x14ac:dyDescent="0.25">
      <c r="C18" s="15"/>
      <c r="D18" s="24"/>
      <c r="E18" s="25"/>
      <c r="F18" s="27"/>
      <c r="G18" s="27"/>
      <c r="H18" s="26"/>
      <c r="I18" s="11"/>
      <c r="J18" s="15"/>
      <c r="K18" s="35"/>
      <c r="L18" s="15"/>
      <c r="M18" s="24"/>
      <c r="N18" s="15"/>
      <c r="O18" s="15"/>
      <c r="P18" s="15"/>
      <c r="Q18" s="15"/>
    </row>
    <row r="19" spans="3:17" x14ac:dyDescent="0.25">
      <c r="C19" s="15"/>
      <c r="D19" s="24"/>
      <c r="E19" s="25"/>
      <c r="F19" s="27"/>
      <c r="G19" s="27"/>
      <c r="H19" s="26"/>
      <c r="I19" s="11"/>
      <c r="J19" s="15"/>
      <c r="K19" s="35"/>
      <c r="L19" s="15"/>
      <c r="M19" s="24"/>
      <c r="N19" s="15"/>
      <c r="O19" s="15"/>
      <c r="P19" s="15"/>
      <c r="Q19" s="15"/>
    </row>
    <row r="20" spans="3:17" x14ac:dyDescent="0.25">
      <c r="C20" s="15"/>
      <c r="D20" s="24"/>
      <c r="E20" s="25"/>
      <c r="F20" s="27"/>
      <c r="G20" s="27"/>
      <c r="H20" s="26"/>
      <c r="I20" s="11"/>
      <c r="J20" s="15"/>
      <c r="K20" s="35"/>
      <c r="L20" s="15"/>
      <c r="M20" s="24"/>
      <c r="N20" s="15"/>
      <c r="O20" s="15"/>
      <c r="P20" s="15"/>
      <c r="Q20" s="15"/>
    </row>
    <row r="21" spans="3:17" x14ac:dyDescent="0.25">
      <c r="C21" s="15"/>
      <c r="D21" s="24"/>
      <c r="E21" s="25"/>
      <c r="F21" s="27"/>
      <c r="G21" s="27"/>
      <c r="H21" s="26"/>
      <c r="I21" s="11"/>
      <c r="J21" s="15"/>
      <c r="K21" s="35"/>
      <c r="L21" s="15"/>
      <c r="M21" s="24"/>
      <c r="N21" s="15"/>
      <c r="O21" s="15"/>
      <c r="P21" s="15"/>
      <c r="Q21" s="15"/>
    </row>
    <row r="22" spans="3:17" x14ac:dyDescent="0.25">
      <c r="C22" s="15"/>
      <c r="D22" s="24"/>
      <c r="E22" s="25"/>
      <c r="F22" s="27"/>
      <c r="G22" s="27"/>
      <c r="H22" s="26"/>
      <c r="I22" s="11"/>
      <c r="J22" s="15"/>
      <c r="K22" s="35"/>
      <c r="L22" s="15"/>
      <c r="M22" s="24"/>
      <c r="N22" s="15"/>
      <c r="O22" s="15"/>
      <c r="P22" s="15"/>
      <c r="Q22" s="15"/>
    </row>
    <row r="23" spans="3:17" x14ac:dyDescent="0.25">
      <c r="C23" s="15"/>
      <c r="D23" s="24"/>
      <c r="E23" s="25"/>
      <c r="F23" s="27"/>
      <c r="G23" s="27"/>
      <c r="H23" s="26"/>
      <c r="I23" s="11"/>
      <c r="J23" s="15"/>
      <c r="K23" s="35"/>
      <c r="L23" s="15"/>
      <c r="M23" s="24"/>
      <c r="N23" s="15"/>
      <c r="O23" s="15"/>
      <c r="P23" s="15"/>
      <c r="Q23" s="15"/>
    </row>
    <row r="24" spans="3:17" x14ac:dyDescent="0.25">
      <c r="C24" s="15"/>
      <c r="D24" s="24"/>
      <c r="E24" s="25"/>
      <c r="F24" s="27"/>
      <c r="G24" s="27"/>
      <c r="H24" s="26"/>
      <c r="I24" s="11"/>
      <c r="J24" s="15"/>
      <c r="K24" s="35"/>
      <c r="L24" s="15"/>
      <c r="M24" s="15"/>
      <c r="N24" s="15"/>
      <c r="O24" s="15"/>
      <c r="P24" s="15"/>
      <c r="Q24" s="15"/>
    </row>
    <row r="25" spans="3:17" x14ac:dyDescent="0.25">
      <c r="C25" s="15"/>
      <c r="D25" s="24"/>
      <c r="E25" s="25"/>
      <c r="F25" s="27"/>
      <c r="G25" s="27"/>
      <c r="H25" s="26"/>
      <c r="I25" s="11"/>
      <c r="J25" s="15"/>
      <c r="K25" s="35"/>
      <c r="L25" s="15"/>
      <c r="M25" s="15"/>
      <c r="N25" s="15"/>
      <c r="O25" s="15"/>
      <c r="P25" s="15"/>
      <c r="Q25" s="15"/>
    </row>
    <row r="26" spans="3:17" x14ac:dyDescent="0.25">
      <c r="C26" s="15"/>
      <c r="D26" s="24"/>
      <c r="E26" s="25"/>
      <c r="F26" s="27"/>
      <c r="G26" s="27"/>
      <c r="H26" s="26"/>
      <c r="I26" s="11"/>
      <c r="J26" s="15"/>
      <c r="K26" s="35"/>
      <c r="L26" s="15"/>
      <c r="M26" s="15"/>
      <c r="N26" s="15"/>
      <c r="O26" s="15"/>
      <c r="P26" s="15"/>
      <c r="Q26" s="15"/>
    </row>
    <row r="27" spans="3:17" x14ac:dyDescent="0.25">
      <c r="C27" s="15"/>
      <c r="D27" s="24"/>
      <c r="E27" s="25"/>
      <c r="F27" s="27"/>
      <c r="G27" s="27"/>
      <c r="H27" s="26"/>
      <c r="I27" s="11"/>
    </row>
    <row r="28" spans="3:17" x14ac:dyDescent="0.25">
      <c r="C28" s="15"/>
      <c r="D28" s="24"/>
      <c r="E28" s="25"/>
      <c r="F28" s="27"/>
      <c r="G28" s="27"/>
      <c r="H28" s="26"/>
      <c r="I28" s="11"/>
    </row>
  </sheetData>
  <conditionalFormatting sqref="M11 I7:I28">
    <cfRule type="containsText" dxfId="5726" priority="2" operator="containsText" text="FAIL">
      <formula>NOT(ISERROR(SEARCH("FAIL",I7)))</formula>
    </cfRule>
  </conditionalFormatting>
  <conditionalFormatting sqref="M11 I7:I28">
    <cfRule type="containsText" dxfId="5725" priority="1" operator="containsText" text="GOOD">
      <formula>NOT(ISERROR(SEARCH("GOOD",I7)))</formula>
    </cfRule>
  </conditionalFormatting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4097" r:id="rId3">
          <objectPr defaultSize="0" autoPict="0" r:id="rId4">
            <anchor moveWithCells="1">
              <from>
                <xdr:col>2</xdr:col>
                <xdr:colOff>66675</xdr:colOff>
                <xdr:row>0</xdr:row>
                <xdr:rowOff>142875</xdr:rowOff>
              </from>
              <to>
                <xdr:col>3</xdr:col>
                <xdr:colOff>1819275</xdr:colOff>
                <xdr:row>2</xdr:row>
                <xdr:rowOff>0</xdr:rowOff>
              </to>
            </anchor>
          </objectPr>
        </oleObject>
      </mc:Choice>
      <mc:Fallback>
        <oleObject progId="MSPhotoEd.3" shapeId="4097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-0.249977111117893"/>
  </sheetPr>
  <dimension ref="B2:AB782"/>
  <sheetViews>
    <sheetView zoomScale="90" zoomScaleNormal="90" workbookViewId="0">
      <pane ySplit="5" topLeftCell="A6" activePane="bottomLeft" state="frozen"/>
      <selection pane="bottomLeft" activeCell="H2" sqref="H2"/>
    </sheetView>
  </sheetViews>
  <sheetFormatPr defaultColWidth="8.85546875" defaultRowHeight="15" x14ac:dyDescent="0.25"/>
  <cols>
    <col min="1" max="1" width="3.140625" customWidth="1"/>
    <col min="2" max="2" width="2.85546875" customWidth="1"/>
    <col min="3" max="3" width="5.28515625" customWidth="1"/>
    <col min="4" max="4" width="13.42578125" customWidth="1"/>
    <col min="5" max="5" width="51.42578125" customWidth="1"/>
    <col min="6" max="7" width="9.42578125" hidden="1" customWidth="1"/>
    <col min="8" max="8" width="14" customWidth="1"/>
    <col min="9" max="9" width="16.140625" customWidth="1"/>
    <col min="10" max="10" width="13.7109375" customWidth="1"/>
    <col min="11" max="11" width="9.42578125" customWidth="1"/>
    <col min="12" max="12" width="7" customWidth="1"/>
    <col min="13" max="13" width="6.42578125" customWidth="1"/>
    <col min="14" max="14" width="5.7109375" style="11" customWidth="1"/>
    <col min="15" max="15" width="3.42578125" customWidth="1"/>
    <col min="16" max="16" width="6.140625" customWidth="1"/>
    <col min="17" max="17" width="3.42578125" customWidth="1"/>
    <col min="18" max="18" width="13.42578125" customWidth="1"/>
    <col min="19" max="19" width="27" customWidth="1"/>
    <col min="22" max="22" width="11.140625" bestFit="1" customWidth="1"/>
    <col min="23" max="23" width="12.42578125" bestFit="1" customWidth="1"/>
    <col min="24" max="24" width="12" bestFit="1" customWidth="1"/>
    <col min="26" max="27" width="12.140625" bestFit="1" customWidth="1"/>
  </cols>
  <sheetData>
    <row r="2" spans="3:24" ht="27.75" customHeight="1" x14ac:dyDescent="0.25">
      <c r="D2" s="21"/>
      <c r="E2" s="15"/>
      <c r="F2" s="15" t="s">
        <v>32</v>
      </c>
      <c r="I2" s="15"/>
      <c r="J2" s="15"/>
      <c r="L2" s="15" t="s">
        <v>33</v>
      </c>
    </row>
    <row r="3" spans="3:24" ht="18.75" x14ac:dyDescent="0.3">
      <c r="D3" s="3"/>
      <c r="F3" s="3" t="s">
        <v>53</v>
      </c>
      <c r="K3" s="36" t="s">
        <v>54</v>
      </c>
      <c r="L3" s="37">
        <v>2017</v>
      </c>
    </row>
    <row r="5" spans="3:24" x14ac:dyDescent="0.25">
      <c r="C5" s="40" t="s">
        <v>423</v>
      </c>
      <c r="D5" s="49" t="s">
        <v>55</v>
      </c>
      <c r="E5" s="49" t="s">
        <v>56</v>
      </c>
      <c r="F5" s="49" t="s">
        <v>57</v>
      </c>
      <c r="G5" s="50" t="s">
        <v>424</v>
      </c>
      <c r="H5" s="47" t="s">
        <v>58</v>
      </c>
      <c r="I5" s="47" t="s">
        <v>59</v>
      </c>
      <c r="J5" s="42" t="s">
        <v>456</v>
      </c>
      <c r="K5" s="47" t="s">
        <v>60</v>
      </c>
      <c r="L5" s="48" t="s">
        <v>61</v>
      </c>
      <c r="M5" s="47" t="s">
        <v>62</v>
      </c>
      <c r="N5" s="43" t="s">
        <v>225</v>
      </c>
      <c r="O5" s="43" t="s">
        <v>422</v>
      </c>
      <c r="P5" s="43" t="s">
        <v>454</v>
      </c>
      <c r="Q5" s="43"/>
      <c r="R5" s="41" t="s">
        <v>63</v>
      </c>
      <c r="S5" s="9" t="s">
        <v>551</v>
      </c>
      <c r="T5" s="9"/>
      <c r="U5" s="9"/>
      <c r="V5" s="9"/>
    </row>
    <row r="6" spans="3:24" ht="7.5" customHeight="1" x14ac:dyDescent="0.25">
      <c r="C6" s="39"/>
      <c r="G6" s="45"/>
    </row>
    <row r="7" spans="3:24" x14ac:dyDescent="0.25">
      <c r="C7" s="39">
        <v>2017</v>
      </c>
      <c r="D7" s="102" t="str">
        <f>+'GWB-244.261'!$F$4</f>
        <v>GWB-244.261</v>
      </c>
      <c r="E7" s="63" t="str">
        <f>+'GWB-244.261'!$F$5</f>
        <v>Rehab of Low Voltage Power Systems</v>
      </c>
      <c r="F7" s="64">
        <f>+'GWB-244.261'!$F$6</f>
        <v>43088</v>
      </c>
      <c r="G7" s="65" t="str">
        <f>+'GWB-244.261'!$G$7</f>
        <v>MWBE</v>
      </c>
      <c r="H7" s="94">
        <f>+'GWB-244.261'!$F$7</f>
        <v>795000</v>
      </c>
      <c r="I7" s="27">
        <f>+'GWB-244.261'!$F$8</f>
        <v>353700</v>
      </c>
      <c r="J7" s="27"/>
      <c r="K7" s="26">
        <f>+'GWB-244.261'!$G$9</f>
        <v>-0.55509433962264154</v>
      </c>
      <c r="L7" s="11" t="str">
        <f>+'GWB-244.261'!$F$11</f>
        <v>GOOD</v>
      </c>
      <c r="M7" s="62">
        <f>+'GWB-244.261'!$H$12</f>
        <v>8</v>
      </c>
      <c r="N7" s="35" t="s">
        <v>226</v>
      </c>
      <c r="O7" s="15">
        <v>4</v>
      </c>
      <c r="P7" s="35" t="s">
        <v>457</v>
      </c>
      <c r="Q7" s="15"/>
      <c r="R7" s="24"/>
      <c r="S7" s="62" t="str">
        <f>+'GWB-244.261'!$J$4</f>
        <v>Gennadiy Zavokovsky</v>
      </c>
      <c r="T7" s="15"/>
      <c r="U7" s="15"/>
      <c r="V7" s="54">
        <f t="shared" ref="V7:W10" si="0">+H7</f>
        <v>795000</v>
      </c>
      <c r="W7" s="54">
        <f t="shared" si="0"/>
        <v>353700</v>
      </c>
      <c r="X7" s="54">
        <f>+V7-W7</f>
        <v>441300</v>
      </c>
    </row>
    <row r="8" spans="3:24" x14ac:dyDescent="0.25">
      <c r="C8" s="39">
        <v>2017</v>
      </c>
      <c r="D8" s="102" t="str">
        <f>+'TEB-144.056'!$F$4</f>
        <v>TEB-144.056</v>
      </c>
      <c r="E8" s="63" t="str">
        <f>+'TEB-144.056'!$F$5</f>
        <v>Rehabilitation of Sewage Pumps</v>
      </c>
      <c r="F8" s="64">
        <f>+'TEB-144.056'!$F$6</f>
        <v>43083</v>
      </c>
      <c r="G8" s="65" t="str">
        <f>+'TEB-144.056'!$G$7</f>
        <v>MWBE</v>
      </c>
      <c r="H8" s="94">
        <f>+'TEB-144.056'!$F$7</f>
        <v>979000</v>
      </c>
      <c r="I8" s="27">
        <f>+'TEB-144.056'!$F$8</f>
        <v>1168000</v>
      </c>
      <c r="J8" s="27"/>
      <c r="K8" s="26">
        <f>+'TEB-144.056'!$G$9</f>
        <v>0.1930541368743616</v>
      </c>
      <c r="L8" s="11" t="str">
        <f>+'TEB-144.056'!$F$11</f>
        <v>FAIL</v>
      </c>
      <c r="M8" s="62">
        <f>+'TEB-144.056'!$H$12</f>
        <v>2</v>
      </c>
      <c r="N8" s="35" t="s">
        <v>25</v>
      </c>
      <c r="O8" s="15">
        <v>4</v>
      </c>
      <c r="P8" s="35" t="s">
        <v>458</v>
      </c>
      <c r="Q8" s="15"/>
      <c r="R8" s="24"/>
      <c r="S8" s="62" t="str">
        <f>+'TEB-144.056'!$J$4</f>
        <v>Joe Lucin</v>
      </c>
      <c r="T8" s="15"/>
      <c r="U8" s="15"/>
      <c r="V8" s="54">
        <f t="shared" si="0"/>
        <v>979000</v>
      </c>
      <c r="W8" s="54">
        <f t="shared" si="0"/>
        <v>1168000</v>
      </c>
      <c r="X8" s="54">
        <f>+V8-W8</f>
        <v>-189000</v>
      </c>
    </row>
    <row r="9" spans="3:24" x14ac:dyDescent="0.25">
      <c r="C9" s="39">
        <v>2017</v>
      </c>
      <c r="D9" s="102" t="str">
        <f>+'PN-654.562 Void'!$F$4</f>
        <v>PN-654.562</v>
      </c>
      <c r="E9" s="63" t="str">
        <f>+'PN-654.562 Void'!$F$5</f>
        <v>Building 267 Roof Collapse Repair</v>
      </c>
      <c r="F9" s="64">
        <f>+'PN-654.562 Void'!$F$6</f>
        <v>43083</v>
      </c>
      <c r="G9" s="65"/>
      <c r="H9" s="94"/>
      <c r="I9" s="27"/>
      <c r="J9" s="27"/>
      <c r="K9" s="26"/>
      <c r="L9" s="11"/>
      <c r="M9" s="62"/>
      <c r="N9" s="35"/>
      <c r="O9" s="15"/>
      <c r="P9" s="35"/>
      <c r="Q9" s="15"/>
      <c r="R9" s="24" t="s">
        <v>227</v>
      </c>
      <c r="S9" s="62" t="str">
        <f>+'PN-654.562 Void'!$J$4</f>
        <v>Ed Minall</v>
      </c>
      <c r="T9" s="15"/>
      <c r="U9" s="15"/>
      <c r="V9" s="54">
        <f t="shared" si="0"/>
        <v>0</v>
      </c>
      <c r="W9" s="54">
        <f t="shared" si="0"/>
        <v>0</v>
      </c>
      <c r="X9" s="54">
        <f>+V9-W9</f>
        <v>0</v>
      </c>
    </row>
    <row r="10" spans="3:24" x14ac:dyDescent="0.25">
      <c r="C10" s="39">
        <v>2017</v>
      </c>
      <c r="D10" s="102" t="str">
        <f>+'LGA-924.287'!$F$4</f>
        <v>LGA-924.287</v>
      </c>
      <c r="E10" s="63" t="str">
        <f>+'LGA-924.287'!$F$5</f>
        <v>Airside Asphalt Paving Repairs via Work Order</v>
      </c>
      <c r="F10" s="64">
        <f>+'LGA-924.287'!$F$6</f>
        <v>43083</v>
      </c>
      <c r="G10" s="65" t="str">
        <f>+'LGA-924.287'!$G$7</f>
        <v>PQL</v>
      </c>
      <c r="H10" s="94">
        <f>+'LGA-924.287'!$F$7</f>
        <v>4872000</v>
      </c>
      <c r="I10" s="27">
        <f>+'LGA-924.287'!$F$8</f>
        <v>3997350</v>
      </c>
      <c r="J10" s="27"/>
      <c r="K10" s="26">
        <f>+'LGA-924.287'!$G$9</f>
        <v>-0.17952586206896551</v>
      </c>
      <c r="L10" s="11" t="str">
        <f>+'LGA-924.287'!$F$11</f>
        <v>GOOD</v>
      </c>
      <c r="M10" s="62">
        <f>+'LGA-924.287'!$H$12</f>
        <v>5</v>
      </c>
      <c r="N10" s="35" t="s">
        <v>93</v>
      </c>
      <c r="O10" s="15">
        <v>4</v>
      </c>
      <c r="P10" s="35" t="s">
        <v>458</v>
      </c>
      <c r="Q10" s="15"/>
      <c r="R10" s="24"/>
      <c r="S10" s="62" t="str">
        <f>+'LGA-924.287'!$J$4</f>
        <v>Joe Lucin</v>
      </c>
      <c r="T10" s="15"/>
      <c r="U10" s="15"/>
      <c r="V10" s="54">
        <f t="shared" si="0"/>
        <v>4872000</v>
      </c>
      <c r="W10" s="54">
        <f t="shared" si="0"/>
        <v>3997350</v>
      </c>
      <c r="X10" s="54">
        <f>+V10-W10</f>
        <v>874650</v>
      </c>
    </row>
    <row r="11" spans="3:24" x14ac:dyDescent="0.25">
      <c r="C11" s="39">
        <v>2017</v>
      </c>
      <c r="D11" s="102" t="str">
        <f>+'EWR-154.263'!$F$4</f>
        <v>EWR-154.263</v>
      </c>
      <c r="E11" s="63" t="str">
        <f>+'EWR-154.263'!$F$5</f>
        <v>Terminal B Satellite B2 Sterile Corridor Glass Door Replacement</v>
      </c>
      <c r="F11" s="64">
        <f>+'EWR-154.263'!$F$6</f>
        <v>43074</v>
      </c>
      <c r="G11" s="65" t="str">
        <f>+'EWR-154.263'!$G$7</f>
        <v>Public</v>
      </c>
      <c r="H11" s="94">
        <f>+'EWR-154.263'!$F$7</f>
        <v>1530000</v>
      </c>
      <c r="I11" s="27">
        <f>+'EWR-154.263'!$F$8</f>
        <v>1189000</v>
      </c>
      <c r="J11" s="27"/>
      <c r="K11" s="26">
        <f>+'EWR-154.263'!$G$9</f>
        <v>-0.22287581699346407</v>
      </c>
      <c r="L11" s="11" t="str">
        <f>+'EWR-154.263'!$F$11</f>
        <v>GOOD</v>
      </c>
      <c r="M11" s="62">
        <f>+'EWR-154.263'!$H$12</f>
        <v>3</v>
      </c>
      <c r="N11" s="35" t="s">
        <v>25</v>
      </c>
      <c r="O11" s="15">
        <v>4</v>
      </c>
      <c r="P11" s="35" t="s">
        <v>458</v>
      </c>
      <c r="Q11" s="15"/>
      <c r="R11" s="24"/>
      <c r="S11" s="62" t="str">
        <f>+'EWR-154.263'!$J$4</f>
        <v>Henry Yu</v>
      </c>
      <c r="T11" s="15"/>
      <c r="U11" s="15"/>
      <c r="V11" s="54">
        <f t="shared" ref="V11:W23" si="1">+H11</f>
        <v>1530000</v>
      </c>
      <c r="W11" s="54">
        <f t="shared" si="1"/>
        <v>1189000</v>
      </c>
      <c r="X11" s="54">
        <f t="shared" ref="X11:X23" si="2">+V11-W11</f>
        <v>341000</v>
      </c>
    </row>
    <row r="12" spans="3:24" x14ac:dyDescent="0.25">
      <c r="C12" s="39">
        <v>2017</v>
      </c>
      <c r="D12" s="102" t="str">
        <f>+'JFK-144.023'!$F$4</f>
        <v>JFK-144.023</v>
      </c>
      <c r="E12" s="63" t="str">
        <f>+'JFK-144.023'!$F$5</f>
        <v>AOA Light Circuit Replacement</v>
      </c>
      <c r="F12" s="64">
        <f>+'JFK-144.023'!$F$6</f>
        <v>43074</v>
      </c>
      <c r="G12" s="65" t="str">
        <f>+'JFK-144.023'!$G$7</f>
        <v>Public</v>
      </c>
      <c r="H12" s="94">
        <f>+'JFK-144.023'!$F$7</f>
        <v>38000000</v>
      </c>
      <c r="I12" s="27">
        <f>+'JFK-144.023'!$F$8</f>
        <v>28470000</v>
      </c>
      <c r="J12" s="104" t="s">
        <v>519</v>
      </c>
      <c r="K12" s="26">
        <f>+'JFK-144.023'!$G$9</f>
        <v>-0.25078947368421051</v>
      </c>
      <c r="L12" s="11" t="str">
        <f>+'JFK-144.023'!$F$11</f>
        <v>GOOD</v>
      </c>
      <c r="M12" s="62">
        <f>+'JFK-144.023'!$H$12</f>
        <v>4</v>
      </c>
      <c r="N12" s="35" t="s">
        <v>93</v>
      </c>
      <c r="O12" s="15">
        <v>4</v>
      </c>
      <c r="P12" s="35" t="s">
        <v>458</v>
      </c>
      <c r="Q12" s="15"/>
      <c r="R12" s="24"/>
      <c r="S12" s="62" t="str">
        <f>+'JFK-144.023'!$J$4</f>
        <v>Henry Yu</v>
      </c>
      <c r="T12" s="15"/>
      <c r="U12" s="15"/>
      <c r="V12" s="54">
        <f t="shared" si="1"/>
        <v>38000000</v>
      </c>
      <c r="W12" s="54">
        <f t="shared" si="1"/>
        <v>28470000</v>
      </c>
      <c r="X12" s="54">
        <f t="shared" si="2"/>
        <v>9530000</v>
      </c>
    </row>
    <row r="13" spans="3:24" x14ac:dyDescent="0.25">
      <c r="C13" s="39">
        <v>2017</v>
      </c>
      <c r="D13" s="102" t="str">
        <f>+'EWR-154.235'!$F$4</f>
        <v>EWR-154.235</v>
      </c>
      <c r="E13" s="63" t="str">
        <f>+'EWR-154.235'!$F$5</f>
        <v>Rehab CTA Entrance and Bridges N1, N2, N5, N6</v>
      </c>
      <c r="F13" s="64">
        <f>+'EWR-154.235'!$F$6</f>
        <v>43068</v>
      </c>
      <c r="G13" s="65" t="str">
        <f>+'EWR-154.235'!$G$7</f>
        <v>Public</v>
      </c>
      <c r="H13" s="94">
        <f>+'EWR-154.235'!$F$7</f>
        <v>6600000</v>
      </c>
      <c r="I13" s="27">
        <f>+'EWR-154.235'!$F$8</f>
        <v>5189333</v>
      </c>
      <c r="J13" s="94" t="s">
        <v>519</v>
      </c>
      <c r="K13" s="26">
        <f>+'EWR-154.235'!$G$9</f>
        <v>-0.21373742424242423</v>
      </c>
      <c r="L13" s="11" t="str">
        <f>+'EWR-154.235'!$F$11</f>
        <v>GOOD</v>
      </c>
      <c r="M13" s="62">
        <f>+'EWR-154.235'!$H$12</f>
        <v>7</v>
      </c>
      <c r="N13" s="35" t="s">
        <v>25</v>
      </c>
      <c r="O13" s="15">
        <v>4</v>
      </c>
      <c r="P13" s="35" t="s">
        <v>458</v>
      </c>
      <c r="Q13" s="15"/>
      <c r="R13" s="24"/>
      <c r="S13" s="62" t="str">
        <f>+'EWR-154.235'!$J$4</f>
        <v>Henry Yu</v>
      </c>
      <c r="T13" s="15"/>
      <c r="U13" s="15"/>
      <c r="V13" s="54">
        <f t="shared" si="1"/>
        <v>6600000</v>
      </c>
      <c r="W13" s="54">
        <f t="shared" si="1"/>
        <v>5189333</v>
      </c>
      <c r="X13" s="54">
        <f t="shared" si="2"/>
        <v>1410667</v>
      </c>
    </row>
    <row r="14" spans="3:24" x14ac:dyDescent="0.25">
      <c r="C14" s="39">
        <v>2017</v>
      </c>
      <c r="D14" s="102" t="str">
        <f>+'LT-234.193'!$F$4</f>
        <v>LT-234.193</v>
      </c>
      <c r="E14" s="63" t="str">
        <f>+'LT-234.193'!$F$5</f>
        <v>Latent Salt Damage Repairs</v>
      </c>
      <c r="F14" s="64">
        <f>+'LT-234.193'!$F$6</f>
        <v>43054</v>
      </c>
      <c r="G14" s="65" t="str">
        <f>+'LT-234.193'!$G$7</f>
        <v>Public</v>
      </c>
      <c r="H14" s="94">
        <f>+'LT-234.193'!$F$7</f>
        <v>1350000</v>
      </c>
      <c r="I14" s="27">
        <f>+'LT-234.193'!$F$8</f>
        <v>2629000</v>
      </c>
      <c r="J14" s="27"/>
      <c r="K14" s="26">
        <f>+'LT-234.193'!$G$9</f>
        <v>0.94740740740740736</v>
      </c>
      <c r="L14" s="11" t="str">
        <f>+'LT-234.193'!$F$11</f>
        <v>FAIL</v>
      </c>
      <c r="M14" s="62">
        <f>+'LT-234.193'!$H$12</f>
        <v>1</v>
      </c>
      <c r="N14" s="35" t="s">
        <v>226</v>
      </c>
      <c r="O14" s="15">
        <v>4</v>
      </c>
      <c r="P14" s="35" t="s">
        <v>457</v>
      </c>
      <c r="Q14" s="15"/>
      <c r="R14" s="24" t="s">
        <v>782</v>
      </c>
      <c r="S14" s="62" t="str">
        <f>+'LT-234.193'!$J$4</f>
        <v>Joe Lucin</v>
      </c>
      <c r="T14" s="15"/>
      <c r="U14" s="15"/>
      <c r="V14" s="54">
        <f t="shared" si="1"/>
        <v>1350000</v>
      </c>
      <c r="W14" s="54">
        <f t="shared" si="1"/>
        <v>2629000</v>
      </c>
      <c r="X14" s="54">
        <f t="shared" si="2"/>
        <v>-1279000</v>
      </c>
    </row>
    <row r="15" spans="3:24" x14ac:dyDescent="0.25">
      <c r="C15" s="39">
        <v>2017</v>
      </c>
      <c r="D15" s="102" t="str">
        <f>+'BT-254.085'!$F$4</f>
        <v>BT-254.085</v>
      </c>
      <c r="E15" s="63" t="str">
        <f>+'BT-254.085'!$F$5</f>
        <v>Internal Structural Enhancements (Column Hardening)</v>
      </c>
      <c r="F15" s="64">
        <f>+'BT-254.085'!$F$6</f>
        <v>43053</v>
      </c>
      <c r="G15" s="65" t="str">
        <f>+'BT-254.085'!$G$7</f>
        <v>VVP</v>
      </c>
      <c r="H15" s="94">
        <f>+'BT-254.085'!$F$7</f>
        <v>17250000</v>
      </c>
      <c r="I15" s="27">
        <f>+'BT-254.085'!$F$8</f>
        <v>22616488</v>
      </c>
      <c r="J15" s="104" t="s">
        <v>519</v>
      </c>
      <c r="K15" s="26">
        <f>+'BT-254.085'!$G$9</f>
        <v>0.3111007536231884</v>
      </c>
      <c r="L15" s="11" t="str">
        <f>+'BT-254.085'!$F$11</f>
        <v>FAIL</v>
      </c>
      <c r="M15" s="62">
        <f>+'BT-254.085'!$H$12</f>
        <v>4</v>
      </c>
      <c r="N15" s="35" t="s">
        <v>93</v>
      </c>
      <c r="O15" s="15">
        <v>4</v>
      </c>
      <c r="P15" s="35" t="s">
        <v>457</v>
      </c>
      <c r="Q15" s="15"/>
      <c r="R15" s="24"/>
      <c r="S15" s="62" t="str">
        <f>+'BT-254.085'!$J$4</f>
        <v>Nathan Demaisip</v>
      </c>
      <c r="T15" s="15"/>
      <c r="U15" s="15"/>
      <c r="V15" s="54">
        <f t="shared" si="1"/>
        <v>17250000</v>
      </c>
      <c r="W15" s="54">
        <f t="shared" si="1"/>
        <v>22616488</v>
      </c>
      <c r="X15" s="54">
        <f t="shared" si="2"/>
        <v>-5366488</v>
      </c>
    </row>
    <row r="16" spans="3:24" x14ac:dyDescent="0.25">
      <c r="C16" s="39">
        <v>2017</v>
      </c>
      <c r="D16" s="62" t="str">
        <f>+'EWR-154.247'!$F$4</f>
        <v>EWR-154.247</v>
      </c>
      <c r="E16" s="63" t="str">
        <f>+'EWR-154.247'!$F$5</f>
        <v>Terminal B Automated Passport System Kiosks</v>
      </c>
      <c r="F16" s="64">
        <f>+'EWR-154.247'!$F$6</f>
        <v>43053</v>
      </c>
      <c r="G16" s="65" t="str">
        <f>+'EWR-154.247'!$G$7</f>
        <v>MWBE</v>
      </c>
      <c r="H16" s="94">
        <f>+'EWR-154.247'!$F$7</f>
        <v>820000</v>
      </c>
      <c r="I16" s="27">
        <f>+'EWR-154.247'!$F$8</f>
        <v>861500</v>
      </c>
      <c r="J16" s="27"/>
      <c r="K16" s="26">
        <f>+'EWR-154.247'!$G$9</f>
        <v>5.0609756097560979E-2</v>
      </c>
      <c r="L16" s="11" t="str">
        <f>+'EWR-154.247'!$F$11</f>
        <v>GOOD</v>
      </c>
      <c r="M16" s="62">
        <f>+'EWR-154.247'!$H$12</f>
        <v>4</v>
      </c>
      <c r="N16" s="35" t="s">
        <v>25</v>
      </c>
      <c r="O16" s="15">
        <v>4</v>
      </c>
      <c r="P16" s="35" t="s">
        <v>458</v>
      </c>
      <c r="Q16" s="15"/>
      <c r="R16" s="24"/>
      <c r="S16" s="62" t="str">
        <f>+'EWR-154.247'!$J$4</f>
        <v>Henry Yu</v>
      </c>
      <c r="T16" s="15"/>
      <c r="U16" s="15"/>
      <c r="V16" s="54">
        <f t="shared" si="1"/>
        <v>820000</v>
      </c>
      <c r="W16" s="54">
        <f t="shared" si="1"/>
        <v>861500</v>
      </c>
      <c r="X16" s="54">
        <f t="shared" si="2"/>
        <v>-41500</v>
      </c>
    </row>
    <row r="17" spans="3:24" x14ac:dyDescent="0.25">
      <c r="C17" s="39">
        <v>2017</v>
      </c>
      <c r="D17" s="62" t="str">
        <f>+'PJ-654.502'!$F$4</f>
        <v>PJ-654.502</v>
      </c>
      <c r="E17" s="63" t="str">
        <f>+'PJ-654.502'!$F$5</f>
        <v>Greenville Yard phase 2</v>
      </c>
      <c r="F17" s="64">
        <f>+'PJ-654.502'!$F$6</f>
        <v>43048</v>
      </c>
      <c r="G17" s="65" t="str">
        <f>+'PJ-654.502'!$G$7</f>
        <v>Public</v>
      </c>
      <c r="H17" s="94">
        <f>+'PJ-654.502'!$F$7</f>
        <v>4860000</v>
      </c>
      <c r="I17" s="27">
        <f>+'PJ-654.502'!$F$8</f>
        <v>3418000</v>
      </c>
      <c r="J17" s="27"/>
      <c r="K17" s="26">
        <f>+'PJ-654.502'!$G$9</f>
        <v>-0.29670781893004117</v>
      </c>
      <c r="L17" s="11" t="str">
        <f>+'PJ-654.502'!$F$11</f>
        <v>GOOD</v>
      </c>
      <c r="M17" s="62">
        <f>+'PJ-654.502'!$H$12</f>
        <v>8</v>
      </c>
      <c r="N17" s="35" t="s">
        <v>25</v>
      </c>
      <c r="O17" s="15">
        <v>4</v>
      </c>
      <c r="P17" s="35" t="s">
        <v>492</v>
      </c>
      <c r="Q17" s="15"/>
      <c r="R17" s="24"/>
      <c r="S17" s="62" t="str">
        <f>+'PJ-654.502'!$J$4</f>
        <v>Ed Minall</v>
      </c>
      <c r="T17" s="15"/>
      <c r="U17" s="15"/>
      <c r="V17" s="54">
        <f t="shared" si="1"/>
        <v>4860000</v>
      </c>
      <c r="W17" s="54">
        <f t="shared" si="1"/>
        <v>3418000</v>
      </c>
      <c r="X17" s="54">
        <f t="shared" si="2"/>
        <v>1442000</v>
      </c>
    </row>
    <row r="18" spans="3:24" x14ac:dyDescent="0.25">
      <c r="C18" s="39">
        <v>2017</v>
      </c>
      <c r="D18" s="62" t="str">
        <f>+'EWR-154.383'!$F$4</f>
        <v>EWR-154.383</v>
      </c>
      <c r="E18" s="63" t="str">
        <f>+'EWR-154.383'!$F$5</f>
        <v>Terminal A Redev - Airside Paving and Utilities South phase 1</v>
      </c>
      <c r="F18" s="64">
        <f>+'EWR-154.383'!$F$6</f>
        <v>43047</v>
      </c>
      <c r="G18" s="65" t="str">
        <f>+'EWR-154.383'!$G$7</f>
        <v>PQL</v>
      </c>
      <c r="H18" s="94">
        <f>+'EWR-154.383'!$F$7</f>
        <v>26900000</v>
      </c>
      <c r="I18" s="27">
        <f>+'EWR-154.383'!$F$8</f>
        <v>26600000</v>
      </c>
      <c r="J18" s="27" t="s">
        <v>519</v>
      </c>
      <c r="K18" s="26">
        <f>+'EWR-154.383'!$G$9</f>
        <v>-1.1152416356877323E-2</v>
      </c>
      <c r="L18" s="11" t="str">
        <f>+'EWR-154.383'!$F$11</f>
        <v>GOOD</v>
      </c>
      <c r="M18" s="62">
        <f>+'EWR-154.383'!$H$12</f>
        <v>3</v>
      </c>
      <c r="N18" s="35" t="s">
        <v>25</v>
      </c>
      <c r="O18" s="15">
        <v>4</v>
      </c>
      <c r="P18" s="35" t="s">
        <v>458</v>
      </c>
      <c r="Q18" s="15"/>
      <c r="R18" s="24"/>
      <c r="S18" s="62" t="str">
        <f>+'EWR-154.383'!$J$4</f>
        <v>Henry Yu</v>
      </c>
      <c r="T18" s="15"/>
      <c r="U18" s="15"/>
      <c r="V18" s="54">
        <f t="shared" si="1"/>
        <v>26900000</v>
      </c>
      <c r="W18" s="54">
        <f t="shared" si="1"/>
        <v>26600000</v>
      </c>
      <c r="X18" s="54">
        <f t="shared" si="2"/>
        <v>300000</v>
      </c>
    </row>
    <row r="19" spans="3:24" x14ac:dyDescent="0.25">
      <c r="C19" s="39">
        <v>2017</v>
      </c>
      <c r="D19" s="62" t="str">
        <f>+'LT-234.194'!$F$4</f>
        <v>LT-234.194</v>
      </c>
      <c r="E19" s="63" t="str">
        <f>+'LT-234.194'!$F$5</f>
        <v>Flood Protection for Ventilation Bldgs and Emergency Generators</v>
      </c>
      <c r="F19" s="64">
        <f>+'LT-234.194'!$F$6</f>
        <v>43047</v>
      </c>
      <c r="G19" s="65" t="str">
        <f>+'LT-234.194'!$G$7</f>
        <v>Public</v>
      </c>
      <c r="H19" s="94">
        <f>+'LT-234.194'!$F$7</f>
        <v>1650000</v>
      </c>
      <c r="I19" s="27">
        <f>+'LT-234.194'!$F$8</f>
        <v>2278990</v>
      </c>
      <c r="J19" s="27"/>
      <c r="K19" s="26">
        <f>+'LT-234.194'!$G$9</f>
        <v>0.3812060606060606</v>
      </c>
      <c r="L19" s="11" t="str">
        <f>+'LT-234.194'!$F$11</f>
        <v>FAIL</v>
      </c>
      <c r="M19" s="62">
        <f>+'LT-234.194'!$H$12</f>
        <v>5</v>
      </c>
      <c r="N19" s="35" t="s">
        <v>226</v>
      </c>
      <c r="O19" s="15">
        <v>4</v>
      </c>
      <c r="P19" s="35" t="s">
        <v>457</v>
      </c>
      <c r="Q19" s="15"/>
      <c r="R19" s="24"/>
      <c r="S19" s="62" t="str">
        <f>+'LT-234.194'!$J$4</f>
        <v>Joe Lucin</v>
      </c>
      <c r="T19" s="15"/>
      <c r="U19" s="15"/>
      <c r="V19" s="54">
        <f t="shared" si="1"/>
        <v>1650000</v>
      </c>
      <c r="W19" s="54">
        <f t="shared" si="1"/>
        <v>2278990</v>
      </c>
      <c r="X19" s="54">
        <f t="shared" si="2"/>
        <v>-628990</v>
      </c>
    </row>
    <row r="20" spans="3:24" x14ac:dyDescent="0.25">
      <c r="C20" s="39">
        <v>2017</v>
      </c>
      <c r="D20" s="62" t="str">
        <f>+'PAT-534.316A'!$F$4</f>
        <v>PAT-534.316A</v>
      </c>
      <c r="E20" s="63" t="str">
        <f>+'PAT-534.316A'!$F$5</f>
        <v>JSQ Transportation Center - Hardening Phase 2</v>
      </c>
      <c r="F20" s="64">
        <f>+'PAT-534.316A'!$F$6</f>
        <v>43034</v>
      </c>
      <c r="G20" s="65" t="str">
        <f>+'PAT-534.316A'!$G$7</f>
        <v>VVP</v>
      </c>
      <c r="H20" s="94">
        <f>+'PAT-534.316A'!$F$7</f>
        <v>2194000</v>
      </c>
      <c r="I20" s="27">
        <f>+'PAT-534.316A'!$F$8</f>
        <v>1361078</v>
      </c>
      <c r="J20" s="27"/>
      <c r="K20" s="26">
        <f>+'PAT-534.316A'!$G$9</f>
        <v>-0.3796362807657247</v>
      </c>
      <c r="L20" s="11" t="str">
        <f>+'PAT-534.316A'!$F$11</f>
        <v>FAIL</v>
      </c>
      <c r="M20" s="62">
        <f>+'PAT-534.316A'!$H$12</f>
        <v>6</v>
      </c>
      <c r="N20" s="35" t="s">
        <v>25</v>
      </c>
      <c r="O20" s="15">
        <v>4</v>
      </c>
      <c r="P20" s="35" t="s">
        <v>459</v>
      </c>
      <c r="Q20" s="15"/>
      <c r="R20" s="24"/>
      <c r="S20" s="62" t="str">
        <f>+'PAT-534.316A'!$J$4</f>
        <v>Nathan Demaisip</v>
      </c>
      <c r="T20" s="15"/>
      <c r="U20" s="15"/>
      <c r="V20" s="54">
        <f t="shared" si="1"/>
        <v>2194000</v>
      </c>
      <c r="W20" s="54">
        <f t="shared" si="1"/>
        <v>1361078</v>
      </c>
      <c r="X20" s="54">
        <f t="shared" si="2"/>
        <v>832922</v>
      </c>
    </row>
    <row r="21" spans="3:24" x14ac:dyDescent="0.25">
      <c r="C21" s="39">
        <v>2017</v>
      </c>
      <c r="D21" s="62" t="str">
        <f>+'JFK-154.021'!$F$4</f>
        <v>JFK-154.021</v>
      </c>
      <c r="E21" s="63" t="str">
        <f>+'JFK-154.021'!$F$5</f>
        <v>Airside Switchgear Replacement</v>
      </c>
      <c r="F21" s="64">
        <f>+'JFK-154.021'!$F$6</f>
        <v>43025</v>
      </c>
      <c r="G21" s="65" t="str">
        <f>+'JFK-154.021'!$G$7</f>
        <v>Public</v>
      </c>
      <c r="H21" s="94">
        <f>+'JFK-154.021'!$F$7</f>
        <v>2800000</v>
      </c>
      <c r="I21" s="27">
        <f>+'JFK-154.021'!$F$8</f>
        <v>2847000</v>
      </c>
      <c r="J21" s="27"/>
      <c r="K21" s="26">
        <f>+'JFK-154.021'!$G$9</f>
        <v>1.6785714285714286E-2</v>
      </c>
      <c r="L21" s="11" t="str">
        <f>+'JFK-154.021'!$F$11</f>
        <v>GOOD</v>
      </c>
      <c r="M21" s="62">
        <f>+'JFK-154.021'!$H$12</f>
        <v>9</v>
      </c>
      <c r="N21" s="35" t="s">
        <v>93</v>
      </c>
      <c r="O21" s="15">
        <v>4</v>
      </c>
      <c r="P21" s="35" t="s">
        <v>458</v>
      </c>
      <c r="Q21" s="15"/>
      <c r="R21" s="24"/>
      <c r="S21" s="62" t="str">
        <f>+'JFK-154.021'!$J$4</f>
        <v>Henry Yu</v>
      </c>
      <c r="T21" s="15"/>
      <c r="U21" s="15"/>
      <c r="V21" s="54">
        <f t="shared" si="1"/>
        <v>2800000</v>
      </c>
      <c r="W21" s="54">
        <f t="shared" si="1"/>
        <v>2847000</v>
      </c>
      <c r="X21" s="54">
        <f t="shared" si="2"/>
        <v>-47000</v>
      </c>
    </row>
    <row r="22" spans="3:24" x14ac:dyDescent="0.25">
      <c r="C22" s="39">
        <v>2017</v>
      </c>
      <c r="D22" s="62" t="str">
        <f>+'EWR-154.254'!$F$4</f>
        <v>EWR-154.254</v>
      </c>
      <c r="E22" s="63" t="str">
        <f>+'EWR-154.254'!$F$5</f>
        <v>Rehab of Terminal Frontage Bridges - Ph1 - Bridge N18, N20 Pier Caps</v>
      </c>
      <c r="F22" s="64">
        <f>+'EWR-154.254'!$F$6</f>
        <v>43025</v>
      </c>
      <c r="G22" s="65" t="str">
        <f>+'EWR-154.254'!$G$7</f>
        <v>Public</v>
      </c>
      <c r="H22" s="94">
        <f>+'EWR-154.254'!$F$7</f>
        <v>3000000</v>
      </c>
      <c r="I22" s="27">
        <f>+'EWR-154.254'!$F$8</f>
        <v>2812500</v>
      </c>
      <c r="J22" s="27"/>
      <c r="K22" s="26">
        <f>+'EWR-154.254'!$G$9</f>
        <v>-6.25E-2</v>
      </c>
      <c r="L22" s="11" t="str">
        <f>+'EWR-154.254'!$F$11</f>
        <v>GOOD</v>
      </c>
      <c r="M22" s="62">
        <f>+'EWR-154.254'!$H$12</f>
        <v>2</v>
      </c>
      <c r="N22" s="35" t="s">
        <v>25</v>
      </c>
      <c r="O22" s="15">
        <v>4</v>
      </c>
      <c r="P22" s="35" t="s">
        <v>458</v>
      </c>
      <c r="Q22" s="15"/>
      <c r="R22" s="24"/>
      <c r="S22" s="62" t="str">
        <f>+'EWR-154.254'!$J$4</f>
        <v>Henry Yu</v>
      </c>
      <c r="T22" s="15"/>
      <c r="U22" s="15"/>
      <c r="V22" s="54">
        <f t="shared" si="1"/>
        <v>3000000</v>
      </c>
      <c r="W22" s="54">
        <f t="shared" si="1"/>
        <v>2812500</v>
      </c>
      <c r="X22" s="54">
        <f t="shared" si="2"/>
        <v>187500</v>
      </c>
    </row>
    <row r="23" spans="3:24" x14ac:dyDescent="0.25">
      <c r="C23" s="39">
        <v>2017</v>
      </c>
      <c r="D23" s="62" t="str">
        <f>+'EWR-924.384'!$F$4</f>
        <v>EWR-924.384</v>
      </c>
      <c r="E23" s="63" t="str">
        <f>+'EWR-924.384'!$F$5</f>
        <v>Bus Canopy B1, C1 and Gas Island Improvements and Roofing</v>
      </c>
      <c r="F23" s="64">
        <f>+'EWR-924.384'!$F$6</f>
        <v>43013</v>
      </c>
      <c r="G23" s="65" t="str">
        <f>+'EWR-924.384'!$G$7</f>
        <v>Public</v>
      </c>
      <c r="H23" s="94">
        <f>+'EWR-924.384'!$F$7</f>
        <v>970000</v>
      </c>
      <c r="I23" s="27">
        <f>+'EWR-924.384'!$F$8</f>
        <v>1285000</v>
      </c>
      <c r="J23" s="27"/>
      <c r="K23" s="26">
        <f>+'EWR-924.384'!$G$9</f>
        <v>0.32474226804123713</v>
      </c>
      <c r="L23" s="11" t="str">
        <f>+'EWR-924.384'!$F$11</f>
        <v>FAIL</v>
      </c>
      <c r="M23" s="62">
        <f>+'EWR-924.384'!$H$12</f>
        <v>6</v>
      </c>
      <c r="N23" s="35" t="s">
        <v>25</v>
      </c>
      <c r="O23" s="15">
        <v>4</v>
      </c>
      <c r="P23" s="35" t="s">
        <v>458</v>
      </c>
      <c r="Q23" s="15"/>
      <c r="R23" s="24"/>
      <c r="S23" s="62" t="str">
        <f>+'EWR-924.384'!$J$4</f>
        <v>Henry Yu</v>
      </c>
      <c r="T23" s="15"/>
      <c r="U23" s="15"/>
      <c r="V23" s="54">
        <f t="shared" si="1"/>
        <v>970000</v>
      </c>
      <c r="W23" s="54">
        <f t="shared" si="1"/>
        <v>1285000</v>
      </c>
      <c r="X23" s="54">
        <f t="shared" si="2"/>
        <v>-315000</v>
      </c>
    </row>
    <row r="24" spans="3:24" ht="7.5" customHeight="1" x14ac:dyDescent="0.25">
      <c r="C24" s="39"/>
      <c r="G24" s="45"/>
      <c r="M24" s="52"/>
      <c r="P24" s="11"/>
      <c r="S24" s="15"/>
      <c r="V24" s="54"/>
      <c r="W24" s="54"/>
      <c r="X24" s="54"/>
    </row>
    <row r="25" spans="3:24" x14ac:dyDescent="0.25">
      <c r="C25" s="39">
        <v>2017</v>
      </c>
      <c r="D25" s="62" t="str">
        <f>+'HT-924.144'!$F$4</f>
        <v>HT-924.144</v>
      </c>
      <c r="E25" s="63" t="str">
        <f>+'HT-924.144'!$F$5</f>
        <v>Heat Tracing and Insulation in Discharge Pipes, N&amp;S Tubes</v>
      </c>
      <c r="F25" s="64">
        <f>+'HT-924.144'!$F$6</f>
        <v>43006</v>
      </c>
      <c r="G25" s="65" t="str">
        <f>+'HT-924.144'!$G$7</f>
        <v>MWBE</v>
      </c>
      <c r="H25" s="94">
        <f>+'HT-924.144'!$F$7</f>
        <v>609000</v>
      </c>
      <c r="I25" s="27">
        <f>+'HT-924.144'!$F$8</f>
        <v>579300</v>
      </c>
      <c r="J25" s="27"/>
      <c r="K25" s="26">
        <f>+'HT-924.144'!$G$9</f>
        <v>-4.8768472906403938E-2</v>
      </c>
      <c r="L25" s="11" t="str">
        <f>+'HT-924.144'!$F$11</f>
        <v>GOOD</v>
      </c>
      <c r="M25" s="62">
        <f>+'HT-924.144'!$H$12</f>
        <v>4</v>
      </c>
      <c r="N25" s="35" t="s">
        <v>226</v>
      </c>
      <c r="O25" s="15">
        <v>3</v>
      </c>
      <c r="P25" s="35" t="s">
        <v>457</v>
      </c>
      <c r="Q25" s="15"/>
      <c r="R25" s="24"/>
      <c r="S25" s="62" t="str">
        <f>+'HT-924.144'!$J$4</f>
        <v>Gennadiy Zavolkovskiy</v>
      </c>
      <c r="T25" s="15"/>
      <c r="U25" s="15"/>
      <c r="V25" s="54">
        <f t="shared" ref="V25:W36" si="3">+H25</f>
        <v>609000</v>
      </c>
      <c r="W25" s="54">
        <f t="shared" si="3"/>
        <v>579300</v>
      </c>
      <c r="X25" s="54">
        <f t="shared" ref="X25:X36" si="4">+V25-W25</f>
        <v>29700</v>
      </c>
    </row>
    <row r="26" spans="3:24" x14ac:dyDescent="0.25">
      <c r="C26" s="39">
        <v>2017</v>
      </c>
      <c r="D26" s="62" t="str">
        <f>+'HT-924.106'!$F$4</f>
        <v>HT-924.106</v>
      </c>
      <c r="E26" s="63" t="str">
        <f>+'HT-924.106'!$F$5</f>
        <v>Replace Missing Tiles at Walls and Ceiling</v>
      </c>
      <c r="F26" s="64">
        <f>+'HT-924.106'!$F$6</f>
        <v>43005</v>
      </c>
      <c r="G26" s="65" t="str">
        <f>+'HT-924.106'!$G$7</f>
        <v>Public</v>
      </c>
      <c r="H26" s="94">
        <f>+'HT-924.106'!$F$7</f>
        <v>1250000</v>
      </c>
      <c r="I26" s="27">
        <f>+'HT-924.106'!$F$8</f>
        <v>1068000</v>
      </c>
      <c r="J26" s="27"/>
      <c r="K26" s="26">
        <f>+'HT-924.106'!$G$9</f>
        <v>-0.14560000000000001</v>
      </c>
      <c r="L26" s="11" t="str">
        <f>+'HT-924.106'!$F$11</f>
        <v>GOOD</v>
      </c>
      <c r="M26" s="62">
        <f>+'HT-924.106'!$H$12</f>
        <v>6</v>
      </c>
      <c r="N26" s="35" t="s">
        <v>226</v>
      </c>
      <c r="O26" s="15">
        <v>3</v>
      </c>
      <c r="P26" s="35" t="s">
        <v>457</v>
      </c>
      <c r="Q26" s="15"/>
      <c r="R26" s="24"/>
      <c r="S26" s="62" t="str">
        <f>+'HT-924.106'!$J$4</f>
        <v>Joe Lucin</v>
      </c>
      <c r="T26" s="15"/>
      <c r="U26" s="15"/>
      <c r="V26" s="54">
        <f t="shared" si="3"/>
        <v>1250000</v>
      </c>
      <c r="W26" s="54">
        <f t="shared" si="3"/>
        <v>1068000</v>
      </c>
      <c r="X26" s="54">
        <f t="shared" si="4"/>
        <v>182000</v>
      </c>
    </row>
    <row r="27" spans="3:24" x14ac:dyDescent="0.25">
      <c r="C27" s="39">
        <v>2017</v>
      </c>
      <c r="D27" s="62" t="str">
        <f>+'GWB-244.042'!$F$4</f>
        <v>GWB-244.042</v>
      </c>
      <c r="E27" s="63" t="str">
        <f>+'GWB-244.042'!$F$5</f>
        <v>Replacement of 178/179 St Ramps, Bus Ramps and Bus Turnaround</v>
      </c>
      <c r="F27" s="64">
        <f>+'GWB-244.042'!$F$6</f>
        <v>43004</v>
      </c>
      <c r="G27" s="65" t="str">
        <f>+'GWB-244.042'!$G$7</f>
        <v>PQL</v>
      </c>
      <c r="H27" s="94">
        <f>+'GWB-244.042'!$F$7</f>
        <v>189900000</v>
      </c>
      <c r="I27" s="27">
        <f>+'GWB-244.042'!$F$8</f>
        <v>154487000</v>
      </c>
      <c r="J27" s="27" t="s">
        <v>519</v>
      </c>
      <c r="K27" s="26">
        <f>+'GWB-244.042'!$G$9</f>
        <v>-0.18648235913638758</v>
      </c>
      <c r="L27" s="11" t="str">
        <f>+'GWB-244.042'!$F$11</f>
        <v>GOOD</v>
      </c>
      <c r="M27" s="62">
        <f>+'GWB-244.042'!$H$12</f>
        <v>5</v>
      </c>
      <c r="N27" s="35" t="s">
        <v>93</v>
      </c>
      <c r="O27" s="15">
        <v>3</v>
      </c>
      <c r="P27" s="35" t="s">
        <v>457</v>
      </c>
      <c r="Q27" s="15"/>
      <c r="R27" s="24"/>
      <c r="S27" s="62" t="str">
        <f>+'GWB-244.042'!$J$4</f>
        <v>Ed Minall</v>
      </c>
      <c r="T27" s="15"/>
      <c r="U27" s="15"/>
      <c r="V27" s="54">
        <f t="shared" si="3"/>
        <v>189900000</v>
      </c>
      <c r="W27" s="54">
        <f t="shared" si="3"/>
        <v>154487000</v>
      </c>
      <c r="X27" s="54">
        <f t="shared" si="4"/>
        <v>35413000</v>
      </c>
    </row>
    <row r="28" spans="3:24" x14ac:dyDescent="0.25">
      <c r="C28" s="39">
        <v>2017</v>
      </c>
      <c r="D28" s="62" t="str">
        <f>+'BP-694.510'!$F$4</f>
        <v>BP-694.510</v>
      </c>
      <c r="E28" s="63" t="str">
        <f>+'BP-694.510'!$F$5</f>
        <v>Brooklyn Pier 10 Concrete Girder Repairs</v>
      </c>
      <c r="F28" s="64">
        <f>+'BP-694.510'!$F$6</f>
        <v>42999</v>
      </c>
      <c r="G28" s="65" t="str">
        <f>+'BP-694.510'!$G$7</f>
        <v>Public</v>
      </c>
      <c r="H28" s="94">
        <f>+'BP-694.510'!$F$7</f>
        <v>1250000</v>
      </c>
      <c r="I28" s="27">
        <f>+'BP-694.510'!$F$8</f>
        <v>876947</v>
      </c>
      <c r="J28" s="27"/>
      <c r="K28" s="26">
        <f>+'BP-694.510'!$G$9</f>
        <v>-0.2984424</v>
      </c>
      <c r="L28" s="11" t="str">
        <f>+'BP-694.510'!$F$11</f>
        <v>GOOD</v>
      </c>
      <c r="M28" s="62">
        <f>+'BP-694.510'!$H$12</f>
        <v>13</v>
      </c>
      <c r="N28" s="35" t="s">
        <v>93</v>
      </c>
      <c r="O28" s="15">
        <v>3</v>
      </c>
      <c r="P28" s="35" t="s">
        <v>492</v>
      </c>
      <c r="Q28" s="15"/>
      <c r="R28" s="24"/>
      <c r="S28" s="62" t="str">
        <f>+'BP-694.510'!$J$4</f>
        <v>Ed Minall</v>
      </c>
      <c r="T28" s="15"/>
      <c r="U28" s="15"/>
      <c r="V28" s="54">
        <f t="shared" si="3"/>
        <v>1250000</v>
      </c>
      <c r="W28" s="54">
        <f t="shared" si="3"/>
        <v>876947</v>
      </c>
      <c r="X28" s="54">
        <f t="shared" si="4"/>
        <v>373053</v>
      </c>
    </row>
    <row r="29" spans="3:24" x14ac:dyDescent="0.25">
      <c r="C29" s="39">
        <v>2017</v>
      </c>
      <c r="D29" s="62" t="str">
        <f>+'MF-924.022'!$F$4</f>
        <v>MF-924.022</v>
      </c>
      <c r="E29" s="63" t="str">
        <f>+'MF-924.022'!$F$5</f>
        <v>LT and GWB - Rock Slope Priority Repairs</v>
      </c>
      <c r="F29" s="64">
        <f>+'MF-924.022'!$F$6</f>
        <v>42997</v>
      </c>
      <c r="G29" s="65" t="str">
        <f>+'MF-924.022'!$G$7</f>
        <v>Public</v>
      </c>
      <c r="H29" s="94">
        <f>+'MF-924.022'!$F$7</f>
        <v>1326000</v>
      </c>
      <c r="I29" s="27">
        <f>+'MF-924.022'!$F$8</f>
        <v>1976491</v>
      </c>
      <c r="J29" s="27"/>
      <c r="K29" s="26">
        <f>+'MF-924.022'!$G$9</f>
        <v>0.49056636500754147</v>
      </c>
      <c r="L29" s="11" t="str">
        <f>+'MF-924.022'!$F$11</f>
        <v>FAIL</v>
      </c>
      <c r="M29" s="62">
        <f>+'MF-924.022'!$H$12</f>
        <v>4</v>
      </c>
      <c r="N29" s="35" t="s">
        <v>25</v>
      </c>
      <c r="O29" s="15">
        <v>3</v>
      </c>
      <c r="P29" s="35" t="s">
        <v>457</v>
      </c>
      <c r="Q29" s="15"/>
      <c r="R29" s="24"/>
      <c r="S29" s="62" t="str">
        <f>+'MF-924.022'!$J$4</f>
        <v>Joe Lucin</v>
      </c>
      <c r="T29" s="15"/>
      <c r="U29" s="15"/>
      <c r="V29" s="54">
        <f t="shared" si="3"/>
        <v>1326000</v>
      </c>
      <c r="W29" s="54">
        <f t="shared" si="3"/>
        <v>1976491</v>
      </c>
      <c r="X29" s="54">
        <f t="shared" si="4"/>
        <v>-650491</v>
      </c>
    </row>
    <row r="30" spans="3:24" x14ac:dyDescent="0.25">
      <c r="C30" s="39">
        <v>2017</v>
      </c>
      <c r="D30" s="62" t="str">
        <f>+'EWR-251'!$F$4</f>
        <v>EWR-251</v>
      </c>
      <c r="E30" s="63" t="str">
        <f>+'EWR-251'!$F$5</f>
        <v>Rehab of Taxiway Z from Runway 11 Edge to UA</v>
      </c>
      <c r="F30" s="64">
        <f>+'EWR-251'!$F$6</f>
        <v>42964</v>
      </c>
      <c r="G30" s="65" t="str">
        <f>+'EWR-251'!$G$7</f>
        <v>PQL</v>
      </c>
      <c r="H30" s="94">
        <f>+'EWR-251'!$F$7</f>
        <v>8500000</v>
      </c>
      <c r="I30" s="27">
        <f>+'EWR-251'!$F$8</f>
        <v>5682000</v>
      </c>
      <c r="J30" s="104" t="s">
        <v>519</v>
      </c>
      <c r="K30" s="26">
        <f>+'EWR-251'!$G$9</f>
        <v>-0.33152941176470591</v>
      </c>
      <c r="L30" s="11" t="str">
        <f>+'EWR-251'!$F$11</f>
        <v>FAIL</v>
      </c>
      <c r="M30" s="62">
        <f>+'EWR-251'!$H$12</f>
        <v>3</v>
      </c>
      <c r="N30" s="35" t="s">
        <v>25</v>
      </c>
      <c r="O30" s="15">
        <v>3</v>
      </c>
      <c r="P30" s="35" t="s">
        <v>458</v>
      </c>
      <c r="Q30" s="15"/>
      <c r="R30" s="24"/>
      <c r="S30" s="62" t="str">
        <f>+'EWR-251'!$J$4</f>
        <v>Henry Yu</v>
      </c>
      <c r="T30" s="15"/>
      <c r="U30" s="15"/>
      <c r="V30" s="54">
        <f t="shared" si="3"/>
        <v>8500000</v>
      </c>
      <c r="W30" s="54">
        <f t="shared" si="3"/>
        <v>5682000</v>
      </c>
      <c r="X30" s="54">
        <f t="shared" si="4"/>
        <v>2818000</v>
      </c>
    </row>
    <row r="31" spans="3:24" x14ac:dyDescent="0.25">
      <c r="C31" s="39">
        <v>2017</v>
      </c>
      <c r="D31" s="62" t="str">
        <f>+'LGA-154.251'!$F$4</f>
        <v>LGA-154.251</v>
      </c>
      <c r="E31" s="63" t="str">
        <f>+'LGA-154.251'!$F$5</f>
        <v>Rehab of Runway Deck Structural Elements phase 3</v>
      </c>
      <c r="F31" s="64">
        <f>+'LGA-154.251'!$F$6</f>
        <v>42951</v>
      </c>
      <c r="G31" s="65" t="str">
        <f>+'LGA-154.251'!$G$7</f>
        <v>Public</v>
      </c>
      <c r="H31" s="94">
        <f>+'LGA-154.251'!$F$7</f>
        <v>6040000</v>
      </c>
      <c r="I31" s="27">
        <f>+'LGA-154.251'!$F$8</f>
        <v>4845475</v>
      </c>
      <c r="J31" s="27" t="s">
        <v>519</v>
      </c>
      <c r="K31" s="26">
        <f>+'LGA-154.251'!$G$9</f>
        <v>-0.19776903973509935</v>
      </c>
      <c r="L31" s="11" t="str">
        <f>+'LGA-154.251'!$F$11</f>
        <v>GOOD</v>
      </c>
      <c r="M31" s="62">
        <f>+'LGA-154.251'!$H$12</f>
        <v>8</v>
      </c>
      <c r="N31" s="35" t="s">
        <v>93</v>
      </c>
      <c r="O31" s="15">
        <v>3</v>
      </c>
      <c r="P31" s="35" t="s">
        <v>458</v>
      </c>
      <c r="Q31" s="15"/>
      <c r="R31" s="24"/>
      <c r="S31" s="62" t="str">
        <f>+'LGA-154.251'!$J$4</f>
        <v>Joe Lucin</v>
      </c>
      <c r="T31" s="15"/>
      <c r="U31" s="15"/>
      <c r="V31" s="54">
        <f t="shared" si="3"/>
        <v>6040000</v>
      </c>
      <c r="W31" s="54">
        <f t="shared" si="3"/>
        <v>4845475</v>
      </c>
      <c r="X31" s="54">
        <f t="shared" si="4"/>
        <v>1194525</v>
      </c>
    </row>
    <row r="32" spans="3:24" x14ac:dyDescent="0.25">
      <c r="C32" s="39">
        <v>2017</v>
      </c>
      <c r="D32" s="62" t="str">
        <f>+'MFP-924.662'!$F$4</f>
        <v>MFP-924.662</v>
      </c>
      <c r="E32" s="63" t="str">
        <f>+'MFP-924.662'!$F$5</f>
        <v>NJ Marine Terminals - Maintenance Dredging via Work Order</v>
      </c>
      <c r="F32" s="64">
        <f>+'MFP-924.662'!$F$6</f>
        <v>42950</v>
      </c>
      <c r="G32" s="65" t="str">
        <f>+'MFP-924.662'!$G$7</f>
        <v>PQL</v>
      </c>
      <c r="H32" s="94">
        <f>+'MFP-924.662'!$F$7</f>
        <v>13720000</v>
      </c>
      <c r="I32" s="27">
        <f>+'MFP-924.662'!$F$8</f>
        <v>11539200</v>
      </c>
      <c r="J32" s="27" t="s">
        <v>519</v>
      </c>
      <c r="K32" s="26">
        <f>+'MFP-924.662'!$G$9</f>
        <v>-0.15895043731778424</v>
      </c>
      <c r="L32" s="11" t="str">
        <f>+'MFP-924.662'!$F$11</f>
        <v>GOOD</v>
      </c>
      <c r="M32" s="62">
        <f>+'MFP-924.662'!$H$12</f>
        <v>4</v>
      </c>
      <c r="N32" s="35" t="s">
        <v>25</v>
      </c>
      <c r="O32" s="15">
        <v>3</v>
      </c>
      <c r="P32" s="35" t="s">
        <v>492</v>
      </c>
      <c r="Q32" s="15"/>
      <c r="R32" s="24"/>
      <c r="S32" s="62" t="str">
        <f>+'MFP-924.662'!$J$4</f>
        <v>Ed Minall</v>
      </c>
      <c r="T32" s="15"/>
      <c r="U32" s="15"/>
      <c r="V32" s="54">
        <f t="shared" si="3"/>
        <v>13720000</v>
      </c>
      <c r="W32" s="54">
        <f t="shared" si="3"/>
        <v>11539200</v>
      </c>
      <c r="X32" s="54">
        <f t="shared" si="4"/>
        <v>2180800</v>
      </c>
    </row>
    <row r="33" spans="3:24" x14ac:dyDescent="0.25">
      <c r="C33" s="39">
        <v>2017</v>
      </c>
      <c r="D33" s="62" t="str">
        <f>+'JFK-1070'!$F$4</f>
        <v>JFK-1070</v>
      </c>
      <c r="E33" s="63" t="str">
        <f>+'JFK-1070'!$F$5</f>
        <v>Landside Asphalt Repairs via Work Ouder</v>
      </c>
      <c r="F33" s="64">
        <f>+'JFK-1070'!$F$6</f>
        <v>42949</v>
      </c>
      <c r="G33" s="65" t="str">
        <f>+'JFK-1070'!$G$7</f>
        <v>Public</v>
      </c>
      <c r="H33" s="94">
        <f>+'JFK-1070'!$F$7</f>
        <v>1650000</v>
      </c>
      <c r="I33" s="27">
        <f>+'JFK-1070'!$F$8</f>
        <v>1320718</v>
      </c>
      <c r="J33" s="27"/>
      <c r="K33" s="26">
        <f>+'JFK-1070'!$G$9</f>
        <v>-0.19956484848484848</v>
      </c>
      <c r="L33" s="11" t="str">
        <f>+'JFK-1070'!$F$11</f>
        <v>GOOD</v>
      </c>
      <c r="M33" s="62">
        <f>+'JFK-1070'!$H$12</f>
        <v>4</v>
      </c>
      <c r="N33" s="35" t="s">
        <v>93</v>
      </c>
      <c r="O33" s="15">
        <v>3</v>
      </c>
      <c r="P33" s="35" t="s">
        <v>458</v>
      </c>
      <c r="Q33" s="15"/>
      <c r="R33" s="24"/>
      <c r="S33" s="62" t="str">
        <f>+'JFK-1070'!$J$4</f>
        <v>Henry Yu</v>
      </c>
      <c r="T33" s="15"/>
      <c r="U33" s="15"/>
      <c r="V33" s="54">
        <f t="shared" si="3"/>
        <v>1650000</v>
      </c>
      <c r="W33" s="54">
        <f t="shared" si="3"/>
        <v>1320718</v>
      </c>
      <c r="X33" s="54">
        <f t="shared" si="4"/>
        <v>329282</v>
      </c>
    </row>
    <row r="34" spans="3:24" x14ac:dyDescent="0.25">
      <c r="C34" s="39">
        <v>2017</v>
      </c>
      <c r="D34" s="62" t="str">
        <f>+'JFK-154.024'!$F$4</f>
        <v>JFK-154.024</v>
      </c>
      <c r="E34" s="63" t="str">
        <f>+'JFK-154.024'!$F$5</f>
        <v>Backflow Prevention &amp; Water Meters Phase 4</v>
      </c>
      <c r="F34" s="64">
        <f>+'JFK-154.024'!$F$6</f>
        <v>42948</v>
      </c>
      <c r="G34" s="65" t="str">
        <f>+'JFK-154.024'!$G$7</f>
        <v>Public</v>
      </c>
      <c r="H34" s="94">
        <f>+'JFK-154.024'!$F$7</f>
        <v>1330000</v>
      </c>
      <c r="I34" s="27">
        <f>+'JFK-154.024'!$F$8</f>
        <v>936000</v>
      </c>
      <c r="J34" s="27"/>
      <c r="K34" s="26">
        <f>+'JFK-154.024'!$G$9</f>
        <v>-0.29624060150375942</v>
      </c>
      <c r="L34" s="11" t="str">
        <f>+'JFK-154.024'!$F$11</f>
        <v>GOOD</v>
      </c>
      <c r="M34" s="62">
        <f>+'JFK-154.024'!$H$12</f>
        <v>6</v>
      </c>
      <c r="N34" s="35" t="s">
        <v>93</v>
      </c>
      <c r="O34" s="15">
        <v>3</v>
      </c>
      <c r="P34" s="35" t="s">
        <v>458</v>
      </c>
      <c r="Q34" s="15"/>
      <c r="R34" s="24"/>
      <c r="S34" s="62" t="str">
        <f>+'JFK-154.024'!$J$4</f>
        <v>Henry Yu</v>
      </c>
      <c r="T34" s="15"/>
      <c r="U34" s="15"/>
      <c r="V34" s="54">
        <f t="shared" si="3"/>
        <v>1330000</v>
      </c>
      <c r="W34" s="54">
        <f t="shared" si="3"/>
        <v>936000</v>
      </c>
      <c r="X34" s="54">
        <f t="shared" si="4"/>
        <v>394000</v>
      </c>
    </row>
    <row r="35" spans="3:24" x14ac:dyDescent="0.25">
      <c r="C35" s="39">
        <v>2017</v>
      </c>
      <c r="D35" s="62" t="str">
        <f>+'HT-224.120'!$F$4</f>
        <v>HT-224.120</v>
      </c>
      <c r="E35" s="63" t="str">
        <f>+'HT-224.120'!$F$5</f>
        <v>Rehabilitation of Bronze Doors at Spring Street</v>
      </c>
      <c r="F35" s="64">
        <f>+'HT-224.120'!$F$6</f>
        <v>42942</v>
      </c>
      <c r="G35" s="65" t="str">
        <f>+'HT-224.120'!$G$7</f>
        <v>Public</v>
      </c>
      <c r="H35" s="94">
        <f>+'HT-224.120'!$F$7</f>
        <v>700000</v>
      </c>
      <c r="I35" s="27">
        <f>+'HT-224.120'!$F$8</f>
        <v>614770</v>
      </c>
      <c r="J35" s="27"/>
      <c r="K35" s="26">
        <f>+'HT-224.120'!$G$9</f>
        <v>-0.12175714285714286</v>
      </c>
      <c r="L35" s="11" t="str">
        <f>+'HT-224.120'!$F$11</f>
        <v>GOOD</v>
      </c>
      <c r="M35" s="62">
        <f>+'HT-224.120'!$H$12</f>
        <v>2</v>
      </c>
      <c r="N35" s="35" t="s">
        <v>93</v>
      </c>
      <c r="O35" s="15">
        <v>3</v>
      </c>
      <c r="P35" s="35" t="s">
        <v>457</v>
      </c>
      <c r="Q35" s="15"/>
      <c r="R35" s="24"/>
      <c r="S35" s="62" t="str">
        <f>+'HT-224.120'!$J$4</f>
        <v>Andy Victors</v>
      </c>
      <c r="T35" s="15"/>
      <c r="U35" s="15"/>
      <c r="V35" s="54">
        <f t="shared" si="3"/>
        <v>700000</v>
      </c>
      <c r="W35" s="54">
        <f t="shared" si="3"/>
        <v>614770</v>
      </c>
      <c r="X35" s="54">
        <f t="shared" si="4"/>
        <v>85230</v>
      </c>
    </row>
    <row r="36" spans="3:24" x14ac:dyDescent="0.25">
      <c r="C36" s="39">
        <v>2017</v>
      </c>
      <c r="D36" s="62" t="str">
        <f>+'LGA-124.244'!$F$4</f>
        <v>LGA-124.244</v>
      </c>
      <c r="E36" s="63" t="str">
        <f>+'LGA-124.244'!$F$5</f>
        <v>AOA Light Circuit Replacement</v>
      </c>
      <c r="F36" s="64">
        <f>+'LGA-124.244'!$F$6</f>
        <v>42941</v>
      </c>
      <c r="G36" s="65" t="str">
        <f>+'LGA-124.244'!$G$7</f>
        <v>Public</v>
      </c>
      <c r="H36" s="94">
        <f>+'LGA-124.244'!$F$7</f>
        <v>7200000</v>
      </c>
      <c r="I36" s="27">
        <f>+'LGA-124.244'!$F$8</f>
        <v>1936000</v>
      </c>
      <c r="J36" s="104" t="s">
        <v>519</v>
      </c>
      <c r="K36" s="26">
        <f>+'LGA-124.244'!$G$9</f>
        <v>-0.73111111111111116</v>
      </c>
      <c r="L36" s="11" t="str">
        <f>+'LGA-124.244'!$F$11</f>
        <v>FAIL</v>
      </c>
      <c r="M36" s="62">
        <f>+'LGA-124.244'!$H$12</f>
        <v>4</v>
      </c>
      <c r="N36" s="35" t="s">
        <v>93</v>
      </c>
      <c r="O36" s="15">
        <v>3</v>
      </c>
      <c r="P36" s="35" t="s">
        <v>458</v>
      </c>
      <c r="Q36" s="15"/>
      <c r="R36" s="24"/>
      <c r="S36" s="62" t="str">
        <f>+'LGA-124.244'!$J$4</f>
        <v>Henry Yu</v>
      </c>
      <c r="T36" s="15"/>
      <c r="U36" s="15"/>
      <c r="V36" s="54">
        <f t="shared" si="3"/>
        <v>7200000</v>
      </c>
      <c r="W36" s="54">
        <f t="shared" si="3"/>
        <v>1936000</v>
      </c>
      <c r="X36" s="54">
        <f t="shared" si="4"/>
        <v>5264000</v>
      </c>
    </row>
    <row r="37" spans="3:24" ht="7.5" customHeight="1" x14ac:dyDescent="0.25">
      <c r="C37" s="39"/>
      <c r="G37" s="45"/>
      <c r="M37" s="52"/>
      <c r="P37" s="11"/>
      <c r="S37" s="15"/>
      <c r="V37" s="54"/>
      <c r="W37" s="54"/>
      <c r="X37" s="54"/>
    </row>
    <row r="38" spans="3:24" x14ac:dyDescent="0.25">
      <c r="C38" s="101">
        <v>2017</v>
      </c>
      <c r="D38" s="62" t="str">
        <f>+'PAT-024.002'!$F$4</f>
        <v>PAT-024.002</v>
      </c>
      <c r="E38" s="63" t="str">
        <f>+'PAT-024.002'!$F$5</f>
        <v>Exchange Place Underwater Netting</v>
      </c>
      <c r="F38" s="64">
        <f>+'PAT-024.002'!$F$6</f>
        <v>42913</v>
      </c>
      <c r="G38" s="65" t="str">
        <f>+'PAT-024.002'!$G$7</f>
        <v>PQL</v>
      </c>
      <c r="H38" s="94">
        <f>+'PAT-024.002'!$F$7</f>
        <v>1480000</v>
      </c>
      <c r="I38" s="27">
        <f>+'PAT-024.002'!$F$8</f>
        <v>1483000</v>
      </c>
      <c r="J38" s="27"/>
      <c r="K38" s="26">
        <f>+'PAT-024.002'!$G$9</f>
        <v>2.0270270270270271E-3</v>
      </c>
      <c r="L38" s="11" t="str">
        <f>+'PAT-024.002'!$F$11</f>
        <v>GOOD</v>
      </c>
      <c r="M38" s="62">
        <f>+'PAT-024.002'!$H$12</f>
        <v>7</v>
      </c>
      <c r="N38" s="35" t="s">
        <v>25</v>
      </c>
      <c r="O38" s="15">
        <v>2</v>
      </c>
      <c r="P38" s="35" t="s">
        <v>459</v>
      </c>
      <c r="Q38" s="15"/>
      <c r="R38" s="24"/>
      <c r="S38" s="62" t="str">
        <f>+'PAT-024.002'!$J$4</f>
        <v>Nathan Demaisip</v>
      </c>
      <c r="T38" s="15"/>
      <c r="U38" s="15"/>
      <c r="V38" s="54">
        <f t="shared" ref="V38:W53" si="5">+H38</f>
        <v>1480000</v>
      </c>
      <c r="W38" s="54">
        <f t="shared" si="5"/>
        <v>1483000</v>
      </c>
      <c r="X38" s="54">
        <f t="shared" ref="X38:X57" si="6">+V38-W38</f>
        <v>-3000</v>
      </c>
    </row>
    <row r="39" spans="3:24" x14ac:dyDescent="0.25">
      <c r="C39" s="101">
        <v>2017</v>
      </c>
      <c r="D39" s="62" t="str">
        <f>+'EWR-154.240'!$F$4</f>
        <v>EWR-154.240</v>
      </c>
      <c r="E39" s="63" t="str">
        <f>+'EWR-154.240'!$F$5</f>
        <v>Meeter-Greeter Queuing Area Modifications</v>
      </c>
      <c r="F39" s="64">
        <f>+'EWR-154.240'!$F$6</f>
        <v>42901</v>
      </c>
      <c r="G39" s="65" t="str">
        <f>+'EWR-154.240'!$G$7</f>
        <v>MWBE</v>
      </c>
      <c r="H39" s="94">
        <f>+'EWR-154.240'!$F$7</f>
        <v>850000</v>
      </c>
      <c r="I39" s="27">
        <f>+'EWR-154.240'!$F$8</f>
        <v>887000</v>
      </c>
      <c r="J39" s="27"/>
      <c r="K39" s="26">
        <f>+'EWR-154.240'!$G$9</f>
        <v>4.3529411764705879E-2</v>
      </c>
      <c r="L39" s="11" t="str">
        <f>+'EWR-154.240'!$F$11</f>
        <v>GOOD</v>
      </c>
      <c r="M39" s="62">
        <f>+'EWR-154.240'!$H$12</f>
        <v>3</v>
      </c>
      <c r="N39" s="35" t="s">
        <v>25</v>
      </c>
      <c r="O39" s="15">
        <v>2</v>
      </c>
      <c r="P39" s="35" t="s">
        <v>458</v>
      </c>
      <c r="Q39" s="15"/>
      <c r="R39" s="24"/>
      <c r="S39" s="62" t="str">
        <f>+'EWR-154.240'!$J$4</f>
        <v>Henry Yu</v>
      </c>
      <c r="T39" s="15"/>
      <c r="U39" s="15"/>
      <c r="V39" s="54">
        <f t="shared" si="5"/>
        <v>850000</v>
      </c>
      <c r="W39" s="54">
        <f t="shared" si="5"/>
        <v>887000</v>
      </c>
      <c r="X39" s="54">
        <f t="shared" si="6"/>
        <v>-37000</v>
      </c>
    </row>
    <row r="40" spans="3:24" x14ac:dyDescent="0.25">
      <c r="C40" s="39">
        <v>2017</v>
      </c>
      <c r="D40" s="62" t="str">
        <f>+'EWR-154.227'!$F$4</f>
        <v>EWR-154.227</v>
      </c>
      <c r="E40" s="63" t="str">
        <f>+'EWR-154.227'!$F$5</f>
        <v>Terminal B CCTV at Baggage Areas</v>
      </c>
      <c r="F40" s="64">
        <f>+'EWR-154.227'!$F$6</f>
        <v>42900</v>
      </c>
      <c r="G40" s="65" t="str">
        <f>+'EWR-154.227'!$G$7</f>
        <v>VVP</v>
      </c>
      <c r="H40" s="94">
        <f>+'EWR-154.227'!$F$7</f>
        <v>2900000</v>
      </c>
      <c r="I40" s="27">
        <f>+'EWR-154.227'!$F$8</f>
        <v>1157000</v>
      </c>
      <c r="J40" s="27"/>
      <c r="K40" s="26">
        <f>+'EWR-154.227'!$G$9</f>
        <v>-0.6010344827586207</v>
      </c>
      <c r="L40" s="11" t="str">
        <f>+'EWR-154.227'!$F$11</f>
        <v>FAIL</v>
      </c>
      <c r="M40" s="62">
        <f>+'EWR-154.227'!$H$12</f>
        <v>5</v>
      </c>
      <c r="N40" s="35" t="s">
        <v>25</v>
      </c>
      <c r="O40" s="15">
        <v>2</v>
      </c>
      <c r="P40" s="35" t="s">
        <v>458</v>
      </c>
      <c r="Q40" s="15"/>
      <c r="R40" s="24"/>
      <c r="S40" s="62" t="str">
        <f>+'EWR-154.227'!$J$4</f>
        <v>Nathan Demaisip</v>
      </c>
      <c r="T40" s="15"/>
      <c r="U40" s="15"/>
      <c r="V40" s="54">
        <f t="shared" si="5"/>
        <v>2900000</v>
      </c>
      <c r="W40" s="54">
        <f t="shared" si="5"/>
        <v>1157000</v>
      </c>
      <c r="X40" s="54">
        <f t="shared" si="6"/>
        <v>1743000</v>
      </c>
    </row>
    <row r="41" spans="3:24" x14ac:dyDescent="0.25">
      <c r="C41" s="39">
        <v>2017</v>
      </c>
      <c r="D41" s="62" t="str">
        <f>+'LGA-774.235'!$F$4</f>
        <v>LGA-774.235</v>
      </c>
      <c r="E41" s="63" t="str">
        <f>+'LGA-774.235'!$F$5</f>
        <v>Emergency Generators at Various Locations</v>
      </c>
      <c r="F41" s="64">
        <f>+'LGA-774.235'!$F$6</f>
        <v>42894</v>
      </c>
      <c r="G41" s="65" t="str">
        <f>+'LGA-774.235'!$G$7</f>
        <v>VVP</v>
      </c>
      <c r="H41" s="94">
        <f>+'LGA-774.235'!$F$7</f>
        <v>6445000</v>
      </c>
      <c r="I41" s="27">
        <f>+'LGA-774.235'!$F$8</f>
        <v>7166666</v>
      </c>
      <c r="J41" s="104" t="s">
        <v>519</v>
      </c>
      <c r="K41" s="26">
        <f>+'LGA-774.235'!$G$9</f>
        <v>0.11197300232738557</v>
      </c>
      <c r="L41" s="11" t="str">
        <f>+'LGA-774.235'!$F$11</f>
        <v>FAIL</v>
      </c>
      <c r="M41" s="62">
        <f>+'LGA-774.235'!$H$12</f>
        <v>11</v>
      </c>
      <c r="N41" s="35" t="s">
        <v>93</v>
      </c>
      <c r="O41" s="15">
        <v>2</v>
      </c>
      <c r="P41" s="35" t="s">
        <v>458</v>
      </c>
      <c r="Q41" s="15"/>
      <c r="R41" s="24"/>
      <c r="S41" s="62" t="str">
        <f>+'LGA-774.235'!$J$4</f>
        <v>Joe Lucin</v>
      </c>
      <c r="T41" s="15"/>
      <c r="U41" s="15"/>
      <c r="V41" s="54">
        <f t="shared" si="5"/>
        <v>6445000</v>
      </c>
      <c r="W41" s="54">
        <f t="shared" si="5"/>
        <v>7166666</v>
      </c>
      <c r="X41" s="54">
        <f t="shared" si="6"/>
        <v>-721666</v>
      </c>
    </row>
    <row r="42" spans="3:24" x14ac:dyDescent="0.25">
      <c r="C42" s="39">
        <v>2017</v>
      </c>
      <c r="D42" s="62" t="str">
        <f>+'EWR-154.271'!$F$4</f>
        <v>EWR-154.271</v>
      </c>
      <c r="E42" s="63" t="str">
        <f>+'EWR-154.271'!$F$5</f>
        <v>Central Heating and Refrigeration Plant South Substation Roof Replacement</v>
      </c>
      <c r="F42" s="64">
        <f>+'EWR-154.271'!$F$6</f>
        <v>42893</v>
      </c>
      <c r="G42" s="65" t="str">
        <f>+'EWR-154.271'!$G$7</f>
        <v>MWBE</v>
      </c>
      <c r="H42" s="94">
        <f>+'EWR-154.271'!$F$7</f>
        <v>650000</v>
      </c>
      <c r="I42" s="27">
        <f>+'EWR-154.271'!$F$8</f>
        <v>865508</v>
      </c>
      <c r="J42" s="27"/>
      <c r="K42" s="26">
        <f>+'EWR-154.271'!$G$9</f>
        <v>0.3315507692307692</v>
      </c>
      <c r="L42" s="11" t="str">
        <f>+'EWR-154.271'!$F$11</f>
        <v>FAIL</v>
      </c>
      <c r="M42" s="62">
        <f>+'EWR-154.271'!$H$12</f>
        <v>3</v>
      </c>
      <c r="N42" s="35" t="s">
        <v>25</v>
      </c>
      <c r="O42" s="15">
        <v>2</v>
      </c>
      <c r="P42" s="35" t="s">
        <v>458</v>
      </c>
      <c r="Q42" s="15"/>
      <c r="R42" s="24"/>
      <c r="S42" s="62" t="str">
        <f>+'EWR-154.271'!$J$4</f>
        <v>Henry Yu</v>
      </c>
      <c r="T42" s="15"/>
      <c r="U42" s="15"/>
      <c r="V42" s="54">
        <f t="shared" si="5"/>
        <v>650000</v>
      </c>
      <c r="W42" s="54">
        <f t="shared" si="5"/>
        <v>865508</v>
      </c>
      <c r="X42" s="54">
        <f t="shared" si="6"/>
        <v>-215508</v>
      </c>
    </row>
    <row r="43" spans="3:24" x14ac:dyDescent="0.25">
      <c r="C43" s="39">
        <v>2017</v>
      </c>
      <c r="D43" s="62" t="str">
        <f>+'EWR-154.264'!$F$4</f>
        <v>EWR-154.264</v>
      </c>
      <c r="E43" s="63" t="str">
        <f>+'EWR-154.264'!$F$5</f>
        <v>Rehab CTA Frontage Bridges N18 and N20 Longitudinal Joints</v>
      </c>
      <c r="F43" s="64">
        <f>+'EWR-154.264'!$F$6</f>
        <v>42893</v>
      </c>
      <c r="G43" s="65" t="str">
        <f>+'EWR-154.264'!$G$7</f>
        <v>MWBE</v>
      </c>
      <c r="H43" s="94">
        <f>+'EWR-154.264'!$F$7</f>
        <v>1070000</v>
      </c>
      <c r="I43" s="27">
        <f>+'EWR-154.264'!$F$8</f>
        <v>758000</v>
      </c>
      <c r="J43" s="27"/>
      <c r="K43" s="26">
        <f>+'EWR-154.264'!$G$9</f>
        <v>-0.29158878504672897</v>
      </c>
      <c r="L43" s="11" t="str">
        <f>+'EWR-154.264'!$F$11</f>
        <v>FAIL</v>
      </c>
      <c r="M43" s="62">
        <f>+'EWR-154.264'!$H$12</f>
        <v>5</v>
      </c>
      <c r="N43" s="35" t="s">
        <v>25</v>
      </c>
      <c r="O43" s="15">
        <v>2</v>
      </c>
      <c r="P43" s="35" t="s">
        <v>458</v>
      </c>
      <c r="Q43" s="15"/>
      <c r="R43" s="24"/>
      <c r="S43" s="62" t="str">
        <f>+'EWR-154.264'!$J$4</f>
        <v>Henry Yu</v>
      </c>
      <c r="T43" s="15"/>
      <c r="U43" s="15"/>
      <c r="V43" s="54">
        <f t="shared" si="5"/>
        <v>1070000</v>
      </c>
      <c r="W43" s="54">
        <f t="shared" si="5"/>
        <v>758000</v>
      </c>
      <c r="X43" s="54">
        <f t="shared" si="6"/>
        <v>312000</v>
      </c>
    </row>
    <row r="44" spans="3:24" x14ac:dyDescent="0.25">
      <c r="C44" s="39">
        <v>2017</v>
      </c>
      <c r="D44" s="62" t="str">
        <f>+'GWB-924.159B'!$F$4</f>
        <v>GWB-924.159B</v>
      </c>
      <c r="E44" s="63" t="str">
        <f>+'GWB-924.159B'!$F$5</f>
        <v>NJ Admin Bldg HW/CW Piping Replacement</v>
      </c>
      <c r="F44" s="64">
        <f>+'GWB-924.159B'!$F$6</f>
        <v>42892</v>
      </c>
      <c r="G44" s="65" t="str">
        <f>+'GWB-924.159B'!$G$7</f>
        <v>Public</v>
      </c>
      <c r="H44" s="94">
        <f>+'GWB-924.159B'!$F$7</f>
        <v>771000</v>
      </c>
      <c r="I44" s="27">
        <f>+'GWB-924.159B'!$F$8</f>
        <v>946600</v>
      </c>
      <c r="J44" s="27"/>
      <c r="K44" s="26">
        <f>+'GWB-924.159B'!$G$9</f>
        <v>0.22775616083009079</v>
      </c>
      <c r="L44" s="11" t="str">
        <f>+'GWB-924.159B'!$F$11</f>
        <v>FAIL</v>
      </c>
      <c r="M44" s="62">
        <f>+'GWB-924.159B'!$H$12</f>
        <v>2</v>
      </c>
      <c r="N44" s="35" t="s">
        <v>25</v>
      </c>
      <c r="O44" s="15">
        <v>2</v>
      </c>
      <c r="P44" s="35" t="s">
        <v>457</v>
      </c>
      <c r="Q44" s="15"/>
      <c r="R44" s="24"/>
      <c r="S44" s="62" t="str">
        <f>+'GWB-924.159B'!$J$4</f>
        <v>Reddy Gunda</v>
      </c>
      <c r="T44" s="15"/>
      <c r="U44" s="15"/>
      <c r="V44" s="54">
        <f t="shared" si="5"/>
        <v>771000</v>
      </c>
      <c r="W44" s="54">
        <f t="shared" si="5"/>
        <v>946600</v>
      </c>
      <c r="X44" s="54">
        <f t="shared" si="6"/>
        <v>-175600</v>
      </c>
    </row>
    <row r="45" spans="3:24" x14ac:dyDescent="0.25">
      <c r="C45" s="39">
        <v>2017</v>
      </c>
      <c r="D45" s="62" t="str">
        <f>+'EWR-924.233'!$F$4</f>
        <v>EWR-924.233</v>
      </c>
      <c r="E45" s="63" t="str">
        <f>+'EWR-924.233'!$F$5</f>
        <v>Priority Repair of Bridges N14, N15, N18, N19, N21, N42, N43</v>
      </c>
      <c r="F45" s="64">
        <f>+'EWR-924.233'!$F$6</f>
        <v>42886</v>
      </c>
      <c r="G45" s="65" t="str">
        <f>+'EWR-924.233'!$G$7</f>
        <v>Public</v>
      </c>
      <c r="H45" s="94">
        <f>+'EWR-924.233'!$F$7</f>
        <v>1140000</v>
      </c>
      <c r="I45" s="27">
        <f>+'EWR-924.233'!$F$8</f>
        <v>904780</v>
      </c>
      <c r="J45" s="27"/>
      <c r="K45" s="26">
        <f>+'EWR-924.233'!$G$9</f>
        <v>-0.20633333333333334</v>
      </c>
      <c r="L45" s="11" t="str">
        <f>+'EWR-924.233'!$F$11</f>
        <v>GOOD</v>
      </c>
      <c r="M45" s="62">
        <f>+'EWR-924.233'!$H$12</f>
        <v>9</v>
      </c>
      <c r="N45" s="35" t="s">
        <v>25</v>
      </c>
      <c r="O45" s="15">
        <v>2</v>
      </c>
      <c r="P45" s="35" t="s">
        <v>458</v>
      </c>
      <c r="Q45" s="15"/>
      <c r="R45" s="24"/>
      <c r="S45" s="62" t="str">
        <f>+'EWR-924.233'!$J$4</f>
        <v>Henry Yu</v>
      </c>
      <c r="T45" s="15"/>
      <c r="U45" s="15"/>
      <c r="V45" s="54">
        <f t="shared" si="5"/>
        <v>1140000</v>
      </c>
      <c r="W45" s="54">
        <f t="shared" si="5"/>
        <v>904780</v>
      </c>
      <c r="X45" s="54">
        <f t="shared" si="6"/>
        <v>235220</v>
      </c>
    </row>
    <row r="46" spans="3:24" x14ac:dyDescent="0.25">
      <c r="C46" s="39">
        <v>2017</v>
      </c>
      <c r="D46" s="62" t="str">
        <f>+'JFK-154.019'!$F$4</f>
        <v>JFK-154.019</v>
      </c>
      <c r="E46" s="63" t="str">
        <f>+'JFK-154.019'!$F$5</f>
        <v>Install Gate/Check Valves for Exist Stormwater Outfalls 2-3-4-5-6</v>
      </c>
      <c r="F46" s="64">
        <f>+'JFK-154.019'!$F$6</f>
        <v>42880</v>
      </c>
      <c r="G46" s="65" t="str">
        <f>+'JFK-154.019'!$G$7</f>
        <v>Public</v>
      </c>
      <c r="H46" s="94">
        <f>+'JFK-154.019'!$F$7</f>
        <v>2850000</v>
      </c>
      <c r="I46" s="27">
        <f>+'JFK-154.019'!$F$8</f>
        <v>1808548</v>
      </c>
      <c r="J46" s="27"/>
      <c r="K46" s="26">
        <f>+'JFK-154.019'!$G$9</f>
        <v>-0.36542175438596491</v>
      </c>
      <c r="L46" s="11" t="str">
        <f>+'JFK-154.019'!$F$11</f>
        <v>FAIL</v>
      </c>
      <c r="M46" s="62">
        <f>+'JFK-154.019'!$H$12</f>
        <v>11</v>
      </c>
      <c r="N46" s="35" t="s">
        <v>93</v>
      </c>
      <c r="O46" s="15">
        <v>2</v>
      </c>
      <c r="P46" s="35" t="s">
        <v>458</v>
      </c>
      <c r="Q46" s="15"/>
      <c r="R46" s="24"/>
      <c r="S46" s="62" t="str">
        <f>+'JFK-154.019'!$J$4</f>
        <v>Wen Chang</v>
      </c>
      <c r="T46" s="15"/>
      <c r="U46" s="15"/>
      <c r="V46" s="54">
        <f t="shared" si="5"/>
        <v>2850000</v>
      </c>
      <c r="W46" s="54">
        <f t="shared" si="5"/>
        <v>1808548</v>
      </c>
      <c r="X46" s="54">
        <f t="shared" si="6"/>
        <v>1041452</v>
      </c>
    </row>
    <row r="47" spans="3:24" x14ac:dyDescent="0.25">
      <c r="C47" s="39">
        <v>2017</v>
      </c>
      <c r="D47" s="62" t="str">
        <f>+'PAT-024.031'!$F$4</f>
        <v>PAT-024.031</v>
      </c>
      <c r="E47" s="63" t="str">
        <f>+'PAT-024.031'!$F$5</f>
        <v>Replacement of Substation 7</v>
      </c>
      <c r="F47" s="64">
        <f>+'PAT-024.031'!$F$6</f>
        <v>42873</v>
      </c>
      <c r="G47" s="65" t="str">
        <f>+'PAT-024.031'!$G$7</f>
        <v>VVP</v>
      </c>
      <c r="H47" s="94">
        <f>+'PAT-024.031'!$F$7</f>
        <v>29400000</v>
      </c>
      <c r="I47" s="27">
        <f>+'PAT-024.031'!$F$8</f>
        <v>40981000</v>
      </c>
      <c r="J47" s="104" t="s">
        <v>519</v>
      </c>
      <c r="K47" s="26">
        <f>+'PAT-024.031'!$G$9</f>
        <v>0.39391156462585036</v>
      </c>
      <c r="L47" s="11" t="str">
        <f>+'PAT-024.031'!$F$11</f>
        <v>FAIL</v>
      </c>
      <c r="M47" s="62">
        <f>+'PAT-024.031'!$H$12</f>
        <v>2</v>
      </c>
      <c r="N47" s="35" t="s">
        <v>25</v>
      </c>
      <c r="O47" s="15">
        <v>2</v>
      </c>
      <c r="P47" s="35" t="s">
        <v>459</v>
      </c>
      <c r="Q47" s="15"/>
      <c r="R47" s="24"/>
      <c r="S47" s="62" t="str">
        <f>+'PAT-024.031'!$J$4</f>
        <v>Nathan Demaisip</v>
      </c>
      <c r="T47" s="15"/>
      <c r="U47" s="15"/>
      <c r="V47" s="54">
        <f t="shared" si="5"/>
        <v>29400000</v>
      </c>
      <c r="W47" s="54">
        <f t="shared" si="5"/>
        <v>40981000</v>
      </c>
      <c r="X47" s="54">
        <f t="shared" si="6"/>
        <v>-11581000</v>
      </c>
    </row>
    <row r="48" spans="3:24" x14ac:dyDescent="0.25">
      <c r="C48" s="39">
        <v>2017</v>
      </c>
      <c r="D48" s="62" t="str">
        <f>+'MFP-924.641'!$F$4</f>
        <v>MFP-924.641</v>
      </c>
      <c r="E48" s="63" t="str">
        <f>+'MFP-924.641'!$F$5</f>
        <v>NY &amp; NJ Marine Terminals - Multi-Facility Fender System Rehab via WO</v>
      </c>
      <c r="F48" s="64">
        <f>+'MFP-924.641'!$F$6</f>
        <v>42872</v>
      </c>
      <c r="G48" s="65" t="str">
        <f>+'MFP-924.641'!$G$7</f>
        <v>Public</v>
      </c>
      <c r="H48" s="94">
        <f>+'MFP-924.641'!$F$7</f>
        <v>5000000</v>
      </c>
      <c r="I48" s="27">
        <f>+'MFP-924.641'!$F$8</f>
        <v>5210665</v>
      </c>
      <c r="J48" s="27" t="s">
        <v>519</v>
      </c>
      <c r="K48" s="26">
        <f>+'MFP-924.641'!$G$9</f>
        <v>4.2132999999999997E-2</v>
      </c>
      <c r="L48" s="11" t="str">
        <f>+'MFP-924.641'!$F$11</f>
        <v>GOOD</v>
      </c>
      <c r="M48" s="62">
        <f>+'MFP-924.641'!$H$12</f>
        <v>9</v>
      </c>
      <c r="N48" s="35" t="s">
        <v>226</v>
      </c>
      <c r="O48" s="15">
        <v>2</v>
      </c>
      <c r="P48" s="35" t="s">
        <v>492</v>
      </c>
      <c r="Q48" s="15"/>
      <c r="R48" s="24"/>
      <c r="S48" s="62" t="str">
        <f>+'MFP-924.641'!$J$4</f>
        <v>Ed Minall</v>
      </c>
      <c r="T48" s="15"/>
      <c r="U48" s="15"/>
      <c r="V48" s="54">
        <f t="shared" si="5"/>
        <v>5000000</v>
      </c>
      <c r="W48" s="54">
        <f t="shared" si="5"/>
        <v>5210665</v>
      </c>
      <c r="X48" s="54">
        <f t="shared" si="6"/>
        <v>-210665</v>
      </c>
    </row>
    <row r="49" spans="3:24" x14ac:dyDescent="0.25">
      <c r="C49" s="39">
        <v>2017</v>
      </c>
      <c r="D49" s="62" t="str">
        <f>+'EP-924.643'!$F$4</f>
        <v>EP-924.643</v>
      </c>
      <c r="E49" s="63" t="str">
        <f>+'EP-924.643'!$F$5</f>
        <v>Priority Marine Rehab via Work Order</v>
      </c>
      <c r="F49" s="64">
        <f>+'EP-924.643'!$F$6</f>
        <v>42871</v>
      </c>
      <c r="G49" s="65" t="str">
        <f>+'EP-924.643'!$G$7</f>
        <v>Public</v>
      </c>
      <c r="H49" s="94">
        <f>+'EP-924.643'!$F$7</f>
        <v>9000000</v>
      </c>
      <c r="I49" s="27">
        <f>+'EP-924.643'!$F$8</f>
        <v>10805265</v>
      </c>
      <c r="J49" s="104" t="s">
        <v>519</v>
      </c>
      <c r="K49" s="26">
        <f>+'EP-924.643'!$G$9</f>
        <v>0.20058500000000001</v>
      </c>
      <c r="L49" s="11" t="str">
        <f>+'EP-924.643'!$F$11</f>
        <v>FAIL</v>
      </c>
      <c r="M49" s="62">
        <f>+'EP-924.643'!$H$12</f>
        <v>2</v>
      </c>
      <c r="N49" s="35" t="s">
        <v>25</v>
      </c>
      <c r="O49" s="15">
        <v>2</v>
      </c>
      <c r="P49" s="35" t="s">
        <v>492</v>
      </c>
      <c r="Q49" s="15"/>
      <c r="R49" s="24"/>
      <c r="S49" s="62" t="str">
        <f>+'EP-924.643'!$J$4</f>
        <v>Ed Minall</v>
      </c>
      <c r="T49" s="15"/>
      <c r="U49" s="15"/>
      <c r="V49" s="54">
        <f t="shared" si="5"/>
        <v>9000000</v>
      </c>
      <c r="W49" s="54">
        <f t="shared" si="5"/>
        <v>10805265</v>
      </c>
      <c r="X49" s="54">
        <f t="shared" si="6"/>
        <v>-1805265</v>
      </c>
    </row>
    <row r="50" spans="3:24" x14ac:dyDescent="0.25">
      <c r="C50" s="39">
        <v>2017</v>
      </c>
      <c r="D50" s="62" t="str">
        <f>+'LT-234.179'!$F$4</f>
        <v>LT-234.179</v>
      </c>
      <c r="E50" s="63" t="str">
        <f>+'LT-234.179'!$F$5</f>
        <v>Waterside Buffer Zone Protection</v>
      </c>
      <c r="F50" s="64">
        <f>+'LT-234.179'!$F$6</f>
        <v>42851</v>
      </c>
      <c r="G50" s="65" t="str">
        <f>+'LT-234.179'!$G$7</f>
        <v>PQL</v>
      </c>
      <c r="H50" s="94">
        <f>+'LT-234.179'!$F$7</f>
        <v>3589000</v>
      </c>
      <c r="I50" s="27">
        <f>+'LT-234.179'!$F$8</f>
        <v>3875045</v>
      </c>
      <c r="J50" s="27"/>
      <c r="K50" s="26">
        <f>+'LT-234.179'!$G$9</f>
        <v>7.9700473669545829E-2</v>
      </c>
      <c r="L50" s="11" t="str">
        <f>+'LT-234.179'!$F$11</f>
        <v>GOOD</v>
      </c>
      <c r="M50" s="62">
        <f>+'LT-234.179'!$H$12</f>
        <v>3</v>
      </c>
      <c r="N50" s="35" t="s">
        <v>93</v>
      </c>
      <c r="O50" s="15">
        <v>2</v>
      </c>
      <c r="P50" s="35" t="s">
        <v>457</v>
      </c>
      <c r="Q50" s="15"/>
      <c r="R50" s="24"/>
      <c r="S50" s="62" t="str">
        <f>+'LT-234.179'!$J$4</f>
        <v>Nathan Demaisip</v>
      </c>
      <c r="T50" s="15"/>
      <c r="U50" s="15"/>
      <c r="V50" s="54">
        <f t="shared" si="5"/>
        <v>3589000</v>
      </c>
      <c r="W50" s="54">
        <f t="shared" si="5"/>
        <v>3875045</v>
      </c>
      <c r="X50" s="54">
        <f t="shared" si="6"/>
        <v>-286045</v>
      </c>
    </row>
    <row r="51" spans="3:24" x14ac:dyDescent="0.25">
      <c r="C51" s="39">
        <v>2017</v>
      </c>
      <c r="D51" s="62" t="str">
        <f>+'GWB-924.176'!$F$4</f>
        <v>GWB-924.176</v>
      </c>
      <c r="E51" s="63" t="str">
        <f>+'GWB-924.176'!$F$5</f>
        <v>Upper Level Sidewalk Repairs via Work Order</v>
      </c>
      <c r="F51" s="64">
        <f>+'GWB-924.176'!$F$6</f>
        <v>42846</v>
      </c>
      <c r="G51" s="65" t="str">
        <f>+'GWB-924.176'!$G$7</f>
        <v>Public</v>
      </c>
      <c r="H51" s="94">
        <f>+'GWB-924.176'!$F$7</f>
        <v>2060000</v>
      </c>
      <c r="I51" s="27">
        <f>+'GWB-924.176'!$F$8</f>
        <v>2614625</v>
      </c>
      <c r="J51" s="27"/>
      <c r="K51" s="26">
        <f>+'GWB-924.176'!$G$9</f>
        <v>0.26923543689320389</v>
      </c>
      <c r="L51" s="11" t="str">
        <f>+'GWB-924.176'!$F$11</f>
        <v>FAIL</v>
      </c>
      <c r="M51" s="62">
        <f>+'GWB-924.176'!$H$12</f>
        <v>5</v>
      </c>
      <c r="N51" s="35" t="s">
        <v>226</v>
      </c>
      <c r="O51" s="15">
        <v>2</v>
      </c>
      <c r="P51" s="35" t="s">
        <v>457</v>
      </c>
      <c r="Q51" s="15"/>
      <c r="R51" s="24"/>
      <c r="S51" s="62" t="str">
        <f>+'GWB-924.176'!$J$4</f>
        <v>Reddy Gunda</v>
      </c>
      <c r="T51" s="15"/>
      <c r="U51" s="15"/>
      <c r="V51" s="54">
        <f t="shared" si="5"/>
        <v>2060000</v>
      </c>
      <c r="W51" s="54">
        <f t="shared" si="5"/>
        <v>2614625</v>
      </c>
      <c r="X51" s="54">
        <f t="shared" si="6"/>
        <v>-554625</v>
      </c>
    </row>
    <row r="52" spans="3:24" x14ac:dyDescent="0.25">
      <c r="C52" s="39">
        <v>2017</v>
      </c>
      <c r="D52" s="62" t="str">
        <f>+'MFP-924.645A'!$F$4</f>
        <v>MFP-924.645A</v>
      </c>
      <c r="E52" s="63" t="str">
        <f>+'MFP-924.645A'!$F$5</f>
        <v>NJ Paving and Utility Rehab by Work Order</v>
      </c>
      <c r="F52" s="64">
        <f>+'MFP-924.645A'!$F$6</f>
        <v>42845</v>
      </c>
      <c r="G52" s="65" t="str">
        <f>+'MFP-924.645A'!$G$7</f>
        <v>MWBE</v>
      </c>
      <c r="H52" s="94">
        <f>+'MFP-924.645A'!$F$7</f>
        <v>2625000</v>
      </c>
      <c r="I52" s="27">
        <f>+'MFP-924.645A'!$F$8</f>
        <v>2472675</v>
      </c>
      <c r="J52" s="27"/>
      <c r="K52" s="26">
        <f>+'MFP-924.645A'!$G$9</f>
        <v>-5.8028571428571429E-2</v>
      </c>
      <c r="L52" s="11" t="str">
        <f>+'MFP-924.645A'!$F$11</f>
        <v>GOOD</v>
      </c>
      <c r="M52" s="62">
        <f>+'MFP-924.645A'!$H$12</f>
        <v>6</v>
      </c>
      <c r="N52" s="35" t="s">
        <v>25</v>
      </c>
      <c r="O52" s="15">
        <v>2</v>
      </c>
      <c r="P52" s="35" t="s">
        <v>492</v>
      </c>
      <c r="Q52" s="15"/>
      <c r="R52" s="24"/>
      <c r="S52" s="62" t="str">
        <f>+'MFP-924.645A'!$J$4</f>
        <v>Ed Minall</v>
      </c>
      <c r="T52" s="15"/>
      <c r="U52" s="15"/>
      <c r="V52" s="54">
        <f t="shared" si="5"/>
        <v>2625000</v>
      </c>
      <c r="W52" s="54">
        <f t="shared" si="5"/>
        <v>2472675</v>
      </c>
      <c r="X52" s="54">
        <f t="shared" si="6"/>
        <v>152325</v>
      </c>
    </row>
    <row r="53" spans="3:24" x14ac:dyDescent="0.25">
      <c r="C53" s="39">
        <v>2017</v>
      </c>
      <c r="D53" s="62" t="str">
        <f>+'PN-654.558'!$F$4</f>
        <v>PN-654.558</v>
      </c>
      <c r="E53" s="63" t="str">
        <f>+'PN-654.558'!$F$5</f>
        <v>Berths 26, 28, 32, 34 Dredging</v>
      </c>
      <c r="F53" s="64">
        <f>+'PN-654.558'!$F$6</f>
        <v>42845</v>
      </c>
      <c r="G53" s="65" t="str">
        <f>+'PN-654.558'!$G$7</f>
        <v>Public</v>
      </c>
      <c r="H53" s="94">
        <f>+'PN-654.558'!$F$7</f>
        <v>1520000</v>
      </c>
      <c r="I53" s="27">
        <f>+'PN-654.558'!$F$8</f>
        <v>994200</v>
      </c>
      <c r="J53" s="27"/>
      <c r="K53" s="26">
        <f>+'PN-654.558'!$G$9</f>
        <v>-0.34592105263157896</v>
      </c>
      <c r="L53" s="11" t="str">
        <f>+'PN-654.558'!$F$11</f>
        <v>GOOD</v>
      </c>
      <c r="M53" s="62">
        <f>+'PN-654.558'!$H$12</f>
        <v>4</v>
      </c>
      <c r="N53" s="35" t="s">
        <v>25</v>
      </c>
      <c r="O53" s="15">
        <v>2</v>
      </c>
      <c r="P53" s="35" t="s">
        <v>492</v>
      </c>
      <c r="Q53" s="15"/>
      <c r="R53" s="24"/>
      <c r="S53" s="62" t="str">
        <f>+'PN-654.558'!$J$4</f>
        <v>Ed Minall</v>
      </c>
      <c r="T53" s="15"/>
      <c r="U53" s="15"/>
      <c r="V53" s="54">
        <f t="shared" si="5"/>
        <v>1520000</v>
      </c>
      <c r="W53" s="54">
        <f t="shared" si="5"/>
        <v>994200</v>
      </c>
      <c r="X53" s="54">
        <f t="shared" si="6"/>
        <v>525800</v>
      </c>
    </row>
    <row r="54" spans="3:24" x14ac:dyDescent="0.25">
      <c r="C54" s="39">
        <v>2017</v>
      </c>
      <c r="D54" s="62" t="str">
        <f>+'TEB-144.048'!$F$4</f>
        <v>TEB-144.048</v>
      </c>
      <c r="E54" s="63" t="str">
        <f>+'TEB-144.048'!$F$5</f>
        <v>AOA Light Circuit Replacement</v>
      </c>
      <c r="F54" s="64">
        <f>+'TEB-144.048'!$F$6</f>
        <v>42845</v>
      </c>
      <c r="G54" s="65" t="str">
        <f>+'TEB-144.048'!$G$7</f>
        <v>PQL</v>
      </c>
      <c r="H54" s="94">
        <f>+'TEB-144.048'!$F$7</f>
        <v>12630000</v>
      </c>
      <c r="I54" s="27">
        <f>+'TEB-144.048'!$F$8</f>
        <v>10849023</v>
      </c>
      <c r="J54" s="27" t="s">
        <v>519</v>
      </c>
      <c r="K54" s="26">
        <f>+'TEB-144.048'!$G$9</f>
        <v>-0.14101163895486934</v>
      </c>
      <c r="L54" s="11" t="str">
        <f>+'TEB-144.048'!$F$11</f>
        <v>GOOD</v>
      </c>
      <c r="M54" s="62">
        <f>+'TEB-144.048'!$H$12</f>
        <v>2</v>
      </c>
      <c r="N54" s="35" t="s">
        <v>25</v>
      </c>
      <c r="O54" s="15">
        <v>2</v>
      </c>
      <c r="P54" s="35" t="s">
        <v>458</v>
      </c>
      <c r="Q54" s="15"/>
      <c r="R54" s="24"/>
      <c r="S54" s="62" t="str">
        <f>+'TEB-144.048'!$J$4</f>
        <v>Henry Yu</v>
      </c>
      <c r="T54" s="15"/>
      <c r="U54" s="15"/>
      <c r="V54" s="54">
        <f t="shared" ref="V54:W57" si="7">+H54</f>
        <v>12630000</v>
      </c>
      <c r="W54" s="54">
        <f t="shared" si="7"/>
        <v>10849023</v>
      </c>
      <c r="X54" s="54">
        <f t="shared" si="6"/>
        <v>1780977</v>
      </c>
    </row>
    <row r="55" spans="3:24" x14ac:dyDescent="0.25">
      <c r="C55" s="39">
        <v>2017</v>
      </c>
      <c r="D55" s="62" t="str">
        <f>+'PAT-084.001'!$F$4</f>
        <v>PAT-084.001</v>
      </c>
      <c r="E55" s="63" t="str">
        <f>+'PAT-084.001'!$F$5</f>
        <v>Replacement of Substation 9</v>
      </c>
      <c r="F55" s="64">
        <f>+'PAT-084.001'!$F$6</f>
        <v>42844</v>
      </c>
      <c r="G55" s="65" t="str">
        <f>+'PAT-084.001'!$G$7</f>
        <v>PQL</v>
      </c>
      <c r="H55" s="94">
        <f>+'PAT-084.001'!$F$7</f>
        <v>30360000</v>
      </c>
      <c r="I55" s="27">
        <f>+'PAT-084.001'!$F$8</f>
        <v>32920674</v>
      </c>
      <c r="J55" s="27" t="s">
        <v>519</v>
      </c>
      <c r="K55" s="26">
        <f>+'PAT-084.001'!$G$9</f>
        <v>8.4343675889328062E-2</v>
      </c>
      <c r="L55" s="11" t="str">
        <f>+'PAT-084.001'!$F$11</f>
        <v>GOOD</v>
      </c>
      <c r="M55" s="62">
        <f>+'PAT-084.001'!$H$12</f>
        <v>3</v>
      </c>
      <c r="N55" s="35" t="s">
        <v>25</v>
      </c>
      <c r="O55" s="15">
        <v>2</v>
      </c>
      <c r="P55" s="35" t="s">
        <v>459</v>
      </c>
      <c r="Q55" s="15"/>
      <c r="R55" s="24"/>
      <c r="S55" s="62" t="str">
        <f>+'PAT-084.001'!$J$4</f>
        <v>Nathan Demaisip</v>
      </c>
      <c r="T55" s="15"/>
      <c r="U55" s="15"/>
      <c r="V55" s="54">
        <f t="shared" si="7"/>
        <v>30360000</v>
      </c>
      <c r="W55" s="54">
        <f t="shared" si="7"/>
        <v>32920674</v>
      </c>
      <c r="X55" s="54">
        <f t="shared" si="6"/>
        <v>-2560674</v>
      </c>
    </row>
    <row r="56" spans="3:24" x14ac:dyDescent="0.25">
      <c r="C56" s="39">
        <v>2017</v>
      </c>
      <c r="D56" s="62" t="str">
        <f>+'EWR-154.234'!$F$4</f>
        <v>EWR-154.234</v>
      </c>
      <c r="E56" s="63" t="str">
        <f>+'EWR-154.234'!$F$5</f>
        <v>AOA Light Circuit Replacement</v>
      </c>
      <c r="F56" s="64">
        <f>+'EWR-154.234'!$F$6</f>
        <v>42844</v>
      </c>
      <c r="G56" s="65" t="str">
        <f>+'EWR-154.234'!$G$7</f>
        <v>PQL</v>
      </c>
      <c r="H56" s="94">
        <f>+'EWR-154.234'!$F$7</f>
        <v>18870000</v>
      </c>
      <c r="I56" s="27">
        <f>+'EWR-154.234'!$F$8</f>
        <v>19910000</v>
      </c>
      <c r="J56" s="27" t="s">
        <v>519</v>
      </c>
      <c r="K56" s="26">
        <f>+'EWR-154.234'!$G$9</f>
        <v>5.5113937466878642E-2</v>
      </c>
      <c r="L56" s="11" t="str">
        <f>+'EWR-154.234'!$F$11</f>
        <v>GOOD</v>
      </c>
      <c r="M56" s="62">
        <f>+'EWR-154.234'!$H$12</f>
        <v>3</v>
      </c>
      <c r="N56" s="35" t="s">
        <v>25</v>
      </c>
      <c r="O56" s="15">
        <v>2</v>
      </c>
      <c r="P56" s="35" t="s">
        <v>458</v>
      </c>
      <c r="Q56" s="15"/>
      <c r="R56" s="24"/>
      <c r="S56" s="62" t="str">
        <f>+'EWR-154.234'!$J$4</f>
        <v>Henry Yu</v>
      </c>
      <c r="T56" s="15"/>
      <c r="U56" s="15"/>
      <c r="V56" s="54">
        <f t="shared" si="7"/>
        <v>18870000</v>
      </c>
      <c r="W56" s="54">
        <f t="shared" si="7"/>
        <v>19910000</v>
      </c>
      <c r="X56" s="54">
        <f t="shared" si="6"/>
        <v>-1040000</v>
      </c>
    </row>
    <row r="57" spans="3:24" x14ac:dyDescent="0.25">
      <c r="C57" s="39">
        <v>2017</v>
      </c>
      <c r="D57" s="62" t="str">
        <f>+'MFP-924.634'!$F$4</f>
        <v>MFP-924.634</v>
      </c>
      <c r="E57" s="63" t="str">
        <f>+'MFP-924.634'!$F$5</f>
        <v>NY Marine Terminals - Rail Rehab via Work Order</v>
      </c>
      <c r="F57" s="64">
        <f>+'MFP-924.634'!$F$6</f>
        <v>42831</v>
      </c>
      <c r="G57" s="65" t="str">
        <f>+'MFP-924.634'!$G$7</f>
        <v>Public</v>
      </c>
      <c r="H57" s="94">
        <f>+'MFP-924.634'!$F$7</f>
        <v>1655000</v>
      </c>
      <c r="I57" s="27">
        <f>+'MFP-924.634'!$F$8</f>
        <v>1398667</v>
      </c>
      <c r="J57" s="27"/>
      <c r="K57" s="26">
        <f>+'MFP-924.634'!$G$9</f>
        <v>-0.15488398791540786</v>
      </c>
      <c r="L57" s="11" t="str">
        <f>+'MFP-924.634'!$F$11</f>
        <v>GOOD</v>
      </c>
      <c r="M57" s="62">
        <f>+'MFP-924.634'!$H$12</f>
        <v>3</v>
      </c>
      <c r="N57" s="35" t="s">
        <v>93</v>
      </c>
      <c r="O57" s="15">
        <v>2</v>
      </c>
      <c r="P57" s="35" t="s">
        <v>492</v>
      </c>
      <c r="Q57" s="15"/>
      <c r="R57" s="24"/>
      <c r="S57" s="62" t="str">
        <f>+'MFP-924.634'!$J$4</f>
        <v>Ed Minall</v>
      </c>
      <c r="T57" s="15"/>
      <c r="U57" s="15"/>
      <c r="V57" s="54">
        <f t="shared" si="7"/>
        <v>1655000</v>
      </c>
      <c r="W57" s="54">
        <f t="shared" si="7"/>
        <v>1398667</v>
      </c>
      <c r="X57" s="54">
        <f t="shared" si="6"/>
        <v>256333</v>
      </c>
    </row>
    <row r="58" spans="3:24" ht="7.5" customHeight="1" x14ac:dyDescent="0.25">
      <c r="C58" s="39"/>
      <c r="G58" s="45"/>
      <c r="M58" s="52"/>
      <c r="P58" s="11"/>
      <c r="S58" s="15"/>
      <c r="V58" s="54"/>
      <c r="W58" s="54"/>
      <c r="X58" s="54"/>
    </row>
    <row r="59" spans="3:24" x14ac:dyDescent="0.25">
      <c r="C59" s="39">
        <v>2017</v>
      </c>
      <c r="D59" s="62" t="str">
        <f>+'BT-254.123'!$F$4</f>
        <v>BT-254.123</v>
      </c>
      <c r="E59" s="63" t="str">
        <f>+'BT-254.123'!$F$5</f>
        <v>PABT Supplemental Fire Alarm Systems</v>
      </c>
      <c r="F59" s="64">
        <f>+'BT-254.123'!$F$6</f>
        <v>42823</v>
      </c>
      <c r="G59" s="65" t="str">
        <f>+'BT-254.123'!$G$7</f>
        <v>Public</v>
      </c>
      <c r="H59" s="27">
        <f>+'BT-254.123'!$F$7</f>
        <v>3700000</v>
      </c>
      <c r="I59" s="27">
        <f>+'BT-254.123'!$F$8</f>
        <v>2490000</v>
      </c>
      <c r="J59" s="27"/>
      <c r="K59" s="26">
        <f>+'BT-254.123'!$G$9</f>
        <v>-0.32702702702702702</v>
      </c>
      <c r="L59" s="11" t="str">
        <f>+'BT-254.123'!$F$11</f>
        <v>GOOD</v>
      </c>
      <c r="M59" s="62">
        <f>+'BT-254.123'!$H$12</f>
        <v>7</v>
      </c>
      <c r="N59" s="35" t="s">
        <v>93</v>
      </c>
      <c r="O59" s="15">
        <v>1</v>
      </c>
      <c r="P59" s="35" t="s">
        <v>457</v>
      </c>
      <c r="Q59" s="15"/>
      <c r="R59" s="24" t="s">
        <v>976</v>
      </c>
      <c r="S59" s="62" t="str">
        <f>+'BT-254.123'!$J$4</f>
        <v>Reddy Gunda</v>
      </c>
      <c r="T59" s="15"/>
      <c r="U59" s="15"/>
      <c r="V59" s="54">
        <f t="shared" ref="V59:W73" si="8">+H59</f>
        <v>3700000</v>
      </c>
      <c r="W59" s="54">
        <f t="shared" si="8"/>
        <v>2490000</v>
      </c>
      <c r="X59" s="54">
        <f t="shared" ref="X59:X76" si="9">+V59-W59</f>
        <v>1210000</v>
      </c>
    </row>
    <row r="60" spans="3:24" x14ac:dyDescent="0.25">
      <c r="C60" s="39">
        <v>2017</v>
      </c>
      <c r="D60" s="62" t="str">
        <f>+'LGA-124.255'!$F$4</f>
        <v>LGA-124.255</v>
      </c>
      <c r="E60" s="63" t="str">
        <f>+'LGA-124.255'!$F$5</f>
        <v>Rehab of Runway 22 Deck Wearing Course Panel 1A</v>
      </c>
      <c r="F60" s="64">
        <f>+'LGA-124.255'!$F$6</f>
        <v>42815</v>
      </c>
      <c r="G60" s="65" t="str">
        <f>+'LGA-124.255'!$G$7</f>
        <v>PQL</v>
      </c>
      <c r="H60" s="27">
        <f>+'LGA-124.255'!$F$7</f>
        <v>3750000</v>
      </c>
      <c r="I60" s="27">
        <f>+'LGA-124.255'!$F$8</f>
        <v>2468147</v>
      </c>
      <c r="J60" s="27"/>
      <c r="K60" s="26">
        <f>+'LGA-124.255'!$G$9</f>
        <v>-0.34182746666666669</v>
      </c>
      <c r="L60" s="11" t="str">
        <f>+'LGA-124.255'!$F$11</f>
        <v>FAIL</v>
      </c>
      <c r="M60" s="62">
        <f>+'LGA-124.255'!$H$12</f>
        <v>3</v>
      </c>
      <c r="N60" s="35" t="s">
        <v>93</v>
      </c>
      <c r="O60" s="15">
        <v>1</v>
      </c>
      <c r="P60" s="35" t="s">
        <v>458</v>
      </c>
      <c r="Q60" s="15"/>
      <c r="R60" s="24"/>
      <c r="S60" s="62" t="str">
        <f>+'LGA-124.255'!$J$4</f>
        <v>Joe Lucin</v>
      </c>
      <c r="T60" s="15"/>
      <c r="U60" s="15"/>
      <c r="V60" s="54">
        <f t="shared" si="8"/>
        <v>3750000</v>
      </c>
      <c r="W60" s="54">
        <f t="shared" si="8"/>
        <v>2468147</v>
      </c>
      <c r="X60" s="54">
        <f t="shared" si="9"/>
        <v>1281853</v>
      </c>
    </row>
    <row r="61" spans="3:24" x14ac:dyDescent="0.25">
      <c r="C61" s="39">
        <v>2017</v>
      </c>
      <c r="D61" s="62" t="str">
        <f>+'MFP-072.016'!$F$4</f>
        <v>MFP-072.016</v>
      </c>
      <c r="E61" s="63" t="str">
        <f>+'MFP-072.016'!$F$5</f>
        <v>NY Marine Terminals - Paving and Utilities by Work Order</v>
      </c>
      <c r="F61" s="64">
        <f>+'MFP-072.016'!$F$6</f>
        <v>42810</v>
      </c>
      <c r="G61" s="65" t="str">
        <f>+'MFP-072.016'!$G$7</f>
        <v>MWBE</v>
      </c>
      <c r="H61" s="27">
        <f>+'MFP-072.016'!$F$7</f>
        <v>1425000</v>
      </c>
      <c r="I61" s="27">
        <f>+'MFP-072.016'!$F$8</f>
        <v>1087425</v>
      </c>
      <c r="J61" s="27"/>
      <c r="K61" s="26">
        <f>+'MFP-072.016'!$G$9</f>
        <v>-0.23689473684210527</v>
      </c>
      <c r="L61" s="11" t="str">
        <f>+'MFP-072.016'!$F$11</f>
        <v>GOOD</v>
      </c>
      <c r="M61" s="62">
        <f>+'MFP-072.016'!$H$12</f>
        <v>6</v>
      </c>
      <c r="N61" s="35" t="s">
        <v>93</v>
      </c>
      <c r="O61" s="15">
        <v>1</v>
      </c>
      <c r="P61" s="35" t="s">
        <v>492</v>
      </c>
      <c r="Q61" s="15"/>
      <c r="R61" s="24"/>
      <c r="S61" s="62" t="str">
        <f>+'MFP-072.016'!$J$4</f>
        <v>Ed Minall</v>
      </c>
      <c r="T61" s="15"/>
      <c r="U61" s="15"/>
      <c r="V61" s="54">
        <f t="shared" si="8"/>
        <v>1425000</v>
      </c>
      <c r="W61" s="54">
        <f t="shared" si="8"/>
        <v>1087425</v>
      </c>
      <c r="X61" s="54">
        <f t="shared" si="9"/>
        <v>337575</v>
      </c>
    </row>
    <row r="62" spans="3:24" x14ac:dyDescent="0.25">
      <c r="C62" s="39">
        <v>2017</v>
      </c>
      <c r="D62" s="62" t="str">
        <f>+'GWB-244.263'!$F$4</f>
        <v>GWB-244.263</v>
      </c>
      <c r="E62" s="63" t="str">
        <f>+'GWB-244.263'!$F$5</f>
        <v>Replacement of Automatic Transfer Switches</v>
      </c>
      <c r="F62" s="64">
        <f>+'GWB-244.263'!$F$6</f>
        <v>42789</v>
      </c>
      <c r="G62" s="65" t="str">
        <f>+'GWB-244.263'!$G$7</f>
        <v>MWBE</v>
      </c>
      <c r="H62" s="27">
        <f>+'GWB-244.263'!$F$7</f>
        <v>240000</v>
      </c>
      <c r="I62" s="27">
        <f>+'GWB-244.263'!$F$8</f>
        <v>97300</v>
      </c>
      <c r="J62" s="27"/>
      <c r="K62" s="26">
        <f>+'GWB-244.263'!$G$9</f>
        <v>-0.59458333333333335</v>
      </c>
      <c r="L62" s="11" t="str">
        <f>+'GWB-244.263'!$F$11</f>
        <v>FAIL</v>
      </c>
      <c r="M62" s="62">
        <f>+'GWB-244.263'!$H$12</f>
        <v>6</v>
      </c>
      <c r="N62" s="35" t="s">
        <v>25</v>
      </c>
      <c r="O62" s="15">
        <v>1</v>
      </c>
      <c r="P62" s="35" t="s">
        <v>457</v>
      </c>
      <c r="Q62" s="15"/>
      <c r="R62" s="24"/>
      <c r="S62" s="62" t="str">
        <f>+'GWB-244.263'!$J$4</f>
        <v>Reddy Gunda</v>
      </c>
      <c r="T62" s="15"/>
      <c r="U62" s="15"/>
      <c r="V62" s="54">
        <f t="shared" si="8"/>
        <v>240000</v>
      </c>
      <c r="W62" s="54">
        <f t="shared" si="8"/>
        <v>97300</v>
      </c>
      <c r="X62" s="54">
        <f t="shared" si="9"/>
        <v>142700</v>
      </c>
    </row>
    <row r="63" spans="3:24" x14ac:dyDescent="0.25">
      <c r="C63" s="39">
        <v>2017</v>
      </c>
      <c r="D63" s="62" t="str">
        <f>+'GWB-244.048'!$F$4</f>
        <v>GWB-244.048</v>
      </c>
      <c r="E63" s="63" t="str">
        <f>+'GWB-244.048'!$F$5</f>
        <v>Replacement of Suspender Ropes and Rehab of Main Cables &amp; Strands</v>
      </c>
      <c r="F63" s="64">
        <f>+'GWB-244.048'!$F$6</f>
        <v>42789</v>
      </c>
      <c r="G63" s="65" t="str">
        <f>+'GWB-244.048'!$G$7</f>
        <v>PQL</v>
      </c>
      <c r="H63" s="94">
        <f>+'GWB-244.048'!$F$7</f>
        <v>479900000</v>
      </c>
      <c r="I63" s="27">
        <f>+'GWB-244.048'!$F$8</f>
        <v>451841280</v>
      </c>
      <c r="J63" s="27" t="s">
        <v>519</v>
      </c>
      <c r="K63" s="26">
        <f>+'GWB-244.048'!$G$9</f>
        <v>-5.8467847468222547E-2</v>
      </c>
      <c r="L63" s="11" t="str">
        <f>+'GWB-244.048'!$F$11</f>
        <v>GOOD</v>
      </c>
      <c r="M63" s="62">
        <f>+'GWB-244.048'!$H$12</f>
        <v>5</v>
      </c>
      <c r="N63" s="35" t="s">
        <v>226</v>
      </c>
      <c r="O63" s="15">
        <v>1</v>
      </c>
      <c r="P63" s="35" t="s">
        <v>457</v>
      </c>
      <c r="Q63" s="15"/>
      <c r="R63" s="24"/>
      <c r="S63" s="62" t="str">
        <f>+'GWB-244.048'!$J$4</f>
        <v>Reddy Gunda</v>
      </c>
      <c r="T63" s="15"/>
      <c r="U63" s="15"/>
      <c r="V63" s="54">
        <f t="shared" si="8"/>
        <v>479900000</v>
      </c>
      <c r="W63" s="54">
        <f t="shared" si="8"/>
        <v>451841280</v>
      </c>
      <c r="X63" s="54">
        <f t="shared" si="9"/>
        <v>28058720</v>
      </c>
    </row>
    <row r="64" spans="3:24" x14ac:dyDescent="0.25">
      <c r="C64" s="39">
        <v>2017</v>
      </c>
      <c r="D64" s="62" t="str">
        <f>+'LGA-124.250'!$F$4</f>
        <v>LGA-124.250</v>
      </c>
      <c r="E64" s="63" t="str">
        <f>+'LGA-124.250'!$F$5</f>
        <v>Rehab Taxiways B, AA, BB, and Associated Taxiways</v>
      </c>
      <c r="F64" s="64">
        <f>+'LGA-124.250'!$F$6</f>
        <v>42787</v>
      </c>
      <c r="G64" s="65" t="str">
        <f>+'LGA-124.250'!$G$7</f>
        <v>PQL</v>
      </c>
      <c r="H64" s="94">
        <f>+'LGA-124.250'!$F$7</f>
        <v>10393000</v>
      </c>
      <c r="I64" s="27">
        <f>+'LGA-124.250'!$F$8</f>
        <v>7903950</v>
      </c>
      <c r="J64" s="104" t="s">
        <v>519</v>
      </c>
      <c r="K64" s="26">
        <f>+'LGA-124.250'!$G$9</f>
        <v>-0.2394929279322621</v>
      </c>
      <c r="L64" s="11" t="str">
        <f>+'LGA-124.250'!$F$11</f>
        <v>FAIL</v>
      </c>
      <c r="M64" s="62">
        <f>+'LGA-124.250'!$H$12</f>
        <v>3</v>
      </c>
      <c r="N64" s="35" t="s">
        <v>93</v>
      </c>
      <c r="O64" s="15">
        <v>1</v>
      </c>
      <c r="P64" s="35" t="s">
        <v>458</v>
      </c>
      <c r="Q64" s="15"/>
      <c r="R64" s="24" t="s">
        <v>932</v>
      </c>
      <c r="S64" s="62" t="str">
        <f>+'LGA-124.250'!$J$4</f>
        <v>Joe Lucin</v>
      </c>
      <c r="T64" s="15"/>
      <c r="U64" s="15"/>
      <c r="V64" s="54">
        <f t="shared" si="8"/>
        <v>10393000</v>
      </c>
      <c r="W64" s="54">
        <f t="shared" si="8"/>
        <v>7903950</v>
      </c>
      <c r="X64" s="54">
        <f t="shared" si="9"/>
        <v>2489050</v>
      </c>
    </row>
    <row r="65" spans="3:24" x14ac:dyDescent="0.25">
      <c r="C65" s="39">
        <v>2017</v>
      </c>
      <c r="D65" s="62" t="str">
        <f>+'TEB-144.045'!$F$4</f>
        <v>TEB-144.045</v>
      </c>
      <c r="E65" s="63" t="str">
        <f>+'TEB-144.045'!$F$5</f>
        <v>Storm Drainage System Rehab Phase 1</v>
      </c>
      <c r="F65" s="64">
        <f>+'TEB-144.045'!$F$6</f>
        <v>42780</v>
      </c>
      <c r="G65" s="65" t="str">
        <f>+'TEB-144.045'!$G$7</f>
        <v>Public</v>
      </c>
      <c r="H65" s="94">
        <f>+'TEB-144.045'!$F$7</f>
        <v>2580000</v>
      </c>
      <c r="I65" s="27">
        <f>+'TEB-144.045'!$F$8</f>
        <v>1386000</v>
      </c>
      <c r="J65" s="27"/>
      <c r="K65" s="26">
        <f>+'TEB-144.045'!$G$9</f>
        <v>-0.46279069767441861</v>
      </c>
      <c r="L65" s="11" t="str">
        <f>+'TEB-144.045'!$F$11</f>
        <v>GOOD</v>
      </c>
      <c r="M65" s="62">
        <f>+'TEB-144.045'!$H$12</f>
        <v>16</v>
      </c>
      <c r="N65" s="35" t="s">
        <v>25</v>
      </c>
      <c r="O65" s="15">
        <v>1</v>
      </c>
      <c r="P65" s="35" t="s">
        <v>458</v>
      </c>
      <c r="Q65" s="15"/>
      <c r="R65" s="24" t="s">
        <v>1020</v>
      </c>
      <c r="S65" s="62" t="str">
        <f>+'EWR-924.375'!$J$4</f>
        <v>Henry Yu</v>
      </c>
      <c r="T65" s="15"/>
      <c r="U65" s="15"/>
      <c r="V65" s="54">
        <f t="shared" si="8"/>
        <v>2580000</v>
      </c>
      <c r="W65" s="54">
        <f t="shared" si="8"/>
        <v>1386000</v>
      </c>
      <c r="X65" s="54">
        <f t="shared" si="9"/>
        <v>1194000</v>
      </c>
    </row>
    <row r="66" spans="3:24" x14ac:dyDescent="0.25">
      <c r="C66" s="39">
        <v>2017</v>
      </c>
      <c r="D66" s="62" t="str">
        <f>+'EWR-924.375'!$F$4</f>
        <v>EWR-924.375</v>
      </c>
      <c r="E66" s="63" t="str">
        <f>+'EWR-924.375'!$F$5</f>
        <v>Peripheral Ditch Containment Boom Anchor Walls</v>
      </c>
      <c r="F66" s="64">
        <f>+'EWR-924.375'!$F$6</f>
        <v>42774</v>
      </c>
      <c r="G66" s="65" t="str">
        <f>+'EWR-924.375'!$G$7</f>
        <v>Public</v>
      </c>
      <c r="H66" s="94">
        <f>+'EWR-924.375'!$F$7</f>
        <v>970000</v>
      </c>
      <c r="I66" s="27">
        <f>+'EWR-924.375'!$F$8</f>
        <v>756482</v>
      </c>
      <c r="J66" s="27"/>
      <c r="K66" s="26">
        <f>+'EWR-924.375'!$G$9</f>
        <v>-0.22012164948453608</v>
      </c>
      <c r="L66" s="11" t="str">
        <f>+'EWR-924.375'!$F$11</f>
        <v>GOOD</v>
      </c>
      <c r="M66" s="62">
        <f>+'EWR-924.375'!$H$12</f>
        <v>9</v>
      </c>
      <c r="N66" s="35" t="s">
        <v>25</v>
      </c>
      <c r="O66" s="15">
        <v>1</v>
      </c>
      <c r="P66" s="35" t="s">
        <v>458</v>
      </c>
      <c r="Q66" s="15"/>
      <c r="R66" s="24"/>
      <c r="S66" s="62" t="str">
        <f>+'EWR-924.375'!$J$4</f>
        <v>Henry Yu</v>
      </c>
      <c r="T66" s="15"/>
      <c r="U66" s="15"/>
      <c r="V66" s="54">
        <f t="shared" si="8"/>
        <v>970000</v>
      </c>
      <c r="W66" s="54">
        <f t="shared" si="8"/>
        <v>756482</v>
      </c>
      <c r="X66" s="54">
        <f t="shared" si="9"/>
        <v>213518</v>
      </c>
    </row>
    <row r="67" spans="3:24" x14ac:dyDescent="0.25">
      <c r="C67" s="39">
        <v>2017</v>
      </c>
      <c r="D67" s="62" t="str">
        <f>+'GWB-924.170'!$F$4</f>
        <v>GWB-924.170</v>
      </c>
      <c r="E67" s="63" t="str">
        <f>+'GWB-924.170'!$F$5</f>
        <v>Maintenance Pavement Repairs via Work Order</v>
      </c>
      <c r="F67" s="64">
        <f>+'GWB-924.170'!$F$6</f>
        <v>42773</v>
      </c>
      <c r="G67" s="65" t="str">
        <f>+'GWB-924.170'!$G$7</f>
        <v>PQL</v>
      </c>
      <c r="H67" s="94">
        <f>+'GWB-924.170'!$F$7</f>
        <v>1965000</v>
      </c>
      <c r="I67" s="27">
        <f>+'GWB-924.170'!$F$8</f>
        <v>1450000</v>
      </c>
      <c r="J67" s="27"/>
      <c r="K67" s="26">
        <f>+'GWB-924.170'!$G$9</f>
        <v>-0.26208651399491095</v>
      </c>
      <c r="L67" s="11" t="str">
        <f>+'GWB-924.170'!$F$11</f>
        <v>GOOD</v>
      </c>
      <c r="M67" s="62">
        <f>+'GWB-924.170'!$H$12</f>
        <v>6</v>
      </c>
      <c r="N67" s="35" t="s">
        <v>226</v>
      </c>
      <c r="O67" s="15">
        <v>1</v>
      </c>
      <c r="P67" s="35" t="s">
        <v>457</v>
      </c>
      <c r="Q67" s="15"/>
      <c r="R67" s="24" t="s">
        <v>900</v>
      </c>
      <c r="S67" s="62" t="str">
        <f>+'GWB-924.170'!$J$4</f>
        <v>Reddy Gunda</v>
      </c>
      <c r="T67" s="15"/>
      <c r="U67" s="15"/>
      <c r="V67" s="54">
        <f t="shared" si="8"/>
        <v>1965000</v>
      </c>
      <c r="W67" s="54">
        <f t="shared" si="8"/>
        <v>1450000</v>
      </c>
      <c r="X67" s="54">
        <f t="shared" si="9"/>
        <v>515000</v>
      </c>
    </row>
    <row r="68" spans="3:24" x14ac:dyDescent="0.25">
      <c r="C68" s="39">
        <v>2017</v>
      </c>
      <c r="D68" s="62" t="str">
        <f>+'JFK-124.009'!$F$4</f>
        <v>JFK-124.009</v>
      </c>
      <c r="E68" s="63" t="str">
        <f>+'JFK-124.009'!$F$5</f>
        <v>Bldg 14 Roof Replacement, East Wing</v>
      </c>
      <c r="F68" s="64">
        <f>+'JFK-124.009'!$F$6</f>
        <v>42768</v>
      </c>
      <c r="G68" s="65" t="str">
        <f>+'JFK-124.009'!$G$7</f>
        <v>Public</v>
      </c>
      <c r="H68" s="94">
        <f>+'JFK-124.009'!$F$7</f>
        <v>4800000</v>
      </c>
      <c r="I68" s="27">
        <f>+'JFK-124.009'!$F$8</f>
        <v>3901193</v>
      </c>
      <c r="J68" s="27"/>
      <c r="K68" s="26">
        <f>+'JFK-124.009'!$G$9</f>
        <v>-0.18725145833333334</v>
      </c>
      <c r="L68" s="11" t="str">
        <f>+'JFK-124.009'!$F$11</f>
        <v>GOOD</v>
      </c>
      <c r="M68" s="62">
        <f>+'JFK-124.009'!$H$12</f>
        <v>14</v>
      </c>
      <c r="N68" s="35" t="s">
        <v>93</v>
      </c>
      <c r="O68" s="15">
        <v>1</v>
      </c>
      <c r="P68" s="35" t="s">
        <v>458</v>
      </c>
      <c r="Q68" s="15"/>
      <c r="R68" s="24"/>
      <c r="S68" s="62" t="str">
        <f>+'JFK-124.009'!$J$4</f>
        <v>Henry Yu</v>
      </c>
      <c r="T68" s="15"/>
      <c r="U68" s="15"/>
      <c r="V68" s="54">
        <f t="shared" si="8"/>
        <v>4800000</v>
      </c>
      <c r="W68" s="54">
        <f t="shared" si="8"/>
        <v>3901193</v>
      </c>
      <c r="X68" s="54">
        <f t="shared" si="9"/>
        <v>898807</v>
      </c>
    </row>
    <row r="69" spans="3:24" x14ac:dyDescent="0.25">
      <c r="C69" s="39">
        <v>2017</v>
      </c>
      <c r="D69" s="62" t="str">
        <f>+'MFP-924.645 Void'!$F$4</f>
        <v>MFP-924.645</v>
      </c>
      <c r="E69" s="63" t="str">
        <f>+'MFP-924.645 Void'!$F$5</f>
        <v>NJ Paving and Utility Rehab by Work Order</v>
      </c>
      <c r="F69" s="64">
        <f>+'MFP-924.645 Void'!$F$6</f>
        <v>42766</v>
      </c>
      <c r="G69" s="65"/>
      <c r="H69" s="94"/>
      <c r="I69" s="27"/>
      <c r="J69" s="27"/>
      <c r="K69" s="26"/>
      <c r="L69" s="11"/>
      <c r="M69" s="62"/>
      <c r="N69" s="35"/>
      <c r="O69" s="15"/>
      <c r="P69" s="35"/>
      <c r="Q69" s="15"/>
      <c r="R69" s="24" t="s">
        <v>472</v>
      </c>
      <c r="S69" s="62" t="str">
        <f>+'MFP-924.645 Void'!$J$4</f>
        <v>Ed Minall</v>
      </c>
      <c r="T69" s="15"/>
      <c r="U69" s="15"/>
      <c r="V69" s="54">
        <f t="shared" si="8"/>
        <v>0</v>
      </c>
      <c r="W69" s="54">
        <f t="shared" si="8"/>
        <v>0</v>
      </c>
      <c r="X69" s="54">
        <f t="shared" si="9"/>
        <v>0</v>
      </c>
    </row>
    <row r="70" spans="3:24" x14ac:dyDescent="0.25">
      <c r="C70" s="39">
        <v>2017</v>
      </c>
      <c r="D70" s="62" t="str">
        <f>+'JFK-154.022'!$F$4</f>
        <v>JFK-154.022</v>
      </c>
      <c r="E70" s="63" t="str">
        <f>+'JFK-154.022'!$F$5</f>
        <v>Vehicle Gates Security Upgrade</v>
      </c>
      <c r="F70" s="64">
        <f>+'JFK-154.022'!$F$6</f>
        <v>42765</v>
      </c>
      <c r="G70" s="65" t="str">
        <f>+'JFK-154.022'!$G$7</f>
        <v>VVP</v>
      </c>
      <c r="H70" s="94">
        <f>+'JFK-154.022'!$F$7</f>
        <v>6500000</v>
      </c>
      <c r="I70" s="27">
        <f>+'JFK-154.022'!$F$8</f>
        <v>5987000</v>
      </c>
      <c r="J70" s="27" t="s">
        <v>519</v>
      </c>
      <c r="K70" s="26">
        <f>+'JFK-154.022'!$G$9</f>
        <v>-7.8923076923076929E-2</v>
      </c>
      <c r="L70" s="11" t="str">
        <f>+'JFK-154.022'!$F$11</f>
        <v>GOOD</v>
      </c>
      <c r="M70" s="62">
        <f>+'JFK-154.022'!$H$12</f>
        <v>5</v>
      </c>
      <c r="N70" s="35" t="s">
        <v>93</v>
      </c>
      <c r="O70" s="15">
        <v>1</v>
      </c>
      <c r="P70" s="35" t="s">
        <v>458</v>
      </c>
      <c r="Q70" s="15"/>
      <c r="R70" s="24"/>
      <c r="S70" s="62" t="str">
        <f>+'JFK-154.022'!$J$4</f>
        <v>Nathan Demaisip</v>
      </c>
      <c r="T70" s="15"/>
      <c r="U70" s="15"/>
      <c r="V70" s="54">
        <f t="shared" si="8"/>
        <v>6500000</v>
      </c>
      <c r="W70" s="54">
        <f t="shared" si="8"/>
        <v>5987000</v>
      </c>
      <c r="X70" s="54">
        <f t="shared" si="9"/>
        <v>513000</v>
      </c>
    </row>
    <row r="71" spans="3:24" x14ac:dyDescent="0.25">
      <c r="C71" s="39">
        <v>2017</v>
      </c>
      <c r="D71" s="62" t="str">
        <f>+'LGA-103.015'!$F$4</f>
        <v>LGA-103.015</v>
      </c>
      <c r="E71" s="63" t="str">
        <f>+'LGA-103.015'!$F$5</f>
        <v>Pump House 6 Substation</v>
      </c>
      <c r="F71" s="64">
        <f>+'LGA-103.015'!$F$6</f>
        <v>42761</v>
      </c>
      <c r="G71" s="65" t="str">
        <f>+'LGA-103.015'!$G$7</f>
        <v>Public</v>
      </c>
      <c r="H71" s="94">
        <f>+'LGA-103.015'!$F$7</f>
        <v>5100000</v>
      </c>
      <c r="I71" s="27">
        <f>+'LGA-103.015'!$F$8</f>
        <v>4640176</v>
      </c>
      <c r="J71" s="94" t="s">
        <v>519</v>
      </c>
      <c r="K71" s="26">
        <f>+'LGA-103.015'!$G$9</f>
        <v>-9.0161568627450978E-2</v>
      </c>
      <c r="L71" s="11" t="str">
        <f>+'LGA-103.015'!$F$11</f>
        <v>GOOD</v>
      </c>
      <c r="M71" s="62">
        <f>+'LGA-103.015'!$H$12</f>
        <v>7</v>
      </c>
      <c r="N71" s="35" t="s">
        <v>93</v>
      </c>
      <c r="O71" s="15">
        <v>1</v>
      </c>
      <c r="P71" s="35" t="s">
        <v>458</v>
      </c>
      <c r="Q71" s="15"/>
      <c r="R71" s="24"/>
      <c r="S71" s="62" t="str">
        <f>+'LGA-103.015'!$J$4</f>
        <v>Joe Lucin</v>
      </c>
      <c r="T71" s="15"/>
      <c r="U71" s="15"/>
      <c r="V71" s="54">
        <f t="shared" si="8"/>
        <v>5100000</v>
      </c>
      <c r="W71" s="54">
        <f t="shared" si="8"/>
        <v>4640176</v>
      </c>
      <c r="X71" s="54">
        <f t="shared" si="9"/>
        <v>459824</v>
      </c>
    </row>
    <row r="72" spans="3:24" x14ac:dyDescent="0.25">
      <c r="C72" s="39">
        <v>2017</v>
      </c>
      <c r="D72" s="62" t="str">
        <f>+'EWR-154.392'!$F$4</f>
        <v>EWR-154.392</v>
      </c>
      <c r="E72" s="63" t="str">
        <f>+'EWR-154.392'!$F$5</f>
        <v xml:space="preserve">Terminal A Redev - Bridges N57, N58, N59 and Utilities </v>
      </c>
      <c r="F72" s="64">
        <f>+'EWR-154.392'!$F$6</f>
        <v>42759</v>
      </c>
      <c r="G72" s="65" t="str">
        <f>+'EWR-154.392'!$G$7</f>
        <v>PQL</v>
      </c>
      <c r="H72" s="94">
        <f>+'EWR-154.392'!$F$7</f>
        <v>69800000</v>
      </c>
      <c r="I72" s="27">
        <f>+'EWR-154.392'!$F$8</f>
        <v>67107000</v>
      </c>
      <c r="J72" s="27" t="s">
        <v>519</v>
      </c>
      <c r="K72" s="26">
        <f>+'EWR-154.392'!$G$9</f>
        <v>-3.8581661891117482E-2</v>
      </c>
      <c r="L72" s="11" t="str">
        <f>+'EWR-154.392'!$F$11</f>
        <v>GOOD</v>
      </c>
      <c r="M72" s="62">
        <f>+'EWR-154.392'!$H$12</f>
        <v>9</v>
      </c>
      <c r="N72" s="35" t="s">
        <v>25</v>
      </c>
      <c r="O72" s="15">
        <v>1</v>
      </c>
      <c r="P72" s="35" t="s">
        <v>458</v>
      </c>
      <c r="Q72" s="15"/>
      <c r="R72" s="24"/>
      <c r="S72" s="62" t="str">
        <f>+'EWR-154.392'!$J$4</f>
        <v>Henry Yu</v>
      </c>
      <c r="T72" s="15"/>
      <c r="U72" s="15"/>
      <c r="V72" s="54">
        <f t="shared" si="8"/>
        <v>69800000</v>
      </c>
      <c r="W72" s="54">
        <f t="shared" si="8"/>
        <v>67107000</v>
      </c>
      <c r="X72" s="54">
        <f t="shared" si="9"/>
        <v>2693000</v>
      </c>
    </row>
    <row r="73" spans="3:24" x14ac:dyDescent="0.25">
      <c r="C73" s="39">
        <v>2017</v>
      </c>
      <c r="D73" s="62" t="str">
        <f>+'HT-924.089'!$F$4</f>
        <v>HT-924.089</v>
      </c>
      <c r="E73" s="63" t="str">
        <f>+'HT-924.089'!$F$5</f>
        <v>NJ Service Building 1 and 2 Priority Repairs</v>
      </c>
      <c r="F73" s="64">
        <f>+'HT-924.089'!$F$6</f>
        <v>42753</v>
      </c>
      <c r="G73" s="65" t="str">
        <f>+'HT-924.089'!$G$7</f>
        <v>MWBE</v>
      </c>
      <c r="H73" s="94">
        <f>+'HT-924.089'!$F$7</f>
        <v>1410000</v>
      </c>
      <c r="I73" s="27">
        <f>+'HT-924.089'!$F$8</f>
        <v>1399756</v>
      </c>
      <c r="J73" s="27"/>
      <c r="K73" s="26">
        <f>+'HT-924.089'!$G$9</f>
        <v>-7.2652482269503545E-3</v>
      </c>
      <c r="L73" s="11" t="str">
        <f>+'HT-924.089'!$F$11</f>
        <v>GOOD</v>
      </c>
      <c r="M73" s="62">
        <f>+'HT-924.089'!$H$12</f>
        <v>3</v>
      </c>
      <c r="N73" s="35" t="s">
        <v>25</v>
      </c>
      <c r="O73" s="15">
        <v>1</v>
      </c>
      <c r="P73" s="35" t="s">
        <v>457</v>
      </c>
      <c r="Q73" s="15"/>
      <c r="R73" s="24"/>
      <c r="S73" s="62" t="str">
        <f>+'HT-924.089'!$J$4</f>
        <v>Reddy Gunda</v>
      </c>
      <c r="T73" s="15"/>
      <c r="U73" s="15"/>
      <c r="V73" s="54">
        <f t="shared" si="8"/>
        <v>1410000</v>
      </c>
      <c r="W73" s="54">
        <f t="shared" si="8"/>
        <v>1399756</v>
      </c>
      <c r="X73" s="54">
        <f t="shared" si="9"/>
        <v>10244</v>
      </c>
    </row>
    <row r="74" spans="3:24" x14ac:dyDescent="0.25">
      <c r="C74" s="39">
        <v>2017</v>
      </c>
      <c r="D74" s="62" t="str">
        <f>+'MFP-924.644'!$F$4</f>
        <v>MFP-924.644</v>
      </c>
      <c r="E74" s="63" t="str">
        <f>+'MFP-924.644'!$F$5</f>
        <v>NJ Marine Terminals Railroad Rehab via Work Order</v>
      </c>
      <c r="F74" s="64">
        <f>+'MFP-924.644'!$F$6</f>
        <v>42752</v>
      </c>
      <c r="G74" s="65" t="str">
        <f>+'MFP-924.644'!$G$7</f>
        <v>Public</v>
      </c>
      <c r="H74" s="94">
        <f>+'MFP-924.644'!$F$7</f>
        <v>4200000</v>
      </c>
      <c r="I74" s="27">
        <f>+'MFP-924.644'!$F$8</f>
        <v>3987114</v>
      </c>
      <c r="J74" s="27"/>
      <c r="K74" s="26">
        <f>+'MFP-924.644'!$G$9</f>
        <v>-5.0687142857142854E-2</v>
      </c>
      <c r="L74" s="11" t="str">
        <f>+'MFP-924.644'!$F$11</f>
        <v>GOOD</v>
      </c>
      <c r="M74" s="62">
        <f>+'MFP-924.644'!$H$12</f>
        <v>3</v>
      </c>
      <c r="N74" s="35" t="s">
        <v>25</v>
      </c>
      <c r="O74" s="15">
        <v>1</v>
      </c>
      <c r="P74" s="35" t="s">
        <v>492</v>
      </c>
      <c r="Q74" s="15"/>
      <c r="R74" s="24"/>
      <c r="S74" s="62" t="str">
        <f>+'MFP-924.644'!$J$4</f>
        <v>Ed Minall</v>
      </c>
      <c r="T74" s="15"/>
      <c r="U74" s="15"/>
      <c r="V74" s="54">
        <f t="shared" ref="V74:W76" si="10">+H74</f>
        <v>4200000</v>
      </c>
      <c r="W74" s="54">
        <f t="shared" si="10"/>
        <v>3987114</v>
      </c>
      <c r="X74" s="54">
        <f t="shared" si="9"/>
        <v>212886</v>
      </c>
    </row>
    <row r="75" spans="3:24" x14ac:dyDescent="0.25">
      <c r="C75" s="39">
        <v>2017</v>
      </c>
      <c r="D75" s="62" t="str">
        <f>+'JFK-1067'!$F$4</f>
        <v>JFK-1067</v>
      </c>
      <c r="E75" s="63" t="str">
        <f>+'JFK-1067'!$F$5</f>
        <v>Asphalt Pavement Repairs via Work Order</v>
      </c>
      <c r="F75" s="64">
        <f>+'JFK-1067'!$F$6</f>
        <v>42746</v>
      </c>
      <c r="G75" s="65" t="str">
        <f>+'JFK-1067'!$G$7</f>
        <v>PQL</v>
      </c>
      <c r="H75" s="94">
        <f>+'JFK-1067'!$F$7</f>
        <v>12071025</v>
      </c>
      <c r="I75" s="27">
        <f>+'JFK-1067'!$F$8</f>
        <v>9977777</v>
      </c>
      <c r="J75" s="104" t="s">
        <v>519</v>
      </c>
      <c r="K75" s="26">
        <f>+'JFK-1067'!$G$9</f>
        <v>-0.17341095723022693</v>
      </c>
      <c r="L75" s="11" t="str">
        <f>+'JFK-1067'!$F$11</f>
        <v>FAIL</v>
      </c>
      <c r="M75" s="62">
        <f>+'JFK-1067'!$H$12</f>
        <v>3</v>
      </c>
      <c r="N75" s="35" t="s">
        <v>93</v>
      </c>
      <c r="O75" s="15">
        <v>1</v>
      </c>
      <c r="P75" s="35" t="s">
        <v>458</v>
      </c>
      <c r="Q75" s="15"/>
      <c r="R75" s="24"/>
      <c r="S75" s="62" t="str">
        <f>+'JFK-1067'!$J$4</f>
        <v>Henry Yu</v>
      </c>
      <c r="T75" s="15"/>
      <c r="U75" s="15"/>
      <c r="V75" s="54">
        <f t="shared" si="10"/>
        <v>12071025</v>
      </c>
      <c r="W75" s="54">
        <f t="shared" si="10"/>
        <v>9977777</v>
      </c>
      <c r="X75" s="54">
        <f t="shared" si="9"/>
        <v>2093248</v>
      </c>
    </row>
    <row r="76" spans="3:24" x14ac:dyDescent="0.25">
      <c r="C76" s="39">
        <v>2017</v>
      </c>
      <c r="D76" s="62" t="str">
        <f>+'JFK-124.016'!$F$4</f>
        <v>JFK-124.016</v>
      </c>
      <c r="E76" s="63" t="str">
        <f>+'JFK-124.016'!$F$5</f>
        <v>Rehab Taxiway Q, QG and Restricted Vehicle Service Road</v>
      </c>
      <c r="F76" s="64">
        <f>+'JFK-124.016'!$F$6</f>
        <v>42739</v>
      </c>
      <c r="G76" s="65" t="str">
        <f>+'JFK-124.016'!$G$7</f>
        <v>PQL</v>
      </c>
      <c r="H76" s="94">
        <f>+'JFK-124.016'!$F$7</f>
        <v>28695000</v>
      </c>
      <c r="I76" s="27">
        <f>+'JFK-124.016'!$F$8</f>
        <v>31768035</v>
      </c>
      <c r="J76" s="27" t="s">
        <v>519</v>
      </c>
      <c r="K76" s="26">
        <f>+'JFK-124.016'!$G$9</f>
        <v>0.10709304756926294</v>
      </c>
      <c r="L76" s="11" t="str">
        <f>+'JFK-124.016'!$F$11</f>
        <v>GOOD</v>
      </c>
      <c r="M76" s="62">
        <f>+'JFK-124.016'!$H$12</f>
        <v>2</v>
      </c>
      <c r="N76" s="35" t="s">
        <v>93</v>
      </c>
      <c r="O76" s="15">
        <v>1</v>
      </c>
      <c r="P76" s="35" t="s">
        <v>458</v>
      </c>
      <c r="Q76" s="15"/>
      <c r="R76" s="24"/>
      <c r="S76" s="62" t="str">
        <f>+'JFK-124.016'!$J$4</f>
        <v>Henry Yu</v>
      </c>
      <c r="T76" s="15"/>
      <c r="U76" s="15"/>
      <c r="V76" s="54">
        <f t="shared" si="10"/>
        <v>28695000</v>
      </c>
      <c r="W76" s="54">
        <f t="shared" si="10"/>
        <v>31768035</v>
      </c>
      <c r="X76" s="54">
        <f t="shared" si="9"/>
        <v>-3073035</v>
      </c>
    </row>
    <row r="77" spans="3:24" x14ac:dyDescent="0.25">
      <c r="C77" s="39"/>
      <c r="D77" s="15"/>
      <c r="E77" s="24"/>
      <c r="F77" s="25"/>
      <c r="G77" s="46"/>
      <c r="H77" s="27"/>
      <c r="I77" s="27"/>
      <c r="J77" s="27"/>
      <c r="K77" s="26"/>
      <c r="L77" s="11"/>
      <c r="M77" s="62"/>
      <c r="P77" s="11"/>
      <c r="V77" s="54"/>
      <c r="W77" s="54"/>
      <c r="X77" s="54"/>
    </row>
    <row r="78" spans="3:24" x14ac:dyDescent="0.25">
      <c r="C78" s="39"/>
      <c r="D78" s="15"/>
      <c r="E78" s="24"/>
      <c r="F78" s="25"/>
      <c r="G78" s="46"/>
      <c r="H78" s="27"/>
      <c r="I78" s="27"/>
      <c r="J78" s="27"/>
      <c r="K78" s="26"/>
      <c r="L78" s="11"/>
      <c r="M78" s="15"/>
      <c r="P78" s="11"/>
      <c r="V78" s="54"/>
      <c r="W78" s="54"/>
      <c r="X78" s="54"/>
    </row>
    <row r="79" spans="3:24" x14ac:dyDescent="0.25">
      <c r="C79" s="39"/>
      <c r="D79" s="15"/>
      <c r="E79" s="24"/>
      <c r="F79" s="25"/>
      <c r="G79" s="46"/>
      <c r="H79" s="27"/>
      <c r="I79" s="27"/>
      <c r="J79" s="27"/>
      <c r="K79" s="26"/>
      <c r="L79" s="11"/>
      <c r="M79" s="15"/>
      <c r="P79" s="11"/>
      <c r="V79" s="54"/>
      <c r="W79" s="54"/>
      <c r="X79" s="54"/>
    </row>
    <row r="80" spans="3:24" x14ac:dyDescent="0.25">
      <c r="C80" s="39"/>
      <c r="G80" s="46"/>
      <c r="H80" s="68"/>
      <c r="L80">
        <f>COUNTA(L6:L76)</f>
        <v>65</v>
      </c>
      <c r="P80" s="11"/>
      <c r="V80" s="54"/>
      <c r="W80" s="54"/>
      <c r="X80" s="54"/>
    </row>
    <row r="81" spans="3:24" x14ac:dyDescent="0.25">
      <c r="C81" s="39"/>
      <c r="G81" s="45"/>
      <c r="H81" s="69"/>
      <c r="L81">
        <v>23</v>
      </c>
      <c r="M81" t="s">
        <v>789</v>
      </c>
      <c r="N81" s="76" t="s">
        <v>819</v>
      </c>
      <c r="P81" s="11"/>
      <c r="V81" s="54"/>
      <c r="W81" s="54"/>
      <c r="X81" s="54"/>
    </row>
    <row r="82" spans="3:24" x14ac:dyDescent="0.25">
      <c r="C82" s="39"/>
      <c r="G82" s="45"/>
      <c r="H82" s="69"/>
      <c r="L82">
        <f>+L80-L81</f>
        <v>42</v>
      </c>
      <c r="M82" t="s">
        <v>790</v>
      </c>
      <c r="P82" s="11"/>
      <c r="V82" s="54"/>
      <c r="W82" s="54"/>
      <c r="X82" s="54"/>
    </row>
    <row r="83" spans="3:24" x14ac:dyDescent="0.25">
      <c r="C83" s="39"/>
      <c r="G83" s="45"/>
      <c r="H83" s="67"/>
      <c r="L83">
        <f>+L82/L80</f>
        <v>0.64615384615384619</v>
      </c>
      <c r="P83" s="11"/>
    </row>
    <row r="84" spans="3:24" x14ac:dyDescent="0.25">
      <c r="C84" s="39"/>
      <c r="G84" s="45"/>
      <c r="P84" s="11"/>
    </row>
    <row r="85" spans="3:24" x14ac:dyDescent="0.25">
      <c r="C85" s="39"/>
      <c r="G85" s="45"/>
      <c r="H85" s="55">
        <f>SUM(H6:H76)</f>
        <v>1120409025</v>
      </c>
      <c r="I85" s="55">
        <f>SUM(I6:I76)</f>
        <v>1039196416</v>
      </c>
      <c r="J85" s="7">
        <f>+I85/H85</f>
        <v>0.92751521347304389</v>
      </c>
      <c r="L85" s="4">
        <f>COUNTA(L6:L76)-H80</f>
        <v>65</v>
      </c>
      <c r="P85" s="11"/>
    </row>
    <row r="86" spans="3:24" x14ac:dyDescent="0.25">
      <c r="C86" s="39"/>
      <c r="G86" s="45"/>
      <c r="L86">
        <f>+L81-H81</f>
        <v>23</v>
      </c>
      <c r="M86" t="s">
        <v>789</v>
      </c>
      <c r="P86" s="11"/>
    </row>
    <row r="87" spans="3:24" x14ac:dyDescent="0.25">
      <c r="C87" s="39"/>
      <c r="G87" s="45"/>
      <c r="L87">
        <f>+L82-H82</f>
        <v>42</v>
      </c>
      <c r="M87" t="s">
        <v>790</v>
      </c>
      <c r="P87" s="11"/>
    </row>
    <row r="88" spans="3:24" x14ac:dyDescent="0.25">
      <c r="C88" s="39"/>
      <c r="G88" s="45"/>
      <c r="L88">
        <f>+L87/L85</f>
        <v>0.64615384615384619</v>
      </c>
      <c r="P88" s="11"/>
    </row>
    <row r="89" spans="3:24" x14ac:dyDescent="0.25">
      <c r="C89" s="39"/>
      <c r="G89" s="45"/>
      <c r="P89" s="11"/>
    </row>
    <row r="90" spans="3:24" x14ac:dyDescent="0.25">
      <c r="C90" s="39"/>
      <c r="G90" s="45"/>
      <c r="P90" s="11"/>
    </row>
    <row r="91" spans="3:24" x14ac:dyDescent="0.25">
      <c r="C91" s="39"/>
      <c r="E91" s="120" t="s">
        <v>1167</v>
      </c>
      <c r="F91" s="70" t="str">
        <f>"'15 final"</f>
        <v>'15 final</v>
      </c>
      <c r="G91" s="70" t="str">
        <f>"'16 final"</f>
        <v>'16 final</v>
      </c>
      <c r="H91" s="116" t="str">
        <f>"'17 final"</f>
        <v>'17 final</v>
      </c>
      <c r="P91" s="11"/>
    </row>
    <row r="92" spans="3:24" x14ac:dyDescent="0.25">
      <c r="C92" s="39"/>
      <c r="E92" s="71" t="s">
        <v>800</v>
      </c>
      <c r="F92" s="11">
        <v>36</v>
      </c>
      <c r="G92" s="11">
        <v>43</v>
      </c>
      <c r="H92" s="103">
        <f>+L80</f>
        <v>65</v>
      </c>
      <c r="P92" s="11"/>
    </row>
    <row r="93" spans="3:24" x14ac:dyDescent="0.25">
      <c r="C93" s="39"/>
      <c r="E93" s="72" t="s">
        <v>801</v>
      </c>
      <c r="F93" s="11">
        <v>24</v>
      </c>
      <c r="G93" s="11">
        <v>36</v>
      </c>
      <c r="H93" s="103">
        <f>+H92-H94</f>
        <v>41</v>
      </c>
      <c r="P93" s="11"/>
    </row>
    <row r="94" spans="3:24" x14ac:dyDescent="0.25">
      <c r="C94" s="39"/>
      <c r="E94" s="72" t="s">
        <v>802</v>
      </c>
      <c r="F94" s="11">
        <v>12</v>
      </c>
      <c r="G94" s="11">
        <v>7</v>
      </c>
      <c r="H94" s="103">
        <v>24</v>
      </c>
      <c r="P94" s="11"/>
    </row>
    <row r="95" spans="3:24" x14ac:dyDescent="0.25">
      <c r="C95" s="39"/>
      <c r="E95" s="72"/>
      <c r="F95" s="11"/>
      <c r="G95" s="11"/>
      <c r="H95" s="103"/>
      <c r="P95" s="11"/>
    </row>
    <row r="96" spans="3:24" x14ac:dyDescent="0.25">
      <c r="C96" s="39"/>
      <c r="E96" s="72" t="s">
        <v>1144</v>
      </c>
      <c r="F96" s="78">
        <v>170</v>
      </c>
      <c r="G96" s="78">
        <v>348.82968799999998</v>
      </c>
      <c r="H96" s="117">
        <f>+I85/1000000</f>
        <v>1039.196416</v>
      </c>
      <c r="P96" s="11"/>
    </row>
    <row r="97" spans="3:19" x14ac:dyDescent="0.25">
      <c r="C97" s="39"/>
      <c r="E97" s="72" t="s">
        <v>806</v>
      </c>
      <c r="F97" s="75">
        <v>6.416666666666667</v>
      </c>
      <c r="G97" s="75">
        <v>5.8837209302325579</v>
      </c>
      <c r="H97" s="118">
        <f>AVERAGE(M6:M76)</f>
        <v>5.3076923076923075</v>
      </c>
      <c r="P97" s="11"/>
    </row>
    <row r="98" spans="3:19" x14ac:dyDescent="0.25">
      <c r="C98" s="39"/>
      <c r="E98" s="72" t="s">
        <v>807</v>
      </c>
      <c r="F98" s="74">
        <v>1.024</v>
      </c>
      <c r="G98" s="74">
        <v>0.83587858746624299</v>
      </c>
      <c r="H98" s="119">
        <f>+J85</f>
        <v>0.92751521347304389</v>
      </c>
      <c r="P98" s="11"/>
    </row>
    <row r="99" spans="3:19" x14ac:dyDescent="0.25">
      <c r="C99" s="39"/>
      <c r="E99" s="72"/>
      <c r="F99" s="11"/>
      <c r="G99" s="11"/>
      <c r="H99" s="103"/>
      <c r="P99" s="11"/>
    </row>
    <row r="100" spans="3:19" x14ac:dyDescent="0.25">
      <c r="C100" s="39"/>
      <c r="E100" s="72" t="s">
        <v>803</v>
      </c>
      <c r="F100" s="74">
        <v>0.55500000000000005</v>
      </c>
      <c r="G100" s="74">
        <v>0.62790697674418605</v>
      </c>
      <c r="H100" s="146">
        <f>+L83</f>
        <v>0.64615384615384619</v>
      </c>
      <c r="P100" s="11"/>
    </row>
    <row r="101" spans="3:19" x14ac:dyDescent="0.25">
      <c r="C101" s="106">
        <f>+L81-C102</f>
        <v>14</v>
      </c>
      <c r="D101" s="52" t="s">
        <v>789</v>
      </c>
      <c r="E101" s="72" t="s">
        <v>804</v>
      </c>
      <c r="F101" s="74">
        <v>0.5</v>
      </c>
      <c r="G101" s="74">
        <v>0.63888888888888884</v>
      </c>
      <c r="H101" s="147">
        <f>(H93-C101)/H93</f>
        <v>0.65853658536585369</v>
      </c>
      <c r="P101" s="11"/>
    </row>
    <row r="102" spans="3:19" x14ac:dyDescent="0.25">
      <c r="C102" s="106">
        <v>9</v>
      </c>
      <c r="D102" s="52" t="s">
        <v>789</v>
      </c>
      <c r="E102" s="72" t="s">
        <v>805</v>
      </c>
      <c r="F102" s="74">
        <v>0.66700000000000004</v>
      </c>
      <c r="G102" s="74">
        <v>0.5714285714285714</v>
      </c>
      <c r="H102" s="147">
        <f>(H94-C102)/H94</f>
        <v>0.625</v>
      </c>
      <c r="P102" s="11"/>
    </row>
    <row r="103" spans="3:19" x14ac:dyDescent="0.25">
      <c r="C103" s="39"/>
      <c r="E103" s="72"/>
      <c r="F103" s="11"/>
      <c r="G103" s="11"/>
      <c r="H103" s="103"/>
      <c r="P103" s="11"/>
    </row>
    <row r="104" spans="3:19" x14ac:dyDescent="0.25">
      <c r="C104" s="39"/>
      <c r="E104" s="72" t="s">
        <v>1141</v>
      </c>
      <c r="F104" s="11">
        <v>15</v>
      </c>
      <c r="G104" s="11">
        <v>13</v>
      </c>
      <c r="H104" s="103">
        <v>25</v>
      </c>
    </row>
    <row r="105" spans="3:19" x14ac:dyDescent="0.25">
      <c r="E105" s="105" t="s">
        <v>1143</v>
      </c>
      <c r="F105" s="74">
        <f>+F104/F92</f>
        <v>0.41666666666666669</v>
      </c>
      <c r="G105" s="74">
        <f>+G104/G92</f>
        <v>0.30232558139534882</v>
      </c>
      <c r="H105" s="107">
        <f>+H104/H92</f>
        <v>0.38461538461538464</v>
      </c>
    </row>
    <row r="106" spans="3:19" x14ac:dyDescent="0.25">
      <c r="C106" s="39"/>
      <c r="E106" s="72" t="s">
        <v>1142</v>
      </c>
      <c r="F106" s="11">
        <v>5</v>
      </c>
      <c r="G106" s="11">
        <v>3</v>
      </c>
      <c r="H106" s="103">
        <v>2</v>
      </c>
    </row>
    <row r="107" spans="3:19" x14ac:dyDescent="0.25">
      <c r="C107" s="39"/>
      <c r="E107" s="105" t="s">
        <v>1168</v>
      </c>
      <c r="F107" s="74">
        <f>+F106/F92</f>
        <v>0.1388888888888889</v>
      </c>
      <c r="G107" s="74">
        <f>+G106/G92</f>
        <v>6.9767441860465115E-2</v>
      </c>
      <c r="H107" s="107">
        <f>+H106/H92</f>
        <v>3.0769230769230771E-2</v>
      </c>
    </row>
    <row r="108" spans="3:19" x14ac:dyDescent="0.25">
      <c r="C108" s="39"/>
      <c r="E108" s="72"/>
      <c r="F108" s="11"/>
      <c r="G108" s="11"/>
    </row>
    <row r="109" spans="3:19" x14ac:dyDescent="0.25">
      <c r="C109" s="39"/>
      <c r="E109" s="72"/>
      <c r="F109" s="11"/>
      <c r="G109" s="11"/>
    </row>
    <row r="110" spans="3:19" x14ac:dyDescent="0.25">
      <c r="C110" s="79"/>
      <c r="D110" s="80"/>
      <c r="E110" s="81"/>
      <c r="F110" s="82"/>
      <c r="G110" s="82"/>
      <c r="H110" s="80"/>
      <c r="I110" s="80"/>
      <c r="J110" s="80"/>
      <c r="K110" s="80"/>
      <c r="L110" s="80"/>
      <c r="M110" s="80"/>
      <c r="N110" s="82"/>
      <c r="O110" s="80"/>
      <c r="P110" s="80"/>
      <c r="Q110" s="80"/>
      <c r="R110" s="80"/>
      <c r="S110" s="80"/>
    </row>
    <row r="111" spans="3:19" x14ac:dyDescent="0.25">
      <c r="C111" s="39"/>
      <c r="E111" s="36"/>
      <c r="G111" s="45"/>
    </row>
    <row r="112" spans="3:19" x14ac:dyDescent="0.25">
      <c r="C112" s="39"/>
      <c r="G112" s="45"/>
    </row>
    <row r="113" spans="3:24" x14ac:dyDescent="0.25">
      <c r="C113" s="39"/>
      <c r="D113" s="31" t="s">
        <v>837</v>
      </c>
      <c r="G113" s="45"/>
    </row>
    <row r="114" spans="3:24" x14ac:dyDescent="0.25">
      <c r="C114" s="39">
        <v>2017</v>
      </c>
      <c r="D114" s="102" t="s">
        <v>1150</v>
      </c>
      <c r="E114" s="63" t="s">
        <v>1151</v>
      </c>
      <c r="F114" s="64">
        <v>43083</v>
      </c>
      <c r="G114" s="65" t="s">
        <v>693</v>
      </c>
      <c r="H114" s="94">
        <v>979000</v>
      </c>
      <c r="I114" s="27">
        <v>1168000</v>
      </c>
      <c r="J114" s="27"/>
      <c r="K114" s="26">
        <v>0.1930541368743616</v>
      </c>
      <c r="L114" s="11" t="s">
        <v>465</v>
      </c>
      <c r="M114" s="15">
        <v>2</v>
      </c>
      <c r="N114" s="35" t="s">
        <v>25</v>
      </c>
      <c r="O114" s="15">
        <v>4</v>
      </c>
      <c r="P114" s="35" t="s">
        <v>458</v>
      </c>
      <c r="Q114" s="15"/>
      <c r="R114" s="24"/>
      <c r="S114" s="62" t="s">
        <v>784</v>
      </c>
      <c r="T114" s="15"/>
      <c r="U114" s="15"/>
      <c r="V114" s="54">
        <v>979000</v>
      </c>
      <c r="W114" s="54">
        <v>1168000</v>
      </c>
      <c r="X114" s="54">
        <v>-189000</v>
      </c>
    </row>
    <row r="115" spans="3:24" x14ac:dyDescent="0.25">
      <c r="C115" s="39">
        <v>2017</v>
      </c>
      <c r="D115" s="102" t="s">
        <v>1147</v>
      </c>
      <c r="E115" s="63" t="s">
        <v>1148</v>
      </c>
      <c r="F115" s="64">
        <v>43083</v>
      </c>
      <c r="G115" s="65"/>
      <c r="H115" s="94"/>
      <c r="I115" s="27"/>
      <c r="J115" s="27"/>
      <c r="K115" s="26"/>
      <c r="L115" s="11"/>
      <c r="M115" s="15"/>
      <c r="N115" s="35"/>
      <c r="O115" s="15"/>
      <c r="P115" s="35"/>
      <c r="Q115" s="15"/>
      <c r="R115" s="24" t="s">
        <v>227</v>
      </c>
      <c r="S115" s="62" t="s">
        <v>816</v>
      </c>
      <c r="T115" s="15"/>
      <c r="U115" s="15"/>
      <c r="V115" s="54">
        <v>1765000</v>
      </c>
      <c r="W115" s="54">
        <v>2248420</v>
      </c>
      <c r="X115" s="54">
        <v>-483420</v>
      </c>
    </row>
    <row r="116" spans="3:24" x14ac:dyDescent="0.25">
      <c r="C116" s="39">
        <v>2017</v>
      </c>
      <c r="D116" s="102" t="s">
        <v>1136</v>
      </c>
      <c r="E116" s="63" t="s">
        <v>1137</v>
      </c>
      <c r="F116" s="64">
        <v>43074</v>
      </c>
      <c r="G116" s="65" t="s">
        <v>34</v>
      </c>
      <c r="H116" s="94">
        <v>1530000</v>
      </c>
      <c r="I116" s="27">
        <v>1189000</v>
      </c>
      <c r="J116" s="27"/>
      <c r="K116" s="26">
        <v>-0.22287581699346407</v>
      </c>
      <c r="L116" s="11" t="s">
        <v>464</v>
      </c>
      <c r="M116" s="15">
        <v>3</v>
      </c>
      <c r="N116" s="35" t="s">
        <v>25</v>
      </c>
      <c r="O116" s="15">
        <v>4</v>
      </c>
      <c r="P116" s="35" t="s">
        <v>458</v>
      </c>
      <c r="Q116" s="15"/>
      <c r="R116" s="24"/>
      <c r="S116" s="62" t="s">
        <v>616</v>
      </c>
      <c r="T116" s="15"/>
      <c r="U116" s="15"/>
      <c r="V116" s="54">
        <v>1530000</v>
      </c>
      <c r="W116" s="54">
        <v>1189000</v>
      </c>
      <c r="X116" s="54">
        <v>341000</v>
      </c>
    </row>
    <row r="117" spans="3:24" x14ac:dyDescent="0.25">
      <c r="C117" s="39">
        <v>2017</v>
      </c>
      <c r="D117" s="102" t="s">
        <v>1129</v>
      </c>
      <c r="E117" s="63" t="s">
        <v>1130</v>
      </c>
      <c r="F117" s="64">
        <v>43068</v>
      </c>
      <c r="G117" s="65" t="s">
        <v>34</v>
      </c>
      <c r="H117" s="94">
        <v>6600000</v>
      </c>
      <c r="I117" s="27">
        <v>5189333</v>
      </c>
      <c r="J117" s="27" t="s">
        <v>519</v>
      </c>
      <c r="K117" s="26">
        <v>-0.21373742424242423</v>
      </c>
      <c r="L117" s="11" t="s">
        <v>464</v>
      </c>
      <c r="M117" s="15">
        <v>7</v>
      </c>
      <c r="N117" s="35" t="s">
        <v>25</v>
      </c>
      <c r="O117" s="15">
        <v>4</v>
      </c>
      <c r="P117" s="35" t="s">
        <v>458</v>
      </c>
      <c r="Q117" s="15"/>
      <c r="R117" s="24"/>
      <c r="S117" s="62" t="s">
        <v>616</v>
      </c>
      <c r="T117" s="15"/>
      <c r="U117" s="15"/>
      <c r="V117" s="54">
        <v>6600000</v>
      </c>
      <c r="W117" s="54">
        <v>5189333</v>
      </c>
      <c r="X117" s="54">
        <v>1410667</v>
      </c>
    </row>
    <row r="118" spans="3:24" x14ac:dyDescent="0.25">
      <c r="C118" s="39">
        <v>2017</v>
      </c>
      <c r="D118" s="62" t="s">
        <v>1124</v>
      </c>
      <c r="E118" s="63" t="s">
        <v>1125</v>
      </c>
      <c r="F118" s="64">
        <v>43053</v>
      </c>
      <c r="G118" s="65" t="s">
        <v>693</v>
      </c>
      <c r="H118" s="94">
        <v>820000</v>
      </c>
      <c r="I118" s="27">
        <v>861500</v>
      </c>
      <c r="J118" s="27"/>
      <c r="K118" s="26">
        <v>5.0609756097560979E-2</v>
      </c>
      <c r="L118" s="11" t="s">
        <v>464</v>
      </c>
      <c r="M118" s="15">
        <v>4</v>
      </c>
      <c r="N118" s="35" t="s">
        <v>25</v>
      </c>
      <c r="O118" s="15">
        <v>4</v>
      </c>
      <c r="P118" s="35" t="s">
        <v>458</v>
      </c>
      <c r="Q118" s="15"/>
      <c r="R118" s="24"/>
      <c r="S118" s="62" t="s">
        <v>616</v>
      </c>
      <c r="T118" s="15"/>
      <c r="U118" s="15"/>
      <c r="V118" s="54">
        <v>820000</v>
      </c>
      <c r="W118" s="54">
        <v>861500</v>
      </c>
      <c r="X118" s="54">
        <v>-41500</v>
      </c>
    </row>
    <row r="119" spans="3:24" x14ac:dyDescent="0.25">
      <c r="C119" s="39">
        <v>2017</v>
      </c>
      <c r="D119" s="62" t="s">
        <v>1118</v>
      </c>
      <c r="E119" s="63" t="s">
        <v>1119</v>
      </c>
      <c r="F119" s="64">
        <v>43048</v>
      </c>
      <c r="G119" s="65" t="s">
        <v>34</v>
      </c>
      <c r="H119" s="94">
        <v>4860000</v>
      </c>
      <c r="I119" s="27">
        <v>3418000</v>
      </c>
      <c r="J119" s="27"/>
      <c r="K119" s="26">
        <v>-0.29670781893004117</v>
      </c>
      <c r="L119" s="11" t="s">
        <v>464</v>
      </c>
      <c r="M119" s="15">
        <v>8</v>
      </c>
      <c r="N119" s="35" t="s">
        <v>25</v>
      </c>
      <c r="O119" s="15">
        <v>4</v>
      </c>
      <c r="P119" s="35" t="s">
        <v>492</v>
      </c>
      <c r="Q119" s="15"/>
      <c r="R119" s="24"/>
      <c r="S119" s="62" t="s">
        <v>816</v>
      </c>
      <c r="T119" s="15"/>
      <c r="U119" s="15"/>
      <c r="V119" s="54">
        <v>4860000</v>
      </c>
      <c r="W119" s="54">
        <v>3418000</v>
      </c>
      <c r="X119" s="54">
        <v>1442000</v>
      </c>
    </row>
    <row r="120" spans="3:24" x14ac:dyDescent="0.25">
      <c r="C120" s="39">
        <v>2017</v>
      </c>
      <c r="D120" s="62" t="s">
        <v>1116</v>
      </c>
      <c r="E120" s="63" t="s">
        <v>1117</v>
      </c>
      <c r="F120" s="64">
        <v>43047</v>
      </c>
      <c r="G120" s="65" t="s">
        <v>190</v>
      </c>
      <c r="H120" s="94">
        <v>26900000</v>
      </c>
      <c r="I120" s="27">
        <v>26600000</v>
      </c>
      <c r="J120" s="27" t="s">
        <v>519</v>
      </c>
      <c r="K120" s="26">
        <v>-1.1152416356877323E-2</v>
      </c>
      <c r="L120" s="11" t="s">
        <v>464</v>
      </c>
      <c r="M120" s="15">
        <v>3</v>
      </c>
      <c r="N120" s="35" t="s">
        <v>25</v>
      </c>
      <c r="O120" s="15">
        <v>4</v>
      </c>
      <c r="P120" s="35" t="s">
        <v>458</v>
      </c>
      <c r="Q120" s="15"/>
      <c r="R120" s="24"/>
      <c r="S120" s="62" t="s">
        <v>616</v>
      </c>
      <c r="T120" s="15"/>
      <c r="U120" s="15"/>
      <c r="V120" s="54">
        <v>26900000</v>
      </c>
      <c r="W120" s="54">
        <v>26600000</v>
      </c>
      <c r="X120" s="54">
        <v>300000</v>
      </c>
    </row>
    <row r="121" spans="3:24" x14ac:dyDescent="0.25">
      <c r="C121" s="39">
        <v>2017</v>
      </c>
      <c r="D121" s="62" t="s">
        <v>1107</v>
      </c>
      <c r="E121" s="63" t="s">
        <v>1109</v>
      </c>
      <c r="F121" s="64">
        <v>43034</v>
      </c>
      <c r="G121" s="65" t="s">
        <v>756</v>
      </c>
      <c r="H121" s="94">
        <v>2194000</v>
      </c>
      <c r="I121" s="27">
        <v>1361078</v>
      </c>
      <c r="J121" s="27"/>
      <c r="K121" s="26">
        <v>-0.3796362807657247</v>
      </c>
      <c r="L121" s="11" t="s">
        <v>465</v>
      </c>
      <c r="M121" s="15">
        <v>6</v>
      </c>
      <c r="N121" s="35" t="s">
        <v>25</v>
      </c>
      <c r="O121" s="15">
        <v>4</v>
      </c>
      <c r="P121" s="35" t="s">
        <v>459</v>
      </c>
      <c r="Q121" s="15"/>
      <c r="R121" s="24"/>
      <c r="S121" s="62" t="s">
        <v>447</v>
      </c>
      <c r="T121" s="15"/>
      <c r="U121" s="15"/>
      <c r="V121" s="54">
        <v>2194000</v>
      </c>
      <c r="W121" s="54">
        <v>1361078</v>
      </c>
      <c r="X121" s="54">
        <v>832922</v>
      </c>
    </row>
    <row r="122" spans="3:24" x14ac:dyDescent="0.25">
      <c r="C122" s="39">
        <v>2017</v>
      </c>
      <c r="D122" s="62" t="s">
        <v>1099</v>
      </c>
      <c r="E122" s="63" t="s">
        <v>1100</v>
      </c>
      <c r="F122" s="64">
        <v>43025</v>
      </c>
      <c r="G122" s="65" t="s">
        <v>34</v>
      </c>
      <c r="H122" s="94">
        <v>3000000</v>
      </c>
      <c r="I122" s="27">
        <v>2812500</v>
      </c>
      <c r="J122" s="27"/>
      <c r="K122" s="26">
        <v>-6.25E-2</v>
      </c>
      <c r="L122" s="11" t="s">
        <v>464</v>
      </c>
      <c r="M122" s="15">
        <v>2</v>
      </c>
      <c r="N122" s="35" t="s">
        <v>25</v>
      </c>
      <c r="O122" s="15">
        <v>4</v>
      </c>
      <c r="P122" s="35" t="s">
        <v>458</v>
      </c>
      <c r="Q122" s="15"/>
      <c r="R122" s="24"/>
      <c r="S122" s="62" t="s">
        <v>616</v>
      </c>
      <c r="T122" s="15"/>
      <c r="U122" s="15"/>
      <c r="V122" s="54">
        <v>3000000</v>
      </c>
      <c r="W122" s="54">
        <v>2812500</v>
      </c>
      <c r="X122" s="54">
        <v>187500</v>
      </c>
    </row>
    <row r="123" spans="3:24" x14ac:dyDescent="0.25">
      <c r="C123" s="39">
        <v>2017</v>
      </c>
      <c r="D123" s="62" t="s">
        <v>1093</v>
      </c>
      <c r="E123" s="63" t="s">
        <v>1094</v>
      </c>
      <c r="F123" s="64">
        <v>43013</v>
      </c>
      <c r="G123" s="65" t="s">
        <v>34</v>
      </c>
      <c r="H123" s="94">
        <v>970000</v>
      </c>
      <c r="I123" s="27">
        <v>1285000</v>
      </c>
      <c r="J123" s="27"/>
      <c r="K123" s="26">
        <v>0.32474226804123713</v>
      </c>
      <c r="L123" s="11" t="s">
        <v>465</v>
      </c>
      <c r="M123" s="15">
        <v>6</v>
      </c>
      <c r="N123" s="35" t="s">
        <v>25</v>
      </c>
      <c r="O123" s="15">
        <v>4</v>
      </c>
      <c r="P123" s="35" t="s">
        <v>458</v>
      </c>
      <c r="Q123" s="15"/>
      <c r="R123" s="24"/>
      <c r="S123" s="62" t="s">
        <v>616</v>
      </c>
      <c r="T123" s="15"/>
      <c r="U123" s="15"/>
      <c r="V123" s="54">
        <v>970000</v>
      </c>
      <c r="W123" s="54">
        <v>1285000</v>
      </c>
      <c r="X123" s="54">
        <v>-315000</v>
      </c>
    </row>
    <row r="124" spans="3:24" x14ac:dyDescent="0.25">
      <c r="C124" s="39">
        <v>2017</v>
      </c>
      <c r="D124" s="62" t="s">
        <v>1070</v>
      </c>
      <c r="E124" s="63" t="s">
        <v>1071</v>
      </c>
      <c r="F124" s="64">
        <v>42997</v>
      </c>
      <c r="G124" s="65" t="s">
        <v>34</v>
      </c>
      <c r="H124" s="94">
        <v>1326000</v>
      </c>
      <c r="I124" s="27">
        <v>1976491</v>
      </c>
      <c r="J124" s="27"/>
      <c r="K124" s="26">
        <v>0.49056636500754147</v>
      </c>
      <c r="L124" s="11" t="s">
        <v>465</v>
      </c>
      <c r="M124" s="15">
        <v>4</v>
      </c>
      <c r="N124" s="35" t="s">
        <v>25</v>
      </c>
      <c r="O124" s="15">
        <v>3</v>
      </c>
      <c r="P124" s="35" t="s">
        <v>457</v>
      </c>
      <c r="Q124" s="15"/>
      <c r="R124" s="24"/>
      <c r="S124" s="62" t="s">
        <v>784</v>
      </c>
      <c r="T124" s="15"/>
      <c r="U124" s="15"/>
      <c r="V124" s="54">
        <v>1326000</v>
      </c>
      <c r="W124" s="54">
        <v>1976491</v>
      </c>
      <c r="X124" s="54">
        <v>-650491</v>
      </c>
    </row>
    <row r="125" spans="3:24" x14ac:dyDescent="0.25">
      <c r="C125" s="39">
        <v>2017</v>
      </c>
      <c r="D125" s="62" t="s">
        <v>1068</v>
      </c>
      <c r="E125" s="63" t="s">
        <v>1069</v>
      </c>
      <c r="F125" s="64">
        <v>42964</v>
      </c>
      <c r="G125" s="65" t="s">
        <v>190</v>
      </c>
      <c r="H125" s="94">
        <v>8500000</v>
      </c>
      <c r="I125" s="27">
        <v>5682000</v>
      </c>
      <c r="J125" s="104" t="s">
        <v>519</v>
      </c>
      <c r="K125" s="26">
        <v>-0.33152941176470591</v>
      </c>
      <c r="L125" s="11" t="s">
        <v>465</v>
      </c>
      <c r="M125" s="15">
        <v>3</v>
      </c>
      <c r="N125" s="35" t="s">
        <v>25</v>
      </c>
      <c r="O125" s="15">
        <v>3</v>
      </c>
      <c r="P125" s="35" t="s">
        <v>458</v>
      </c>
      <c r="Q125" s="15"/>
      <c r="R125" s="24"/>
      <c r="S125" s="62" t="s">
        <v>616</v>
      </c>
      <c r="T125" s="15"/>
      <c r="U125" s="15"/>
      <c r="V125" s="54">
        <v>8500000</v>
      </c>
      <c r="W125" s="54">
        <v>5682000</v>
      </c>
      <c r="X125" s="54">
        <v>2818000</v>
      </c>
    </row>
    <row r="126" spans="3:24" x14ac:dyDescent="0.25">
      <c r="C126" s="39">
        <v>2017</v>
      </c>
      <c r="D126" s="62" t="s">
        <v>1060</v>
      </c>
      <c r="E126" s="63" t="s">
        <v>1061</v>
      </c>
      <c r="F126" s="64">
        <v>42950</v>
      </c>
      <c r="G126" s="65" t="s">
        <v>190</v>
      </c>
      <c r="H126" s="94">
        <v>13720000</v>
      </c>
      <c r="I126" s="27">
        <v>11539200</v>
      </c>
      <c r="J126" s="27" t="s">
        <v>519</v>
      </c>
      <c r="K126" s="26">
        <v>-0.15895043731778424</v>
      </c>
      <c r="L126" s="11" t="s">
        <v>464</v>
      </c>
      <c r="M126" s="15">
        <v>4</v>
      </c>
      <c r="N126" s="35" t="s">
        <v>25</v>
      </c>
      <c r="O126" s="15">
        <v>3</v>
      </c>
      <c r="P126" s="35" t="s">
        <v>492</v>
      </c>
      <c r="Q126" s="15"/>
      <c r="R126" s="24"/>
      <c r="S126" s="62" t="s">
        <v>816</v>
      </c>
      <c r="T126" s="15"/>
      <c r="U126" s="15"/>
      <c r="V126" s="54">
        <v>13720000</v>
      </c>
      <c r="W126" s="54">
        <v>11539200</v>
      </c>
      <c r="X126" s="54">
        <v>2180800</v>
      </c>
    </row>
    <row r="127" spans="3:24" x14ac:dyDescent="0.25">
      <c r="C127" s="101">
        <v>2017</v>
      </c>
      <c r="D127" s="62" t="s">
        <v>1042</v>
      </c>
      <c r="E127" s="63" t="s">
        <v>1043</v>
      </c>
      <c r="F127" s="64">
        <v>42913</v>
      </c>
      <c r="G127" s="65" t="s">
        <v>190</v>
      </c>
      <c r="H127" s="94">
        <v>1480000</v>
      </c>
      <c r="I127" s="27">
        <v>1483000</v>
      </c>
      <c r="J127" s="27"/>
      <c r="K127" s="26">
        <v>2.0270270270270271E-3</v>
      </c>
      <c r="L127" s="11" t="s">
        <v>464</v>
      </c>
      <c r="M127" s="15">
        <v>7</v>
      </c>
      <c r="N127" s="35" t="s">
        <v>25</v>
      </c>
      <c r="O127" s="15">
        <v>2</v>
      </c>
      <c r="P127" s="35" t="s">
        <v>459</v>
      </c>
      <c r="Q127" s="15"/>
      <c r="R127" s="24"/>
      <c r="S127" s="62" t="s">
        <v>447</v>
      </c>
      <c r="T127" s="15"/>
      <c r="U127" s="15"/>
      <c r="V127" s="54">
        <v>1480000</v>
      </c>
      <c r="W127" s="54">
        <v>1483000</v>
      </c>
      <c r="X127" s="54">
        <v>-3000</v>
      </c>
    </row>
    <row r="128" spans="3:24" x14ac:dyDescent="0.25">
      <c r="C128" s="101">
        <v>2017</v>
      </c>
      <c r="D128" s="62" t="s">
        <v>1038</v>
      </c>
      <c r="E128" s="63" t="s">
        <v>1039</v>
      </c>
      <c r="F128" s="64">
        <v>42901</v>
      </c>
      <c r="G128" s="65" t="s">
        <v>693</v>
      </c>
      <c r="H128" s="94">
        <v>850000</v>
      </c>
      <c r="I128" s="27">
        <v>887000</v>
      </c>
      <c r="J128" s="27"/>
      <c r="K128" s="26">
        <v>4.3529411764705879E-2</v>
      </c>
      <c r="L128" s="11" t="s">
        <v>464</v>
      </c>
      <c r="M128" s="15">
        <v>3</v>
      </c>
      <c r="N128" s="35" t="s">
        <v>25</v>
      </c>
      <c r="O128" s="15">
        <v>2</v>
      </c>
      <c r="P128" s="35" t="s">
        <v>458</v>
      </c>
      <c r="Q128" s="15"/>
      <c r="R128" s="24"/>
      <c r="S128" s="62" t="s">
        <v>616</v>
      </c>
      <c r="T128" s="15"/>
      <c r="U128" s="15"/>
      <c r="V128" s="54">
        <v>850000</v>
      </c>
      <c r="W128" s="54">
        <v>887000</v>
      </c>
      <c r="X128" s="54">
        <v>-37000</v>
      </c>
    </row>
    <row r="129" spans="3:24" x14ac:dyDescent="0.25">
      <c r="C129" s="39">
        <v>2017</v>
      </c>
      <c r="D129" s="62" t="s">
        <v>1035</v>
      </c>
      <c r="E129" s="63" t="s">
        <v>1036</v>
      </c>
      <c r="F129" s="64">
        <v>42900</v>
      </c>
      <c r="G129" s="65" t="s">
        <v>756</v>
      </c>
      <c r="H129" s="94">
        <v>2900000</v>
      </c>
      <c r="I129" s="27">
        <v>1157000</v>
      </c>
      <c r="J129" s="27"/>
      <c r="K129" s="26">
        <v>-0.6010344827586207</v>
      </c>
      <c r="L129" s="11" t="s">
        <v>465</v>
      </c>
      <c r="M129" s="15">
        <v>5</v>
      </c>
      <c r="N129" s="35" t="s">
        <v>25</v>
      </c>
      <c r="O129" s="15">
        <v>2</v>
      </c>
      <c r="P129" s="35" t="s">
        <v>458</v>
      </c>
      <c r="Q129" s="15"/>
      <c r="R129" s="24"/>
      <c r="S129" s="62" t="s">
        <v>447</v>
      </c>
      <c r="T129" s="15"/>
      <c r="U129" s="15"/>
      <c r="V129" s="54">
        <v>2900000</v>
      </c>
      <c r="W129" s="54">
        <v>1157000</v>
      </c>
      <c r="X129" s="54">
        <v>1743000</v>
      </c>
    </row>
    <row r="130" spans="3:24" x14ac:dyDescent="0.25">
      <c r="C130" s="39">
        <v>2017</v>
      </c>
      <c r="D130" s="62" t="s">
        <v>1025</v>
      </c>
      <c r="E130" s="63" t="s">
        <v>1026</v>
      </c>
      <c r="F130" s="64">
        <v>42893</v>
      </c>
      <c r="G130" s="65" t="s">
        <v>693</v>
      </c>
      <c r="H130" s="94">
        <v>650000</v>
      </c>
      <c r="I130" s="27">
        <v>865508</v>
      </c>
      <c r="J130" s="27"/>
      <c r="K130" s="26">
        <v>0.3315507692307692</v>
      </c>
      <c r="L130" s="11" t="s">
        <v>465</v>
      </c>
      <c r="M130" s="15">
        <v>3</v>
      </c>
      <c r="N130" s="35" t="s">
        <v>25</v>
      </c>
      <c r="O130" s="15">
        <v>2</v>
      </c>
      <c r="P130" s="35" t="s">
        <v>458</v>
      </c>
      <c r="Q130" s="15"/>
      <c r="R130" s="24"/>
      <c r="S130" s="62" t="s">
        <v>616</v>
      </c>
      <c r="T130" s="15"/>
      <c r="U130" s="15"/>
      <c r="V130" s="54">
        <v>650000</v>
      </c>
      <c r="W130" s="54">
        <v>865508</v>
      </c>
      <c r="X130" s="54">
        <v>-215508</v>
      </c>
    </row>
    <row r="131" spans="3:24" x14ac:dyDescent="0.25">
      <c r="C131" s="39">
        <v>2017</v>
      </c>
      <c r="D131" s="62" t="s">
        <v>1023</v>
      </c>
      <c r="E131" s="63" t="s">
        <v>1024</v>
      </c>
      <c r="F131" s="64">
        <v>42893</v>
      </c>
      <c r="G131" s="65" t="s">
        <v>693</v>
      </c>
      <c r="H131" s="94">
        <v>1070000</v>
      </c>
      <c r="I131" s="27">
        <v>758000</v>
      </c>
      <c r="J131" s="27"/>
      <c r="K131" s="26">
        <v>-0.29158878504672897</v>
      </c>
      <c r="L131" s="11" t="s">
        <v>465</v>
      </c>
      <c r="M131" s="15">
        <v>5</v>
      </c>
      <c r="N131" s="35" t="s">
        <v>25</v>
      </c>
      <c r="O131" s="15">
        <v>2</v>
      </c>
      <c r="P131" s="35" t="s">
        <v>458</v>
      </c>
      <c r="Q131" s="15"/>
      <c r="R131" s="24"/>
      <c r="S131" s="62" t="s">
        <v>616</v>
      </c>
      <c r="T131" s="15"/>
      <c r="U131" s="15"/>
      <c r="V131" s="54">
        <v>1070000</v>
      </c>
      <c r="W131" s="54">
        <v>758000</v>
      </c>
      <c r="X131" s="54">
        <v>312000</v>
      </c>
    </row>
    <row r="132" spans="3:24" x14ac:dyDescent="0.25">
      <c r="C132" s="39">
        <v>2017</v>
      </c>
      <c r="D132" s="62" t="s">
        <v>1021</v>
      </c>
      <c r="E132" s="63" t="s">
        <v>1022</v>
      </c>
      <c r="F132" s="64">
        <v>42892</v>
      </c>
      <c r="G132" s="65" t="s">
        <v>34</v>
      </c>
      <c r="H132" s="94">
        <v>771000</v>
      </c>
      <c r="I132" s="27">
        <v>946600</v>
      </c>
      <c r="J132" s="27"/>
      <c r="K132" s="26">
        <v>0.22775616083009079</v>
      </c>
      <c r="L132" s="11" t="s">
        <v>465</v>
      </c>
      <c r="M132" s="15">
        <v>2</v>
      </c>
      <c r="N132" s="35" t="s">
        <v>25</v>
      </c>
      <c r="O132" s="15">
        <v>2</v>
      </c>
      <c r="P132" s="35" t="s">
        <v>457</v>
      </c>
      <c r="Q132" s="15"/>
      <c r="R132" s="24"/>
      <c r="S132" s="62" t="s">
        <v>630</v>
      </c>
      <c r="T132" s="15"/>
      <c r="U132" s="15"/>
      <c r="V132" s="54">
        <v>771000</v>
      </c>
      <c r="W132" s="54">
        <v>946600</v>
      </c>
      <c r="X132" s="54">
        <v>-175600</v>
      </c>
    </row>
    <row r="133" spans="3:24" x14ac:dyDescent="0.25">
      <c r="C133" s="39">
        <v>2017</v>
      </c>
      <c r="D133" s="62" t="s">
        <v>1014</v>
      </c>
      <c r="E133" s="63" t="s">
        <v>1015</v>
      </c>
      <c r="F133" s="64">
        <v>42886</v>
      </c>
      <c r="G133" s="65" t="s">
        <v>34</v>
      </c>
      <c r="H133" s="94">
        <v>1140000</v>
      </c>
      <c r="I133" s="27">
        <v>904780</v>
      </c>
      <c r="J133" s="27"/>
      <c r="K133" s="26">
        <v>-0.20633333333333334</v>
      </c>
      <c r="L133" s="11" t="s">
        <v>464</v>
      </c>
      <c r="M133" s="15">
        <v>9</v>
      </c>
      <c r="N133" s="35" t="s">
        <v>25</v>
      </c>
      <c r="O133" s="15">
        <v>2</v>
      </c>
      <c r="P133" s="35" t="s">
        <v>458</v>
      </c>
      <c r="Q133" s="15"/>
      <c r="R133" s="24"/>
      <c r="S133" s="62" t="s">
        <v>616</v>
      </c>
      <c r="T133" s="15"/>
      <c r="U133" s="15"/>
      <c r="V133" s="54">
        <v>1140000</v>
      </c>
      <c r="W133" s="54">
        <v>904780</v>
      </c>
      <c r="X133" s="54">
        <v>235220</v>
      </c>
    </row>
    <row r="134" spans="3:24" x14ac:dyDescent="0.25">
      <c r="C134" s="39">
        <v>2017</v>
      </c>
      <c r="D134" s="62" t="s">
        <v>1018</v>
      </c>
      <c r="E134" s="63" t="s">
        <v>1019</v>
      </c>
      <c r="F134" s="64">
        <v>42873</v>
      </c>
      <c r="G134" s="65" t="s">
        <v>756</v>
      </c>
      <c r="H134" s="94">
        <v>29400000</v>
      </c>
      <c r="I134" s="27">
        <v>40981000</v>
      </c>
      <c r="J134" s="104" t="s">
        <v>519</v>
      </c>
      <c r="K134" s="26">
        <v>0.39391156462585036</v>
      </c>
      <c r="L134" s="11" t="s">
        <v>465</v>
      </c>
      <c r="M134" s="15">
        <v>2</v>
      </c>
      <c r="N134" s="35" t="s">
        <v>25</v>
      </c>
      <c r="O134" s="15">
        <v>2</v>
      </c>
      <c r="P134" s="35" t="s">
        <v>459</v>
      </c>
      <c r="Q134" s="15"/>
      <c r="R134" s="24"/>
      <c r="S134" s="62" t="s">
        <v>447</v>
      </c>
      <c r="T134" s="15"/>
      <c r="U134" s="15"/>
      <c r="V134" s="54">
        <v>29400000</v>
      </c>
      <c r="W134" s="54">
        <v>40981000</v>
      </c>
      <c r="X134" s="54">
        <v>-11581000</v>
      </c>
    </row>
    <row r="135" spans="3:24" x14ac:dyDescent="0.25">
      <c r="C135" s="39">
        <v>2017</v>
      </c>
      <c r="D135" s="62" t="s">
        <v>999</v>
      </c>
      <c r="E135" s="63" t="s">
        <v>1000</v>
      </c>
      <c r="F135" s="64">
        <v>42871</v>
      </c>
      <c r="G135" s="65" t="s">
        <v>34</v>
      </c>
      <c r="H135" s="94">
        <v>9000000</v>
      </c>
      <c r="I135" s="27">
        <v>10805265</v>
      </c>
      <c r="J135" s="104" t="s">
        <v>519</v>
      </c>
      <c r="K135" s="26">
        <v>0.20058500000000001</v>
      </c>
      <c r="L135" s="11" t="s">
        <v>465</v>
      </c>
      <c r="M135" s="15">
        <v>2</v>
      </c>
      <c r="N135" s="35" t="s">
        <v>25</v>
      </c>
      <c r="O135" s="15">
        <v>2</v>
      </c>
      <c r="P135" s="35" t="s">
        <v>492</v>
      </c>
      <c r="Q135" s="15"/>
      <c r="R135" s="24"/>
      <c r="S135" s="62" t="s">
        <v>816</v>
      </c>
      <c r="T135" s="15"/>
      <c r="U135" s="15"/>
      <c r="V135" s="54">
        <v>9000000</v>
      </c>
      <c r="W135" s="54">
        <v>10805265</v>
      </c>
      <c r="X135" s="54">
        <v>-1805265</v>
      </c>
    </row>
    <row r="136" spans="3:24" x14ac:dyDescent="0.25">
      <c r="C136" s="39">
        <v>2017</v>
      </c>
      <c r="D136" s="62" t="s">
        <v>989</v>
      </c>
      <c r="E136" s="63" t="s">
        <v>879</v>
      </c>
      <c r="F136" s="64">
        <v>42845</v>
      </c>
      <c r="G136" s="65" t="s">
        <v>693</v>
      </c>
      <c r="H136" s="94">
        <v>2625000</v>
      </c>
      <c r="I136" s="27">
        <v>2472675</v>
      </c>
      <c r="J136" s="27"/>
      <c r="K136" s="26">
        <v>-5.8028571428571429E-2</v>
      </c>
      <c r="L136" s="11" t="s">
        <v>464</v>
      </c>
      <c r="M136" s="15">
        <v>6</v>
      </c>
      <c r="N136" s="35" t="s">
        <v>25</v>
      </c>
      <c r="O136" s="15">
        <v>2</v>
      </c>
      <c r="P136" s="35" t="s">
        <v>492</v>
      </c>
      <c r="Q136" s="15"/>
      <c r="R136" s="24"/>
      <c r="S136" s="62" t="s">
        <v>816</v>
      </c>
      <c r="T136" s="15"/>
      <c r="U136" s="15"/>
      <c r="V136" s="54">
        <v>2625000</v>
      </c>
      <c r="W136" s="54">
        <v>2472675</v>
      </c>
      <c r="X136" s="54">
        <v>152325</v>
      </c>
    </row>
    <row r="137" spans="3:24" x14ac:dyDescent="0.25">
      <c r="C137" s="39">
        <v>2017</v>
      </c>
      <c r="D137" s="62" t="s">
        <v>987</v>
      </c>
      <c r="E137" s="63" t="s">
        <v>988</v>
      </c>
      <c r="F137" s="64">
        <v>42845</v>
      </c>
      <c r="G137" s="65" t="s">
        <v>34</v>
      </c>
      <c r="H137" s="94">
        <v>1520000</v>
      </c>
      <c r="I137" s="27">
        <v>994200</v>
      </c>
      <c r="J137" s="27"/>
      <c r="K137" s="26">
        <v>-0.34592105263157896</v>
      </c>
      <c r="L137" s="11" t="s">
        <v>464</v>
      </c>
      <c r="M137" s="15">
        <v>4</v>
      </c>
      <c r="N137" s="35" t="s">
        <v>25</v>
      </c>
      <c r="O137" s="15">
        <v>2</v>
      </c>
      <c r="P137" s="35" t="s">
        <v>492</v>
      </c>
      <c r="Q137" s="15"/>
      <c r="R137" s="24"/>
      <c r="S137" s="62" t="s">
        <v>816</v>
      </c>
      <c r="T137" s="15"/>
      <c r="U137" s="15"/>
      <c r="V137" s="54">
        <v>1520000</v>
      </c>
      <c r="W137" s="54">
        <v>994200</v>
      </c>
      <c r="X137" s="54">
        <v>525800</v>
      </c>
    </row>
    <row r="138" spans="3:24" x14ac:dyDescent="0.25">
      <c r="C138" s="39">
        <v>2017</v>
      </c>
      <c r="D138" s="62" t="s">
        <v>986</v>
      </c>
      <c r="E138" s="63" t="s">
        <v>982</v>
      </c>
      <c r="F138" s="64">
        <v>42845</v>
      </c>
      <c r="G138" s="65" t="s">
        <v>190</v>
      </c>
      <c r="H138" s="94">
        <v>12630000</v>
      </c>
      <c r="I138" s="27">
        <v>10849023</v>
      </c>
      <c r="J138" s="27" t="s">
        <v>519</v>
      </c>
      <c r="K138" s="26">
        <v>-0.14101163895486934</v>
      </c>
      <c r="L138" s="11" t="s">
        <v>464</v>
      </c>
      <c r="M138" s="15">
        <v>2</v>
      </c>
      <c r="N138" s="35" t="s">
        <v>25</v>
      </c>
      <c r="O138" s="15">
        <v>2</v>
      </c>
      <c r="P138" s="35" t="s">
        <v>458</v>
      </c>
      <c r="Q138" s="15"/>
      <c r="R138" s="24"/>
      <c r="S138" s="62" t="s">
        <v>616</v>
      </c>
      <c r="T138" s="15"/>
      <c r="U138" s="15"/>
      <c r="V138" s="54">
        <v>12630000</v>
      </c>
      <c r="W138" s="54">
        <v>10849023</v>
      </c>
      <c r="X138" s="54">
        <v>1780977</v>
      </c>
    </row>
    <row r="139" spans="3:24" x14ac:dyDescent="0.25">
      <c r="C139" s="39">
        <v>2017</v>
      </c>
      <c r="D139" s="62" t="s">
        <v>983</v>
      </c>
      <c r="E139" s="63" t="s">
        <v>985</v>
      </c>
      <c r="F139" s="64">
        <v>42844</v>
      </c>
      <c r="G139" s="65" t="s">
        <v>190</v>
      </c>
      <c r="H139" s="94">
        <v>30360000</v>
      </c>
      <c r="I139" s="27">
        <v>32920674</v>
      </c>
      <c r="J139" s="27" t="s">
        <v>519</v>
      </c>
      <c r="K139" s="26">
        <v>8.4343675889328062E-2</v>
      </c>
      <c r="L139" s="11" t="s">
        <v>464</v>
      </c>
      <c r="M139" s="15">
        <v>3</v>
      </c>
      <c r="N139" s="35" t="s">
        <v>25</v>
      </c>
      <c r="O139" s="15">
        <v>2</v>
      </c>
      <c r="P139" s="35" t="s">
        <v>459</v>
      </c>
      <c r="Q139" s="15"/>
      <c r="R139" s="24"/>
      <c r="S139" s="62" t="s">
        <v>447</v>
      </c>
      <c r="T139" s="15"/>
      <c r="U139" s="15"/>
      <c r="V139" s="54">
        <v>30360000</v>
      </c>
      <c r="W139" s="54">
        <v>32920674</v>
      </c>
      <c r="X139" s="54">
        <v>-2560674</v>
      </c>
    </row>
    <row r="140" spans="3:24" x14ac:dyDescent="0.25">
      <c r="C140" s="39">
        <v>2017</v>
      </c>
      <c r="D140" s="62" t="s">
        <v>981</v>
      </c>
      <c r="E140" s="63" t="s">
        <v>982</v>
      </c>
      <c r="F140" s="64">
        <v>42844</v>
      </c>
      <c r="G140" s="65" t="s">
        <v>190</v>
      </c>
      <c r="H140" s="94">
        <v>18870000</v>
      </c>
      <c r="I140" s="27">
        <v>19910000</v>
      </c>
      <c r="J140" s="27" t="s">
        <v>519</v>
      </c>
      <c r="K140" s="26">
        <v>5.5113937466878642E-2</v>
      </c>
      <c r="L140" s="11" t="s">
        <v>464</v>
      </c>
      <c r="M140" s="15">
        <v>3</v>
      </c>
      <c r="N140" s="35" t="s">
        <v>25</v>
      </c>
      <c r="O140" s="15">
        <v>2</v>
      </c>
      <c r="P140" s="35" t="s">
        <v>458</v>
      </c>
      <c r="Q140" s="15"/>
      <c r="R140" s="24"/>
      <c r="S140" s="62" t="s">
        <v>616</v>
      </c>
      <c r="T140" s="15"/>
      <c r="U140" s="15"/>
      <c r="V140" s="54">
        <v>18870000</v>
      </c>
      <c r="W140" s="54">
        <v>19910000</v>
      </c>
      <c r="X140" s="54">
        <v>-1040000</v>
      </c>
    </row>
    <row r="141" spans="3:24" x14ac:dyDescent="0.25">
      <c r="C141" s="39">
        <v>2017</v>
      </c>
      <c r="D141" s="62" t="s">
        <v>941</v>
      </c>
      <c r="E141" s="63" t="s">
        <v>940</v>
      </c>
      <c r="F141" s="64">
        <v>42789</v>
      </c>
      <c r="G141" s="65" t="s">
        <v>693</v>
      </c>
      <c r="H141" s="27">
        <v>240000</v>
      </c>
      <c r="I141" s="27">
        <v>97300</v>
      </c>
      <c r="J141" s="27"/>
      <c r="K141" s="26">
        <v>-0.59458333333333335</v>
      </c>
      <c r="L141" s="11" t="s">
        <v>465</v>
      </c>
      <c r="M141" s="15">
        <v>6</v>
      </c>
      <c r="N141" s="35" t="s">
        <v>25</v>
      </c>
      <c r="O141" s="15">
        <v>1</v>
      </c>
      <c r="P141" s="35" t="s">
        <v>457</v>
      </c>
      <c r="Q141" s="15"/>
      <c r="R141" s="24"/>
      <c r="S141" s="62" t="s">
        <v>630</v>
      </c>
      <c r="T141" s="15"/>
      <c r="U141" s="15"/>
      <c r="V141" s="54">
        <v>240000</v>
      </c>
      <c r="W141" s="54">
        <v>97300</v>
      </c>
      <c r="X141" s="54">
        <v>142700</v>
      </c>
    </row>
    <row r="142" spans="3:24" x14ac:dyDescent="0.25">
      <c r="C142" s="39">
        <v>2017</v>
      </c>
      <c r="D142" s="62" t="s">
        <v>916</v>
      </c>
      <c r="E142" s="63" t="s">
        <v>917</v>
      </c>
      <c r="F142" s="64">
        <v>42780</v>
      </c>
      <c r="G142" s="65" t="s">
        <v>34</v>
      </c>
      <c r="H142" s="94">
        <v>2580000</v>
      </c>
      <c r="I142" s="27">
        <v>1386000</v>
      </c>
      <c r="J142" s="27"/>
      <c r="K142" s="26">
        <v>-0.46279069767441861</v>
      </c>
      <c r="L142" s="11" t="s">
        <v>464</v>
      </c>
      <c r="M142" s="15">
        <v>16</v>
      </c>
      <c r="N142" s="35" t="s">
        <v>25</v>
      </c>
      <c r="O142" s="15">
        <v>1</v>
      </c>
      <c r="P142" s="35" t="s">
        <v>458</v>
      </c>
      <c r="Q142" s="15"/>
      <c r="R142" s="24" t="s">
        <v>1020</v>
      </c>
      <c r="S142" s="62" t="s">
        <v>616</v>
      </c>
      <c r="T142" s="15"/>
      <c r="U142" s="15"/>
      <c r="V142" s="54">
        <v>2580000</v>
      </c>
      <c r="W142" s="54">
        <v>1386000</v>
      </c>
      <c r="X142" s="54">
        <v>1194000</v>
      </c>
    </row>
    <row r="143" spans="3:24" x14ac:dyDescent="0.25">
      <c r="C143" s="39">
        <v>2017</v>
      </c>
      <c r="D143" s="62" t="s">
        <v>901</v>
      </c>
      <c r="E143" s="63" t="s">
        <v>902</v>
      </c>
      <c r="F143" s="64">
        <v>42774</v>
      </c>
      <c r="G143" s="65" t="s">
        <v>34</v>
      </c>
      <c r="H143" s="94">
        <v>970000</v>
      </c>
      <c r="I143" s="27">
        <v>756482</v>
      </c>
      <c r="J143" s="27"/>
      <c r="K143" s="26">
        <v>-0.22012164948453608</v>
      </c>
      <c r="L143" s="11" t="s">
        <v>464</v>
      </c>
      <c r="M143" s="15">
        <v>9</v>
      </c>
      <c r="N143" s="35" t="s">
        <v>25</v>
      </c>
      <c r="O143" s="15">
        <v>1</v>
      </c>
      <c r="P143" s="35" t="s">
        <v>458</v>
      </c>
      <c r="Q143" s="15"/>
      <c r="R143" s="24"/>
      <c r="S143" s="62" t="s">
        <v>616</v>
      </c>
      <c r="T143" s="15"/>
      <c r="U143" s="15"/>
      <c r="V143" s="54">
        <v>970000</v>
      </c>
      <c r="W143" s="54">
        <v>756482</v>
      </c>
      <c r="X143" s="54">
        <v>213518</v>
      </c>
    </row>
    <row r="144" spans="3:24" x14ac:dyDescent="0.25">
      <c r="C144" s="39">
        <v>2017</v>
      </c>
      <c r="D144" s="62" t="s">
        <v>862</v>
      </c>
      <c r="E144" s="63" t="s">
        <v>863</v>
      </c>
      <c r="F144" s="64">
        <v>42759</v>
      </c>
      <c r="G144" s="65" t="s">
        <v>190</v>
      </c>
      <c r="H144" s="94">
        <v>69800000</v>
      </c>
      <c r="I144" s="27">
        <v>67107000</v>
      </c>
      <c r="J144" s="27" t="s">
        <v>519</v>
      </c>
      <c r="K144" s="26">
        <v>-3.8581661891117482E-2</v>
      </c>
      <c r="L144" s="11" t="s">
        <v>464</v>
      </c>
      <c r="M144" s="15">
        <v>9</v>
      </c>
      <c r="N144" s="35" t="s">
        <v>25</v>
      </c>
      <c r="O144" s="15">
        <v>1</v>
      </c>
      <c r="P144" s="35" t="s">
        <v>458</v>
      </c>
      <c r="Q144" s="15"/>
      <c r="R144" s="24"/>
      <c r="S144" s="62" t="s">
        <v>616</v>
      </c>
      <c r="T144" s="15"/>
      <c r="U144" s="15"/>
      <c r="V144" s="54">
        <v>69800000</v>
      </c>
      <c r="W144" s="54">
        <v>67107000</v>
      </c>
      <c r="X144" s="54">
        <v>2693000</v>
      </c>
    </row>
    <row r="145" spans="3:24" x14ac:dyDescent="0.25">
      <c r="C145" s="39">
        <v>2017</v>
      </c>
      <c r="D145" s="62" t="s">
        <v>857</v>
      </c>
      <c r="E145" s="63" t="s">
        <v>858</v>
      </c>
      <c r="F145" s="64">
        <v>42753</v>
      </c>
      <c r="G145" s="65" t="s">
        <v>693</v>
      </c>
      <c r="H145" s="94">
        <v>1410000</v>
      </c>
      <c r="I145" s="27">
        <v>1399756</v>
      </c>
      <c r="J145" s="27"/>
      <c r="K145" s="26">
        <v>-7.2652482269503545E-3</v>
      </c>
      <c r="L145" s="11" t="s">
        <v>464</v>
      </c>
      <c r="M145" s="15">
        <v>3</v>
      </c>
      <c r="N145" s="35" t="s">
        <v>25</v>
      </c>
      <c r="O145" s="15">
        <v>1</v>
      </c>
      <c r="P145" s="35" t="s">
        <v>457</v>
      </c>
      <c r="Q145" s="15"/>
      <c r="R145" s="24"/>
      <c r="S145" s="62" t="s">
        <v>630</v>
      </c>
      <c r="T145" s="15"/>
      <c r="U145" s="15"/>
      <c r="V145" s="54">
        <v>1410000</v>
      </c>
      <c r="W145" s="54">
        <v>1399756</v>
      </c>
      <c r="X145" s="54">
        <v>10244</v>
      </c>
    </row>
    <row r="146" spans="3:24" x14ac:dyDescent="0.25">
      <c r="C146" s="39">
        <v>2017</v>
      </c>
      <c r="D146" s="62" t="s">
        <v>832</v>
      </c>
      <c r="E146" s="63" t="s">
        <v>833</v>
      </c>
      <c r="F146" s="64">
        <v>42752</v>
      </c>
      <c r="G146" s="65" t="s">
        <v>34</v>
      </c>
      <c r="H146" s="94">
        <v>4200000</v>
      </c>
      <c r="I146" s="27">
        <v>3987114</v>
      </c>
      <c r="J146" s="27"/>
      <c r="K146" s="26">
        <v>-5.0687142857142854E-2</v>
      </c>
      <c r="L146" s="11" t="s">
        <v>464</v>
      </c>
      <c r="M146" s="15">
        <v>3</v>
      </c>
      <c r="N146" s="35" t="s">
        <v>25</v>
      </c>
      <c r="O146" s="15">
        <v>1</v>
      </c>
      <c r="P146" s="35" t="s">
        <v>492</v>
      </c>
      <c r="Q146" s="15"/>
      <c r="R146" s="24"/>
      <c r="S146" s="62" t="s">
        <v>816</v>
      </c>
      <c r="T146" s="15"/>
      <c r="U146" s="15"/>
      <c r="V146" s="54">
        <v>4200000</v>
      </c>
      <c r="W146" s="54">
        <v>3987114</v>
      </c>
      <c r="X146" s="54">
        <v>212886</v>
      </c>
    </row>
    <row r="147" spans="3:24" x14ac:dyDescent="0.25">
      <c r="C147" s="39"/>
      <c r="E147" s="85"/>
      <c r="F147" s="85"/>
      <c r="G147" s="85"/>
      <c r="H147" s="86">
        <f>SUM(H114:H146)</f>
        <v>263865000</v>
      </c>
      <c r="I147" s="86">
        <f>SUM(I114:I146)</f>
        <v>263750479</v>
      </c>
      <c r="J147" s="85"/>
      <c r="K147" s="87">
        <f>+I147/H147</f>
        <v>0.99956598639455785</v>
      </c>
      <c r="L147" s="85">
        <f>COUNTA(L113:L146)</f>
        <v>32</v>
      </c>
      <c r="M147" s="88">
        <f>SUM(M114:M146)/L147</f>
        <v>4.8125</v>
      </c>
      <c r="N147" s="89"/>
      <c r="O147" s="85"/>
      <c r="P147" s="114">
        <f>20/L147</f>
        <v>0.625</v>
      </c>
      <c r="Q147" s="85"/>
    </row>
    <row r="148" spans="3:24" x14ac:dyDescent="0.25">
      <c r="C148" s="39"/>
      <c r="G148" s="45"/>
    </row>
    <row r="149" spans="3:24" x14ac:dyDescent="0.25">
      <c r="C149" s="39"/>
      <c r="D149" s="83" t="s">
        <v>838</v>
      </c>
      <c r="G149" s="45"/>
    </row>
    <row r="150" spans="3:24" x14ac:dyDescent="0.25">
      <c r="C150" s="39">
        <v>2017</v>
      </c>
      <c r="D150" s="102" t="s">
        <v>1145</v>
      </c>
      <c r="E150" s="63" t="s">
        <v>1146</v>
      </c>
      <c r="F150" s="64">
        <v>43083</v>
      </c>
      <c r="G150" s="65" t="s">
        <v>190</v>
      </c>
      <c r="H150" s="94">
        <v>4872000</v>
      </c>
      <c r="I150" s="27">
        <v>3997350</v>
      </c>
      <c r="J150" s="27"/>
      <c r="K150" s="26">
        <v>-0.17952586206896551</v>
      </c>
      <c r="L150" s="11" t="s">
        <v>464</v>
      </c>
      <c r="M150" s="15">
        <v>5</v>
      </c>
      <c r="N150" s="35" t="s">
        <v>93</v>
      </c>
      <c r="O150" s="15">
        <v>4</v>
      </c>
      <c r="P150" s="35" t="s">
        <v>458</v>
      </c>
      <c r="Q150" s="15"/>
      <c r="R150" s="24"/>
      <c r="S150" s="62" t="s">
        <v>784</v>
      </c>
      <c r="T150" s="15"/>
      <c r="U150" s="15"/>
      <c r="V150" s="54">
        <v>4872000</v>
      </c>
      <c r="W150" s="54">
        <v>3997350</v>
      </c>
      <c r="X150" s="54">
        <v>874650</v>
      </c>
    </row>
    <row r="151" spans="3:24" x14ac:dyDescent="0.25">
      <c r="C151" s="39">
        <v>2017</v>
      </c>
      <c r="D151" s="102" t="s">
        <v>1135</v>
      </c>
      <c r="E151" s="63" t="s">
        <v>982</v>
      </c>
      <c r="F151" s="64">
        <v>43074</v>
      </c>
      <c r="G151" s="65" t="s">
        <v>34</v>
      </c>
      <c r="H151" s="94">
        <v>38000000</v>
      </c>
      <c r="I151" s="27">
        <v>19988800</v>
      </c>
      <c r="J151" s="104" t="s">
        <v>519</v>
      </c>
      <c r="K151" s="26">
        <v>-0.47397894736842106</v>
      </c>
      <c r="L151" s="11" t="s">
        <v>465</v>
      </c>
      <c r="M151" s="15">
        <v>5</v>
      </c>
      <c r="N151" s="35" t="s">
        <v>93</v>
      </c>
      <c r="O151" s="15">
        <v>4</v>
      </c>
      <c r="P151" s="35" t="s">
        <v>458</v>
      </c>
      <c r="Q151" s="15"/>
      <c r="R151" s="24"/>
      <c r="S151" s="62" t="s">
        <v>616</v>
      </c>
      <c r="T151" s="15"/>
      <c r="U151" s="15"/>
      <c r="V151" s="54">
        <v>38000000</v>
      </c>
      <c r="W151" s="54">
        <v>19988800</v>
      </c>
      <c r="X151" s="54">
        <v>18011200</v>
      </c>
    </row>
    <row r="152" spans="3:24" x14ac:dyDescent="0.25">
      <c r="C152" s="39">
        <v>2017</v>
      </c>
      <c r="D152" s="102" t="s">
        <v>1127</v>
      </c>
      <c r="E152" s="63" t="s">
        <v>1128</v>
      </c>
      <c r="F152" s="64">
        <v>43053</v>
      </c>
      <c r="G152" s="65" t="s">
        <v>756</v>
      </c>
      <c r="H152" s="94">
        <v>17250000</v>
      </c>
      <c r="I152" s="27">
        <v>22616488</v>
      </c>
      <c r="J152" s="104" t="s">
        <v>519</v>
      </c>
      <c r="K152" s="26">
        <v>0.3111007536231884</v>
      </c>
      <c r="L152" s="11" t="s">
        <v>465</v>
      </c>
      <c r="M152" s="15">
        <v>4</v>
      </c>
      <c r="N152" s="35" t="s">
        <v>93</v>
      </c>
      <c r="O152" s="15">
        <v>4</v>
      </c>
      <c r="P152" s="35" t="s">
        <v>457</v>
      </c>
      <c r="Q152" s="15"/>
      <c r="R152" s="24"/>
      <c r="S152" s="62" t="s">
        <v>447</v>
      </c>
      <c r="T152" s="15"/>
      <c r="U152" s="15"/>
      <c r="V152" s="54">
        <v>17250000</v>
      </c>
      <c r="W152" s="54">
        <v>22616488</v>
      </c>
      <c r="X152" s="54">
        <v>-5366488</v>
      </c>
    </row>
    <row r="153" spans="3:24" x14ac:dyDescent="0.25">
      <c r="C153" s="39">
        <v>2017</v>
      </c>
      <c r="D153" s="62" t="s">
        <v>1101</v>
      </c>
      <c r="E153" s="63" t="s">
        <v>1102</v>
      </c>
      <c r="F153" s="64">
        <v>43025</v>
      </c>
      <c r="G153" s="65" t="s">
        <v>34</v>
      </c>
      <c r="H153" s="94">
        <v>2800000</v>
      </c>
      <c r="I153" s="27">
        <v>2847000</v>
      </c>
      <c r="J153" s="27"/>
      <c r="K153" s="26">
        <v>1.6785714285714286E-2</v>
      </c>
      <c r="L153" s="11" t="s">
        <v>464</v>
      </c>
      <c r="M153" s="15">
        <v>9</v>
      </c>
      <c r="N153" s="35" t="s">
        <v>93</v>
      </c>
      <c r="O153" s="15">
        <v>4</v>
      </c>
      <c r="P153" s="35" t="s">
        <v>458</v>
      </c>
      <c r="Q153" s="15"/>
      <c r="R153" s="24"/>
      <c r="S153" s="62" t="s">
        <v>616</v>
      </c>
      <c r="T153" s="15"/>
      <c r="U153" s="15"/>
      <c r="V153" s="54">
        <v>2800000</v>
      </c>
      <c r="W153" s="54">
        <v>2847000</v>
      </c>
      <c r="X153" s="54">
        <v>-47000</v>
      </c>
    </row>
    <row r="154" spans="3:24" x14ac:dyDescent="0.25">
      <c r="C154" s="39">
        <v>2017</v>
      </c>
      <c r="D154" s="62" t="s">
        <v>1084</v>
      </c>
      <c r="E154" s="63" t="s">
        <v>1085</v>
      </c>
      <c r="F154" s="64">
        <v>43004</v>
      </c>
      <c r="G154" s="65" t="s">
        <v>190</v>
      </c>
      <c r="H154" s="94">
        <v>189900000</v>
      </c>
      <c r="I154" s="27">
        <v>154487000</v>
      </c>
      <c r="J154" s="27" t="s">
        <v>519</v>
      </c>
      <c r="K154" s="26">
        <v>-0.18648235913638758</v>
      </c>
      <c r="L154" s="11" t="s">
        <v>464</v>
      </c>
      <c r="M154" s="15">
        <v>5</v>
      </c>
      <c r="N154" s="35" t="s">
        <v>93</v>
      </c>
      <c r="O154" s="15">
        <v>3</v>
      </c>
      <c r="P154" s="35" t="s">
        <v>457</v>
      </c>
      <c r="Q154" s="15"/>
      <c r="R154" s="24"/>
      <c r="S154" s="62" t="s">
        <v>816</v>
      </c>
      <c r="T154" s="15"/>
      <c r="U154" s="15"/>
      <c r="V154" s="54">
        <v>189900000</v>
      </c>
      <c r="W154" s="54">
        <v>154487000</v>
      </c>
      <c r="X154" s="54">
        <v>35413000</v>
      </c>
    </row>
    <row r="155" spans="3:24" x14ac:dyDescent="0.25">
      <c r="C155" s="39">
        <v>2017</v>
      </c>
      <c r="D155" s="62" t="s">
        <v>1075</v>
      </c>
      <c r="E155" s="63" t="s">
        <v>1076</v>
      </c>
      <c r="F155" s="64">
        <v>42999</v>
      </c>
      <c r="G155" s="65" t="s">
        <v>34</v>
      </c>
      <c r="H155" s="94">
        <v>1250000</v>
      </c>
      <c r="I155" s="27">
        <v>876947</v>
      </c>
      <c r="J155" s="27"/>
      <c r="K155" s="26">
        <v>-0.2984424</v>
      </c>
      <c r="L155" s="11" t="s">
        <v>464</v>
      </c>
      <c r="M155" s="15">
        <v>13</v>
      </c>
      <c r="N155" s="35" t="s">
        <v>93</v>
      </c>
      <c r="O155" s="15">
        <v>3</v>
      </c>
      <c r="P155" s="35" t="s">
        <v>492</v>
      </c>
      <c r="Q155" s="15"/>
      <c r="R155" s="24"/>
      <c r="S155" s="62" t="s">
        <v>816</v>
      </c>
      <c r="T155" s="15"/>
      <c r="U155" s="15"/>
      <c r="V155" s="54">
        <v>1250000</v>
      </c>
      <c r="W155" s="54">
        <v>876947</v>
      </c>
      <c r="X155" s="54">
        <v>373053</v>
      </c>
    </row>
    <row r="156" spans="3:24" x14ac:dyDescent="0.25">
      <c r="C156" s="39">
        <v>2017</v>
      </c>
      <c r="D156" s="62" t="s">
        <v>1063</v>
      </c>
      <c r="E156" s="63" t="s">
        <v>1064</v>
      </c>
      <c r="F156" s="64">
        <v>42951</v>
      </c>
      <c r="G156" s="65" t="s">
        <v>34</v>
      </c>
      <c r="H156" s="94">
        <v>6040000</v>
      </c>
      <c r="I156" s="27">
        <v>4845475</v>
      </c>
      <c r="J156" s="27" t="s">
        <v>519</v>
      </c>
      <c r="K156" s="26">
        <v>-0.19776903973509935</v>
      </c>
      <c r="L156" s="11" t="s">
        <v>464</v>
      </c>
      <c r="M156" s="15">
        <v>8</v>
      </c>
      <c r="N156" s="35" t="s">
        <v>93</v>
      </c>
      <c r="O156" s="15">
        <v>3</v>
      </c>
      <c r="P156" s="35" t="s">
        <v>458</v>
      </c>
      <c r="Q156" s="15"/>
      <c r="R156" s="24"/>
      <c r="S156" s="62" t="s">
        <v>784</v>
      </c>
      <c r="T156" s="15"/>
      <c r="U156" s="15"/>
      <c r="V156" s="54">
        <v>6040000</v>
      </c>
      <c r="W156" s="54">
        <v>4845475</v>
      </c>
      <c r="X156" s="54">
        <v>1194525</v>
      </c>
    </row>
    <row r="157" spans="3:24" x14ac:dyDescent="0.25">
      <c r="C157" s="39">
        <v>2017</v>
      </c>
      <c r="D157" s="62" t="s">
        <v>1057</v>
      </c>
      <c r="E157" s="63" t="s">
        <v>1058</v>
      </c>
      <c r="F157" s="64">
        <v>42949</v>
      </c>
      <c r="G157" s="65" t="s">
        <v>34</v>
      </c>
      <c r="H157" s="94">
        <v>1650000</v>
      </c>
      <c r="I157" s="27">
        <v>1320718</v>
      </c>
      <c r="J157" s="27"/>
      <c r="K157" s="26">
        <v>-0.19956484848484848</v>
      </c>
      <c r="L157" s="11" t="s">
        <v>464</v>
      </c>
      <c r="M157" s="15">
        <v>4</v>
      </c>
      <c r="N157" s="35" t="s">
        <v>93</v>
      </c>
      <c r="O157" s="15">
        <v>3</v>
      </c>
      <c r="P157" s="35" t="s">
        <v>458</v>
      </c>
      <c r="Q157" s="15"/>
      <c r="R157" s="24"/>
      <c r="S157" s="62" t="s">
        <v>616</v>
      </c>
      <c r="T157" s="15"/>
      <c r="U157" s="15"/>
      <c r="V157" s="54">
        <v>1650000</v>
      </c>
      <c r="W157" s="54">
        <v>1320718</v>
      </c>
      <c r="X157" s="54">
        <v>329282</v>
      </c>
    </row>
    <row r="158" spans="3:24" x14ac:dyDescent="0.25">
      <c r="C158" s="39">
        <v>2017</v>
      </c>
      <c r="D158" s="62" t="s">
        <v>1052</v>
      </c>
      <c r="E158" s="63" t="s">
        <v>1053</v>
      </c>
      <c r="F158" s="64">
        <v>42948</v>
      </c>
      <c r="G158" s="65" t="s">
        <v>34</v>
      </c>
      <c r="H158" s="94">
        <v>1330000</v>
      </c>
      <c r="I158" s="27">
        <v>936000</v>
      </c>
      <c r="J158" s="27"/>
      <c r="K158" s="26">
        <v>-0.29624060150375942</v>
      </c>
      <c r="L158" s="11" t="s">
        <v>464</v>
      </c>
      <c r="M158" s="15">
        <v>6</v>
      </c>
      <c r="N158" s="35" t="s">
        <v>93</v>
      </c>
      <c r="O158" s="15">
        <v>3</v>
      </c>
      <c r="P158" s="35" t="s">
        <v>458</v>
      </c>
      <c r="Q158" s="15"/>
      <c r="R158" s="24"/>
      <c r="S158" s="62" t="s">
        <v>616</v>
      </c>
      <c r="T158" s="15"/>
      <c r="U158" s="15"/>
      <c r="V158" s="54">
        <v>1330000</v>
      </c>
      <c r="W158" s="54">
        <v>936000</v>
      </c>
      <c r="X158" s="54">
        <v>394000</v>
      </c>
    </row>
    <row r="159" spans="3:24" x14ac:dyDescent="0.25">
      <c r="C159" s="39">
        <v>2017</v>
      </c>
      <c r="D159" s="62" t="s">
        <v>1049</v>
      </c>
      <c r="E159" s="63" t="s">
        <v>1050</v>
      </c>
      <c r="F159" s="64">
        <v>42942</v>
      </c>
      <c r="G159" s="65" t="s">
        <v>34</v>
      </c>
      <c r="H159" s="94">
        <v>700000</v>
      </c>
      <c r="I159" s="27">
        <v>614770</v>
      </c>
      <c r="J159" s="27"/>
      <c r="K159" s="26">
        <v>-0.12175714285714286</v>
      </c>
      <c r="L159" s="11" t="s">
        <v>464</v>
      </c>
      <c r="M159" s="15">
        <v>2</v>
      </c>
      <c r="N159" s="35" t="s">
        <v>93</v>
      </c>
      <c r="O159" s="15">
        <v>3</v>
      </c>
      <c r="P159" s="35" t="s">
        <v>457</v>
      </c>
      <c r="Q159" s="15"/>
      <c r="R159" s="24"/>
      <c r="S159" s="62" t="s">
        <v>536</v>
      </c>
      <c r="T159" s="15"/>
      <c r="U159" s="15"/>
      <c r="V159" s="54">
        <v>700000</v>
      </c>
      <c r="W159" s="54">
        <v>614770</v>
      </c>
      <c r="X159" s="54">
        <v>85230</v>
      </c>
    </row>
    <row r="160" spans="3:24" x14ac:dyDescent="0.25">
      <c r="C160" s="39">
        <v>2017</v>
      </c>
      <c r="D160" s="62" t="s">
        <v>1047</v>
      </c>
      <c r="E160" s="63" t="s">
        <v>982</v>
      </c>
      <c r="F160" s="64">
        <v>42941</v>
      </c>
      <c r="G160" s="65" t="s">
        <v>34</v>
      </c>
      <c r="H160" s="94">
        <v>7200000</v>
      </c>
      <c r="I160" s="27">
        <v>1936000</v>
      </c>
      <c r="J160" s="104" t="s">
        <v>519</v>
      </c>
      <c r="K160" s="26">
        <v>-0.73111111111111116</v>
      </c>
      <c r="L160" s="11" t="s">
        <v>465</v>
      </c>
      <c r="M160" s="15">
        <v>4</v>
      </c>
      <c r="N160" s="35" t="s">
        <v>93</v>
      </c>
      <c r="O160" s="15">
        <v>3</v>
      </c>
      <c r="P160" s="35" t="s">
        <v>458</v>
      </c>
      <c r="Q160" s="15"/>
      <c r="R160" s="24"/>
      <c r="S160" s="62" t="s">
        <v>616</v>
      </c>
      <c r="T160" s="15"/>
      <c r="U160" s="15"/>
      <c r="V160" s="54">
        <v>7200000</v>
      </c>
      <c r="W160" s="54">
        <v>1936000</v>
      </c>
      <c r="X160" s="54">
        <v>5264000</v>
      </c>
    </row>
    <row r="161" spans="3:24" x14ac:dyDescent="0.25">
      <c r="C161" s="39">
        <v>2017</v>
      </c>
      <c r="D161" s="62" t="s">
        <v>1028</v>
      </c>
      <c r="E161" s="63" t="s">
        <v>1029</v>
      </c>
      <c r="F161" s="64">
        <v>42894</v>
      </c>
      <c r="G161" s="65" t="s">
        <v>756</v>
      </c>
      <c r="H161" s="94">
        <v>6445000</v>
      </c>
      <c r="I161" s="27">
        <v>7166666</v>
      </c>
      <c r="J161" s="104" t="s">
        <v>519</v>
      </c>
      <c r="K161" s="26">
        <v>0.11197300232738557</v>
      </c>
      <c r="L161" s="11" t="s">
        <v>465</v>
      </c>
      <c r="M161" s="15">
        <v>11</v>
      </c>
      <c r="N161" s="35" t="s">
        <v>93</v>
      </c>
      <c r="O161" s="15">
        <v>2</v>
      </c>
      <c r="P161" s="35" t="s">
        <v>458</v>
      </c>
      <c r="Q161" s="15"/>
      <c r="R161" s="24"/>
      <c r="S161" s="62" t="s">
        <v>784</v>
      </c>
      <c r="T161" s="15"/>
      <c r="U161" s="15"/>
      <c r="V161" s="54">
        <v>6445000</v>
      </c>
      <c r="W161" s="54">
        <v>7166666</v>
      </c>
      <c r="X161" s="54">
        <v>-721666</v>
      </c>
    </row>
    <row r="162" spans="3:24" x14ac:dyDescent="0.25">
      <c r="C162" s="39">
        <v>2017</v>
      </c>
      <c r="D162" s="62" t="s">
        <v>1009</v>
      </c>
      <c r="E162" s="63" t="s">
        <v>1010</v>
      </c>
      <c r="F162" s="64">
        <v>42880</v>
      </c>
      <c r="G162" s="65" t="s">
        <v>34</v>
      </c>
      <c r="H162" s="94">
        <v>2850000</v>
      </c>
      <c r="I162" s="27">
        <v>1808548</v>
      </c>
      <c r="J162" s="27"/>
      <c r="K162" s="26">
        <v>-0.36542175438596491</v>
      </c>
      <c r="L162" s="11" t="s">
        <v>465</v>
      </c>
      <c r="M162" s="15">
        <v>11</v>
      </c>
      <c r="N162" s="35" t="s">
        <v>93</v>
      </c>
      <c r="O162" s="15">
        <v>2</v>
      </c>
      <c r="P162" s="35" t="s">
        <v>458</v>
      </c>
      <c r="Q162" s="15"/>
      <c r="R162" s="24"/>
      <c r="S162" s="62" t="s">
        <v>442</v>
      </c>
      <c r="T162" s="15"/>
      <c r="U162" s="15"/>
      <c r="V162" s="54">
        <v>2850000</v>
      </c>
      <c r="W162" s="54">
        <v>1808548</v>
      </c>
      <c r="X162" s="54">
        <v>1041452</v>
      </c>
    </row>
    <row r="163" spans="3:24" x14ac:dyDescent="0.25">
      <c r="C163" s="39">
        <v>2017</v>
      </c>
      <c r="D163" s="62" t="s">
        <v>995</v>
      </c>
      <c r="E163" s="63" t="s">
        <v>632</v>
      </c>
      <c r="F163" s="64">
        <v>42851</v>
      </c>
      <c r="G163" s="65" t="s">
        <v>190</v>
      </c>
      <c r="H163" s="94">
        <v>3589000</v>
      </c>
      <c r="I163" s="27">
        <v>3875045</v>
      </c>
      <c r="J163" s="27"/>
      <c r="K163" s="26">
        <v>7.9700473669545829E-2</v>
      </c>
      <c r="L163" s="11" t="s">
        <v>464</v>
      </c>
      <c r="M163" s="15">
        <v>3</v>
      </c>
      <c r="N163" s="35" t="s">
        <v>93</v>
      </c>
      <c r="O163" s="15">
        <v>2</v>
      </c>
      <c r="P163" s="35" t="s">
        <v>457</v>
      </c>
      <c r="Q163" s="15"/>
      <c r="R163" s="24"/>
      <c r="S163" s="62" t="s">
        <v>447</v>
      </c>
      <c r="T163" s="15"/>
      <c r="U163" s="15"/>
      <c r="V163" s="54">
        <v>3589000</v>
      </c>
      <c r="W163" s="54">
        <v>3875045</v>
      </c>
      <c r="X163" s="54">
        <v>-286045</v>
      </c>
    </row>
    <row r="164" spans="3:24" x14ac:dyDescent="0.25">
      <c r="C164" s="39">
        <v>2017</v>
      </c>
      <c r="D164" s="62" t="s">
        <v>977</v>
      </c>
      <c r="E164" s="63" t="s">
        <v>978</v>
      </c>
      <c r="F164" s="64">
        <v>42831</v>
      </c>
      <c r="G164" s="65" t="s">
        <v>34</v>
      </c>
      <c r="H164" s="94">
        <v>1655000</v>
      </c>
      <c r="I164" s="27">
        <v>1398667</v>
      </c>
      <c r="J164" s="27"/>
      <c r="K164" s="26">
        <v>-0.15488398791540786</v>
      </c>
      <c r="L164" s="11" t="s">
        <v>464</v>
      </c>
      <c r="M164" s="15">
        <v>3</v>
      </c>
      <c r="N164" s="35" t="s">
        <v>93</v>
      </c>
      <c r="O164" s="15">
        <v>2</v>
      </c>
      <c r="P164" s="35" t="s">
        <v>492</v>
      </c>
      <c r="Q164" s="15"/>
      <c r="R164" s="24"/>
      <c r="S164" s="62" t="s">
        <v>816</v>
      </c>
      <c r="T164" s="15"/>
      <c r="U164" s="15"/>
      <c r="V164" s="54">
        <v>1655000</v>
      </c>
      <c r="W164" s="54">
        <v>1398667</v>
      </c>
      <c r="X164" s="54">
        <v>256333</v>
      </c>
    </row>
    <row r="165" spans="3:24" x14ac:dyDescent="0.25">
      <c r="C165" s="39">
        <v>2017</v>
      </c>
      <c r="D165" s="62" t="s">
        <v>966</v>
      </c>
      <c r="E165" s="63" t="s">
        <v>967</v>
      </c>
      <c r="F165" s="64">
        <v>42823</v>
      </c>
      <c r="G165" s="65" t="s">
        <v>34</v>
      </c>
      <c r="H165" s="27">
        <v>3700000</v>
      </c>
      <c r="I165" s="27">
        <v>2490000</v>
      </c>
      <c r="J165" s="27"/>
      <c r="K165" s="26">
        <v>-0.32702702702702702</v>
      </c>
      <c r="L165" s="11" t="s">
        <v>464</v>
      </c>
      <c r="M165" s="15">
        <v>7</v>
      </c>
      <c r="N165" s="35" t="s">
        <v>93</v>
      </c>
      <c r="O165" s="15">
        <v>1</v>
      </c>
      <c r="P165" s="35" t="s">
        <v>457</v>
      </c>
      <c r="Q165" s="15"/>
      <c r="R165" s="24" t="s">
        <v>976</v>
      </c>
      <c r="S165" s="62" t="s">
        <v>630</v>
      </c>
      <c r="T165" s="15"/>
      <c r="U165" s="15"/>
      <c r="V165" s="54">
        <v>3700000</v>
      </c>
      <c r="W165" s="54">
        <v>2490000</v>
      </c>
      <c r="X165" s="54">
        <v>1210000</v>
      </c>
    </row>
    <row r="166" spans="3:24" x14ac:dyDescent="0.25">
      <c r="C166" s="39">
        <v>2017</v>
      </c>
      <c r="D166" s="62" t="s">
        <v>964</v>
      </c>
      <c r="E166" s="63" t="s">
        <v>965</v>
      </c>
      <c r="F166" s="64">
        <v>42815</v>
      </c>
      <c r="G166" s="65" t="s">
        <v>190</v>
      </c>
      <c r="H166" s="27">
        <v>3750000</v>
      </c>
      <c r="I166" s="27">
        <v>2468147</v>
      </c>
      <c r="J166" s="27"/>
      <c r="K166" s="26">
        <v>-0.34182746666666669</v>
      </c>
      <c r="L166" s="11" t="s">
        <v>465</v>
      </c>
      <c r="M166" s="15">
        <v>3</v>
      </c>
      <c r="N166" s="35" t="s">
        <v>93</v>
      </c>
      <c r="O166" s="15">
        <v>1</v>
      </c>
      <c r="P166" s="35" t="s">
        <v>458</v>
      </c>
      <c r="Q166" s="15"/>
      <c r="R166" s="24"/>
      <c r="S166" s="62" t="s">
        <v>784</v>
      </c>
      <c r="T166" s="15"/>
      <c r="U166" s="15"/>
      <c r="V166" s="54">
        <v>3750000</v>
      </c>
      <c r="W166" s="54">
        <v>2468147</v>
      </c>
      <c r="X166" s="54">
        <v>1281853</v>
      </c>
    </row>
    <row r="167" spans="3:24" x14ac:dyDescent="0.25">
      <c r="C167" s="39">
        <v>2017</v>
      </c>
      <c r="D167" s="62" t="s">
        <v>981</v>
      </c>
      <c r="E167" s="63" t="s">
        <v>982</v>
      </c>
      <c r="F167" s="64">
        <v>42844</v>
      </c>
      <c r="G167" s="65" t="s">
        <v>190</v>
      </c>
      <c r="H167" s="27">
        <v>18870000</v>
      </c>
      <c r="I167" s="27">
        <v>19910000</v>
      </c>
      <c r="J167" s="27" t="s">
        <v>519</v>
      </c>
      <c r="K167" s="26">
        <v>5.5113937466878642E-2</v>
      </c>
      <c r="L167" s="11" t="s">
        <v>464</v>
      </c>
      <c r="M167" s="15">
        <v>3</v>
      </c>
      <c r="N167" s="35" t="s">
        <v>93</v>
      </c>
      <c r="O167" s="15">
        <v>1</v>
      </c>
      <c r="P167" s="35" t="s">
        <v>458</v>
      </c>
      <c r="Q167" s="15"/>
      <c r="R167" s="24"/>
      <c r="S167" s="62" t="s">
        <v>616</v>
      </c>
      <c r="T167" s="15"/>
      <c r="U167" s="15"/>
      <c r="V167" s="54">
        <v>18870000</v>
      </c>
      <c r="W167" s="54">
        <v>19910000</v>
      </c>
      <c r="X167" s="54">
        <v>-1040000</v>
      </c>
    </row>
    <row r="168" spans="3:24" x14ac:dyDescent="0.25">
      <c r="C168" s="39">
        <v>2017</v>
      </c>
      <c r="D168" s="62" t="s">
        <v>956</v>
      </c>
      <c r="E168" s="63" t="s">
        <v>957</v>
      </c>
      <c r="F168" s="64">
        <v>42810</v>
      </c>
      <c r="G168" s="65" t="s">
        <v>693</v>
      </c>
      <c r="H168" s="27">
        <v>1425000</v>
      </c>
      <c r="I168" s="27">
        <v>1087425</v>
      </c>
      <c r="J168" s="27"/>
      <c r="K168" s="26">
        <v>-0.23689473684210527</v>
      </c>
      <c r="L168" s="11" t="s">
        <v>464</v>
      </c>
      <c r="M168" s="15">
        <v>6</v>
      </c>
      <c r="N168" s="35" t="s">
        <v>93</v>
      </c>
      <c r="O168" s="15">
        <v>1</v>
      </c>
      <c r="P168" s="35" t="s">
        <v>492</v>
      </c>
      <c r="Q168" s="15"/>
      <c r="R168" s="24"/>
      <c r="S168" s="62" t="s">
        <v>816</v>
      </c>
      <c r="T168" s="15"/>
      <c r="U168" s="15"/>
      <c r="V168" s="54">
        <v>1425000</v>
      </c>
      <c r="W168" s="54">
        <v>1087425</v>
      </c>
      <c r="X168" s="54">
        <v>337575</v>
      </c>
    </row>
    <row r="169" spans="3:24" x14ac:dyDescent="0.25">
      <c r="C169" s="39">
        <v>2017</v>
      </c>
      <c r="D169" s="62" t="s">
        <v>914</v>
      </c>
      <c r="E169" s="63" t="s">
        <v>933</v>
      </c>
      <c r="F169" s="64">
        <v>42787</v>
      </c>
      <c r="G169" s="65" t="s">
        <v>190</v>
      </c>
      <c r="H169" s="94">
        <v>10393000</v>
      </c>
      <c r="I169" s="27">
        <v>7903950</v>
      </c>
      <c r="J169" s="104" t="s">
        <v>519</v>
      </c>
      <c r="K169" s="26">
        <v>-0.2394929279322621</v>
      </c>
      <c r="L169" s="11" t="s">
        <v>465</v>
      </c>
      <c r="M169" s="15">
        <v>3</v>
      </c>
      <c r="N169" s="35" t="s">
        <v>93</v>
      </c>
      <c r="O169" s="15">
        <v>1</v>
      </c>
      <c r="P169" s="35" t="s">
        <v>458</v>
      </c>
      <c r="Q169" s="15"/>
      <c r="R169" s="24" t="s">
        <v>932</v>
      </c>
      <c r="S169" s="62" t="s">
        <v>784</v>
      </c>
      <c r="T169" s="15"/>
      <c r="U169" s="15"/>
      <c r="V169" s="54">
        <v>10393000</v>
      </c>
      <c r="W169" s="54">
        <v>7903950</v>
      </c>
      <c r="X169" s="54">
        <v>2489050</v>
      </c>
    </row>
    <row r="170" spans="3:24" x14ac:dyDescent="0.25">
      <c r="C170" s="39">
        <v>2017</v>
      </c>
      <c r="D170" s="62" t="s">
        <v>880</v>
      </c>
      <c r="E170" s="63" t="s">
        <v>881</v>
      </c>
      <c r="F170" s="64">
        <v>42768</v>
      </c>
      <c r="G170" s="65" t="s">
        <v>34</v>
      </c>
      <c r="H170" s="94">
        <v>4800000</v>
      </c>
      <c r="I170" s="27">
        <v>3901193</v>
      </c>
      <c r="J170" s="27"/>
      <c r="K170" s="26">
        <v>-0.18725145833333334</v>
      </c>
      <c r="L170" s="11" t="s">
        <v>464</v>
      </c>
      <c r="M170" s="15">
        <v>14</v>
      </c>
      <c r="N170" s="35" t="s">
        <v>93</v>
      </c>
      <c r="O170" s="15">
        <v>1</v>
      </c>
      <c r="P170" s="35" t="s">
        <v>458</v>
      </c>
      <c r="Q170" s="15"/>
      <c r="R170" s="24"/>
      <c r="S170" s="62" t="s">
        <v>616</v>
      </c>
      <c r="T170" s="15"/>
      <c r="U170" s="15"/>
      <c r="V170" s="54">
        <v>4800000</v>
      </c>
      <c r="W170" s="54">
        <v>3901193</v>
      </c>
      <c r="X170" s="54">
        <v>898807</v>
      </c>
    </row>
    <row r="171" spans="3:24" x14ac:dyDescent="0.25">
      <c r="C171" s="39">
        <v>2017</v>
      </c>
      <c r="D171" s="62" t="s">
        <v>876</v>
      </c>
      <c r="E171" s="63" t="s">
        <v>877</v>
      </c>
      <c r="F171" s="64">
        <v>42765</v>
      </c>
      <c r="G171" s="65" t="s">
        <v>756</v>
      </c>
      <c r="H171" s="94">
        <v>6500000</v>
      </c>
      <c r="I171" s="27">
        <v>5987000</v>
      </c>
      <c r="J171" s="27" t="s">
        <v>519</v>
      </c>
      <c r="K171" s="26">
        <v>-7.8923076923076929E-2</v>
      </c>
      <c r="L171" s="11" t="s">
        <v>464</v>
      </c>
      <c r="M171" s="15">
        <v>5</v>
      </c>
      <c r="N171" s="35" t="s">
        <v>93</v>
      </c>
      <c r="O171" s="15">
        <v>1</v>
      </c>
      <c r="P171" s="35" t="s">
        <v>458</v>
      </c>
      <c r="Q171" s="15"/>
      <c r="R171" s="24"/>
      <c r="S171" s="62" t="s">
        <v>447</v>
      </c>
      <c r="T171" s="15"/>
      <c r="U171" s="15"/>
      <c r="V171" s="54">
        <v>6500000</v>
      </c>
      <c r="W171" s="54">
        <v>5987000</v>
      </c>
      <c r="X171" s="54">
        <v>513000</v>
      </c>
    </row>
    <row r="172" spans="3:24" x14ac:dyDescent="0.25">
      <c r="C172" s="39">
        <v>2017</v>
      </c>
      <c r="D172" s="62" t="s">
        <v>868</v>
      </c>
      <c r="E172" s="63" t="s">
        <v>869</v>
      </c>
      <c r="F172" s="64">
        <v>42761</v>
      </c>
      <c r="G172" s="65" t="s">
        <v>34</v>
      </c>
      <c r="H172" s="94">
        <v>5100000</v>
      </c>
      <c r="I172" s="27">
        <v>4640176</v>
      </c>
      <c r="J172" s="27" t="s">
        <v>519</v>
      </c>
      <c r="K172" s="26">
        <v>-9.0161568627450978E-2</v>
      </c>
      <c r="L172" s="11" t="s">
        <v>464</v>
      </c>
      <c r="M172" s="15">
        <v>7</v>
      </c>
      <c r="N172" s="35" t="s">
        <v>93</v>
      </c>
      <c r="O172" s="15">
        <v>1</v>
      </c>
      <c r="P172" s="35" t="s">
        <v>458</v>
      </c>
      <c r="Q172" s="15"/>
      <c r="R172" s="24"/>
      <c r="S172" s="62" t="s">
        <v>784</v>
      </c>
      <c r="T172" s="15"/>
      <c r="U172" s="15"/>
      <c r="V172" s="54">
        <v>5100000</v>
      </c>
      <c r="W172" s="54">
        <v>4640176</v>
      </c>
      <c r="X172" s="54">
        <v>459824</v>
      </c>
    </row>
    <row r="173" spans="3:24" x14ac:dyDescent="0.25">
      <c r="C173" s="39">
        <v>2017</v>
      </c>
      <c r="D173" s="62" t="s">
        <v>830</v>
      </c>
      <c r="E173" s="63" t="s">
        <v>831</v>
      </c>
      <c r="F173" s="64">
        <v>42746</v>
      </c>
      <c r="G173" s="65" t="s">
        <v>190</v>
      </c>
      <c r="H173" s="94">
        <v>12071025</v>
      </c>
      <c r="I173" s="27">
        <v>9977777</v>
      </c>
      <c r="J173" s="104" t="s">
        <v>519</v>
      </c>
      <c r="K173" s="26">
        <v>-0.17341095723022693</v>
      </c>
      <c r="L173" s="11" t="s">
        <v>465</v>
      </c>
      <c r="M173" s="15">
        <v>3</v>
      </c>
      <c r="N173" s="35" t="s">
        <v>93</v>
      </c>
      <c r="O173" s="15">
        <v>1</v>
      </c>
      <c r="P173" s="35" t="s">
        <v>458</v>
      </c>
      <c r="Q173" s="15"/>
      <c r="R173" s="24"/>
      <c r="S173" s="62" t="s">
        <v>616</v>
      </c>
      <c r="T173" s="15"/>
      <c r="U173" s="15"/>
      <c r="V173" s="54">
        <v>12071025</v>
      </c>
      <c r="W173" s="54">
        <v>9977777</v>
      </c>
      <c r="X173" s="54">
        <v>2093248</v>
      </c>
    </row>
    <row r="174" spans="3:24" x14ac:dyDescent="0.25">
      <c r="C174" s="39">
        <v>2017</v>
      </c>
      <c r="D174" s="62" t="s">
        <v>828</v>
      </c>
      <c r="E174" s="63" t="s">
        <v>829</v>
      </c>
      <c r="F174" s="64">
        <v>42739</v>
      </c>
      <c r="G174" s="65" t="s">
        <v>190</v>
      </c>
      <c r="H174" s="94">
        <v>28695000</v>
      </c>
      <c r="I174" s="27">
        <v>31768035</v>
      </c>
      <c r="J174" s="27" t="s">
        <v>519</v>
      </c>
      <c r="K174" s="26">
        <v>0.10709304756926294</v>
      </c>
      <c r="L174" s="11" t="s">
        <v>464</v>
      </c>
      <c r="M174" s="15">
        <v>2</v>
      </c>
      <c r="N174" s="35" t="s">
        <v>93</v>
      </c>
      <c r="O174" s="15">
        <v>1</v>
      </c>
      <c r="P174" s="35" t="s">
        <v>458</v>
      </c>
      <c r="Q174" s="15"/>
      <c r="R174" s="24"/>
      <c r="S174" s="62" t="s">
        <v>616</v>
      </c>
      <c r="T174" s="15"/>
      <c r="U174" s="15"/>
      <c r="V174" s="54">
        <v>28695000</v>
      </c>
      <c r="W174" s="54">
        <v>31768035</v>
      </c>
      <c r="X174" s="54">
        <v>-3073035</v>
      </c>
    </row>
    <row r="175" spans="3:24" x14ac:dyDescent="0.25">
      <c r="C175" s="39"/>
      <c r="E175" s="85"/>
      <c r="F175" s="85"/>
      <c r="G175" s="85"/>
      <c r="H175" s="86">
        <f>SUM(H149:H174)</f>
        <v>380835025</v>
      </c>
      <c r="I175" s="86">
        <f>SUM(I149:I174)</f>
        <v>318849177</v>
      </c>
      <c r="J175" s="85"/>
      <c r="K175" s="87">
        <f>+I175/H175</f>
        <v>0.83723700833451442</v>
      </c>
      <c r="L175" s="85">
        <f>COUNTA(L149:L174)</f>
        <v>25</v>
      </c>
      <c r="M175" s="88">
        <f>SUM(M149:M174)/L175</f>
        <v>5.84</v>
      </c>
      <c r="N175" s="89"/>
      <c r="O175" s="85"/>
      <c r="P175" s="114">
        <f>17/L175</f>
        <v>0.68</v>
      </c>
      <c r="Q175" s="85"/>
    </row>
    <row r="176" spans="3:24" x14ac:dyDescent="0.25">
      <c r="C176" s="39"/>
    </row>
    <row r="177" spans="3:24" x14ac:dyDescent="0.25">
      <c r="C177" s="39"/>
      <c r="D177" s="31" t="s">
        <v>839</v>
      </c>
    </row>
    <row r="178" spans="3:24" x14ac:dyDescent="0.25">
      <c r="C178" s="39">
        <v>2017</v>
      </c>
      <c r="D178" s="102" t="s">
        <v>1159</v>
      </c>
      <c r="E178" s="63" t="s">
        <v>1154</v>
      </c>
      <c r="F178" s="64">
        <v>43088</v>
      </c>
      <c r="G178" s="65" t="s">
        <v>693</v>
      </c>
      <c r="H178" s="94">
        <v>795000</v>
      </c>
      <c r="I178" s="27">
        <v>353700</v>
      </c>
      <c r="J178" s="27"/>
      <c r="K178" s="26">
        <v>-0.55509433962264154</v>
      </c>
      <c r="L178" s="11" t="s">
        <v>464</v>
      </c>
      <c r="M178" s="15">
        <v>8</v>
      </c>
      <c r="N178" s="35" t="s">
        <v>226</v>
      </c>
      <c r="O178" s="15">
        <v>4</v>
      </c>
      <c r="P178" s="35" t="s">
        <v>457</v>
      </c>
      <c r="Q178" s="15"/>
      <c r="R178" s="24"/>
      <c r="S178" s="62" t="s">
        <v>1153</v>
      </c>
      <c r="T178" s="15"/>
      <c r="U178" s="15"/>
      <c r="V178" s="54">
        <v>795000</v>
      </c>
      <c r="W178" s="54">
        <v>353700</v>
      </c>
      <c r="X178" s="54">
        <v>441300</v>
      </c>
    </row>
    <row r="179" spans="3:24" x14ac:dyDescent="0.25">
      <c r="C179" s="39">
        <v>2017</v>
      </c>
      <c r="D179" s="102" t="s">
        <v>1139</v>
      </c>
      <c r="E179" s="63" t="s">
        <v>1140</v>
      </c>
      <c r="F179" s="64">
        <v>43054</v>
      </c>
      <c r="G179" s="65" t="s">
        <v>34</v>
      </c>
      <c r="H179" s="94">
        <v>1350000</v>
      </c>
      <c r="I179" s="27">
        <v>2629000</v>
      </c>
      <c r="J179" s="27"/>
      <c r="K179" s="26">
        <v>0.94740740740740736</v>
      </c>
      <c r="L179" s="11" t="s">
        <v>465</v>
      </c>
      <c r="M179" s="15">
        <v>1</v>
      </c>
      <c r="N179" s="35" t="s">
        <v>226</v>
      </c>
      <c r="O179" s="15">
        <v>4</v>
      </c>
      <c r="P179" s="35" t="s">
        <v>457</v>
      </c>
      <c r="Q179" s="15"/>
      <c r="R179" s="24" t="s">
        <v>782</v>
      </c>
      <c r="S179" s="62" t="s">
        <v>784</v>
      </c>
      <c r="T179" s="15"/>
      <c r="U179" s="15"/>
      <c r="V179" s="54">
        <v>1350000</v>
      </c>
      <c r="W179" s="54">
        <v>2629000</v>
      </c>
      <c r="X179" s="54">
        <v>-1279000</v>
      </c>
    </row>
    <row r="180" spans="3:24" x14ac:dyDescent="0.25">
      <c r="C180" s="39">
        <v>2017</v>
      </c>
      <c r="D180" s="62" t="s">
        <v>1110</v>
      </c>
      <c r="E180" s="63" t="s">
        <v>1111</v>
      </c>
      <c r="F180" s="64">
        <v>43047</v>
      </c>
      <c r="G180" s="65" t="s">
        <v>34</v>
      </c>
      <c r="H180" s="94">
        <v>1650000</v>
      </c>
      <c r="I180" s="27">
        <v>2278990</v>
      </c>
      <c r="J180" s="27"/>
      <c r="K180" s="26">
        <v>0.3812060606060606</v>
      </c>
      <c r="L180" s="11" t="s">
        <v>465</v>
      </c>
      <c r="M180" s="15">
        <v>5</v>
      </c>
      <c r="N180" s="35" t="s">
        <v>226</v>
      </c>
      <c r="O180" s="15">
        <v>4</v>
      </c>
      <c r="P180" s="35" t="s">
        <v>457</v>
      </c>
      <c r="Q180" s="15"/>
      <c r="R180" s="24"/>
      <c r="S180" s="62" t="s">
        <v>784</v>
      </c>
      <c r="T180" s="15"/>
      <c r="U180" s="15"/>
      <c r="V180" s="54">
        <v>1650000</v>
      </c>
      <c r="W180" s="54">
        <v>2278990</v>
      </c>
      <c r="X180" s="54">
        <v>-628990</v>
      </c>
    </row>
    <row r="181" spans="3:24" x14ac:dyDescent="0.25">
      <c r="C181" s="39">
        <v>2017</v>
      </c>
      <c r="D181" s="62" t="s">
        <v>1091</v>
      </c>
      <c r="E181" s="63" t="s">
        <v>1092</v>
      </c>
      <c r="F181" s="64">
        <v>43006</v>
      </c>
      <c r="G181" s="65" t="s">
        <v>693</v>
      </c>
      <c r="H181" s="94">
        <v>609000</v>
      </c>
      <c r="I181" s="27">
        <v>579300</v>
      </c>
      <c r="J181" s="27"/>
      <c r="K181" s="26">
        <v>-4.8768472906403938E-2</v>
      </c>
      <c r="L181" s="11" t="s">
        <v>464</v>
      </c>
      <c r="M181" s="15">
        <v>4</v>
      </c>
      <c r="N181" s="35" t="s">
        <v>226</v>
      </c>
      <c r="O181" s="15">
        <v>3</v>
      </c>
      <c r="P181" s="35" t="s">
        <v>457</v>
      </c>
      <c r="Q181" s="15"/>
      <c r="R181" s="24"/>
      <c r="S181" s="62" t="s">
        <v>962</v>
      </c>
      <c r="T181" s="15"/>
      <c r="U181" s="15"/>
      <c r="V181" s="54">
        <v>609000</v>
      </c>
      <c r="W181" s="54">
        <v>579300</v>
      </c>
      <c r="X181" s="54">
        <v>29700</v>
      </c>
    </row>
    <row r="182" spans="3:24" x14ac:dyDescent="0.25">
      <c r="C182" s="39">
        <v>2017</v>
      </c>
      <c r="D182" s="62" t="s">
        <v>1089</v>
      </c>
      <c r="E182" s="63" t="s">
        <v>1090</v>
      </c>
      <c r="F182" s="64">
        <v>43005</v>
      </c>
      <c r="G182" s="65" t="s">
        <v>34</v>
      </c>
      <c r="H182" s="94">
        <v>1250000</v>
      </c>
      <c r="I182" s="27">
        <v>1068000</v>
      </c>
      <c r="J182" s="27"/>
      <c r="K182" s="26">
        <v>-0.14560000000000001</v>
      </c>
      <c r="L182" s="11" t="s">
        <v>464</v>
      </c>
      <c r="M182" s="15">
        <v>6</v>
      </c>
      <c r="N182" s="35" t="s">
        <v>226</v>
      </c>
      <c r="O182" s="15">
        <v>3</v>
      </c>
      <c r="P182" s="35" t="s">
        <v>457</v>
      </c>
      <c r="Q182" s="15"/>
      <c r="R182" s="24"/>
      <c r="S182" s="62" t="s">
        <v>784</v>
      </c>
      <c r="T182" s="15"/>
      <c r="U182" s="15"/>
      <c r="V182" s="54">
        <v>1250000</v>
      </c>
      <c r="W182" s="54">
        <v>1068000</v>
      </c>
      <c r="X182" s="54">
        <v>182000</v>
      </c>
    </row>
    <row r="183" spans="3:24" x14ac:dyDescent="0.25">
      <c r="C183" s="39">
        <v>2017</v>
      </c>
      <c r="D183" s="62" t="s">
        <v>1001</v>
      </c>
      <c r="E183" s="63" t="s">
        <v>1008</v>
      </c>
      <c r="F183" s="64">
        <v>42872</v>
      </c>
      <c r="G183" s="65" t="s">
        <v>34</v>
      </c>
      <c r="H183" s="94">
        <v>5000000</v>
      </c>
      <c r="I183" s="27">
        <v>5210665</v>
      </c>
      <c r="J183" s="27" t="s">
        <v>519</v>
      </c>
      <c r="K183" s="26">
        <v>4.2132999999999997E-2</v>
      </c>
      <c r="L183" s="11" t="s">
        <v>464</v>
      </c>
      <c r="M183" s="15">
        <v>9</v>
      </c>
      <c r="N183" s="35" t="s">
        <v>226</v>
      </c>
      <c r="O183" s="15">
        <v>2</v>
      </c>
      <c r="P183" s="35" t="s">
        <v>492</v>
      </c>
      <c r="Q183" s="15"/>
      <c r="R183" s="24"/>
      <c r="S183" s="62" t="s">
        <v>816</v>
      </c>
      <c r="T183" s="15"/>
      <c r="U183" s="15"/>
      <c r="V183" s="54">
        <v>5000000</v>
      </c>
      <c r="W183" s="54">
        <v>5210665</v>
      </c>
      <c r="X183" s="54">
        <v>-210665</v>
      </c>
    </row>
    <row r="184" spans="3:24" x14ac:dyDescent="0.25">
      <c r="C184" s="39">
        <v>2017</v>
      </c>
      <c r="D184" s="62" t="s">
        <v>991</v>
      </c>
      <c r="E184" s="63" t="s">
        <v>992</v>
      </c>
      <c r="F184" s="64">
        <v>42846</v>
      </c>
      <c r="G184" s="65" t="s">
        <v>34</v>
      </c>
      <c r="H184" s="94">
        <v>2060000</v>
      </c>
      <c r="I184" s="27">
        <v>2614625</v>
      </c>
      <c r="J184" s="27"/>
      <c r="K184" s="26">
        <v>0.26923543689320389</v>
      </c>
      <c r="L184" s="11" t="s">
        <v>465</v>
      </c>
      <c r="M184" s="15">
        <v>5</v>
      </c>
      <c r="N184" s="35" t="s">
        <v>226</v>
      </c>
      <c r="O184" s="15">
        <v>2</v>
      </c>
      <c r="P184" s="35" t="s">
        <v>457</v>
      </c>
      <c r="Q184" s="15"/>
      <c r="R184" s="24"/>
      <c r="S184" s="62" t="s">
        <v>630</v>
      </c>
      <c r="T184" s="15"/>
      <c r="U184" s="15"/>
      <c r="V184" s="54">
        <v>2060000</v>
      </c>
      <c r="W184" s="54">
        <v>2614625</v>
      </c>
      <c r="X184" s="54">
        <v>-554625</v>
      </c>
    </row>
    <row r="185" spans="3:24" x14ac:dyDescent="0.25">
      <c r="C185" s="39">
        <v>2017</v>
      </c>
      <c r="D185" s="62" t="s">
        <v>912</v>
      </c>
      <c r="E185" s="63" t="s">
        <v>935</v>
      </c>
      <c r="F185" s="64">
        <v>42789</v>
      </c>
      <c r="G185" s="65" t="s">
        <v>190</v>
      </c>
      <c r="H185" s="94">
        <v>479900000</v>
      </c>
      <c r="I185" s="27">
        <v>451841280</v>
      </c>
      <c r="J185" s="27" t="s">
        <v>519</v>
      </c>
      <c r="K185" s="26">
        <v>-5.8467847468222547E-2</v>
      </c>
      <c r="L185" s="11" t="s">
        <v>464</v>
      </c>
      <c r="M185" s="15">
        <v>5</v>
      </c>
      <c r="N185" s="35" t="s">
        <v>226</v>
      </c>
      <c r="O185" s="15">
        <v>1</v>
      </c>
      <c r="P185" s="35" t="s">
        <v>457</v>
      </c>
      <c r="Q185" s="15"/>
      <c r="R185" s="24"/>
      <c r="S185" s="62" t="s">
        <v>630</v>
      </c>
      <c r="T185" s="15"/>
      <c r="U185" s="15"/>
      <c r="V185" s="54">
        <v>479900000</v>
      </c>
      <c r="W185" s="54">
        <v>451841280</v>
      </c>
      <c r="X185" s="54">
        <v>28058720</v>
      </c>
    </row>
    <row r="186" spans="3:24" x14ac:dyDescent="0.25">
      <c r="C186" s="39">
        <v>2017</v>
      </c>
      <c r="D186" s="62" t="s">
        <v>898</v>
      </c>
      <c r="E186" s="63" t="s">
        <v>717</v>
      </c>
      <c r="F186" s="64">
        <v>42773</v>
      </c>
      <c r="G186" s="65" t="s">
        <v>190</v>
      </c>
      <c r="H186" s="94">
        <v>1965000</v>
      </c>
      <c r="I186" s="27">
        <v>1450000</v>
      </c>
      <c r="J186" s="27"/>
      <c r="K186" s="26">
        <v>-0.26208651399491095</v>
      </c>
      <c r="L186" s="11" t="s">
        <v>464</v>
      </c>
      <c r="M186" s="15">
        <v>6</v>
      </c>
      <c r="N186" s="35" t="s">
        <v>226</v>
      </c>
      <c r="O186" s="15">
        <v>1</v>
      </c>
      <c r="P186" s="35" t="s">
        <v>457</v>
      </c>
      <c r="Q186" s="15"/>
      <c r="R186" s="24" t="s">
        <v>900</v>
      </c>
      <c r="S186" s="62" t="s">
        <v>630</v>
      </c>
      <c r="T186" s="15"/>
      <c r="U186" s="15"/>
      <c r="V186" s="54">
        <v>1965000</v>
      </c>
      <c r="W186" s="54">
        <v>1450000</v>
      </c>
      <c r="X186" s="54">
        <v>515000</v>
      </c>
    </row>
    <row r="187" spans="3:24" x14ac:dyDescent="0.25">
      <c r="C187" s="39"/>
      <c r="E187" s="85"/>
      <c r="F187" s="85"/>
      <c r="G187" s="85"/>
      <c r="H187" s="86">
        <f>SUM(H177:H186)</f>
        <v>494579000</v>
      </c>
      <c r="I187" s="86">
        <f>SUM(I177:I186)</f>
        <v>468025560</v>
      </c>
      <c r="J187" s="85"/>
      <c r="K187" s="87">
        <f>+I187/H187</f>
        <v>0.94631102412354751</v>
      </c>
      <c r="L187" s="85">
        <f>COUNTA(L177:L186)</f>
        <v>9</v>
      </c>
      <c r="M187" s="88">
        <f>SUM(M177:M186)/L187</f>
        <v>5.4444444444444446</v>
      </c>
      <c r="N187" s="89"/>
      <c r="O187" s="85"/>
      <c r="P187" s="114">
        <f>6/L187</f>
        <v>0.66666666666666663</v>
      </c>
      <c r="Q187" s="85"/>
    </row>
    <row r="188" spans="3:24" x14ac:dyDescent="0.25">
      <c r="C188" s="39"/>
    </row>
    <row r="189" spans="3:24" x14ac:dyDescent="0.25">
      <c r="C189" s="39"/>
    </row>
    <row r="190" spans="3:24" x14ac:dyDescent="0.25">
      <c r="C190" s="39"/>
      <c r="F190" s="31"/>
      <c r="G190" s="36" t="s">
        <v>853</v>
      </c>
      <c r="H190" s="36" t="s">
        <v>854</v>
      </c>
      <c r="I190" s="36" t="s">
        <v>59</v>
      </c>
      <c r="J190" s="36" t="s">
        <v>60</v>
      </c>
      <c r="K190" s="36" t="s">
        <v>856</v>
      </c>
      <c r="L190" s="36" t="s">
        <v>62</v>
      </c>
      <c r="M190" s="37" t="s">
        <v>855</v>
      </c>
      <c r="N190" s="36"/>
      <c r="O190" s="36"/>
      <c r="P190" s="31"/>
      <c r="Q190" s="31"/>
    </row>
    <row r="191" spans="3:24" x14ac:dyDescent="0.25">
      <c r="C191" s="39"/>
      <c r="G191" t="s">
        <v>93</v>
      </c>
      <c r="H191" s="4">
        <f>+H175</f>
        <v>380835025</v>
      </c>
      <c r="I191" s="4">
        <f>+I175</f>
        <v>318849177</v>
      </c>
      <c r="J191" s="91">
        <f>+K175</f>
        <v>0.83723700833451442</v>
      </c>
      <c r="K191" s="115">
        <f>+P175</f>
        <v>0.68</v>
      </c>
      <c r="L191">
        <f>+L175</f>
        <v>25</v>
      </c>
      <c r="M191" s="84">
        <f>+M175</f>
        <v>5.84</v>
      </c>
    </row>
    <row r="192" spans="3:24" x14ac:dyDescent="0.25">
      <c r="C192" s="39"/>
      <c r="G192" t="s">
        <v>25</v>
      </c>
      <c r="H192" s="4">
        <f>+H147</f>
        <v>263865000</v>
      </c>
      <c r="I192" s="4">
        <f>+I147</f>
        <v>263750479</v>
      </c>
      <c r="J192" s="91">
        <f>+K147</f>
        <v>0.99956598639455785</v>
      </c>
      <c r="K192" s="115">
        <f>+P147</f>
        <v>0.625</v>
      </c>
      <c r="L192">
        <f>+L147</f>
        <v>32</v>
      </c>
      <c r="M192" s="84">
        <f>+M147</f>
        <v>4.8125</v>
      </c>
    </row>
    <row r="193" spans="3:28" s="11" customFormat="1" x14ac:dyDescent="0.25">
      <c r="C193" s="39"/>
      <c r="D193"/>
      <c r="E193"/>
      <c r="F193"/>
      <c r="G193" t="s">
        <v>226</v>
      </c>
      <c r="H193" s="4">
        <f>+H187</f>
        <v>494579000</v>
      </c>
      <c r="I193" s="4">
        <f>+I187</f>
        <v>468025560</v>
      </c>
      <c r="J193" s="91">
        <f>+K187</f>
        <v>0.94631102412354751</v>
      </c>
      <c r="K193" s="115">
        <f>+P187</f>
        <v>0.66666666666666663</v>
      </c>
      <c r="L193">
        <f>+L187</f>
        <v>9</v>
      </c>
      <c r="M193" s="84">
        <f>+M187</f>
        <v>5.4444444444444446</v>
      </c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</row>
    <row r="194" spans="3:28" s="11" customFormat="1" x14ac:dyDescent="0.25">
      <c r="C194" s="39"/>
      <c r="D194"/>
      <c r="E194"/>
      <c r="F194"/>
      <c r="G194"/>
      <c r="H194"/>
      <c r="I194"/>
      <c r="J194"/>
      <c r="K194"/>
      <c r="L194"/>
      <c r="M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</row>
    <row r="195" spans="3:28" s="11" customFormat="1" x14ac:dyDescent="0.25">
      <c r="C195" s="108"/>
      <c r="D195" s="109"/>
      <c r="E195" s="109"/>
      <c r="F195" s="109"/>
      <c r="G195" s="109"/>
      <c r="H195" s="109"/>
      <c r="I195" s="109"/>
      <c r="J195" s="109"/>
      <c r="K195" s="109"/>
      <c r="L195" s="109"/>
      <c r="M195" s="109"/>
      <c r="N195" s="110"/>
      <c r="O195" s="109"/>
      <c r="P195" s="109"/>
      <c r="Q195" s="109"/>
      <c r="R195" s="109"/>
      <c r="S195" s="109"/>
      <c r="T195"/>
      <c r="U195"/>
      <c r="V195"/>
      <c r="W195"/>
      <c r="X195"/>
      <c r="Y195"/>
      <c r="Z195"/>
      <c r="AA195"/>
      <c r="AB195"/>
    </row>
    <row r="196" spans="3:28" s="11" customFormat="1" x14ac:dyDescent="0.25">
      <c r="C196" s="39"/>
      <c r="D196"/>
      <c r="E196"/>
      <c r="F196"/>
      <c r="G196"/>
      <c r="H196"/>
      <c r="I196"/>
      <c r="J196"/>
      <c r="K196"/>
      <c r="L196"/>
      <c r="M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</row>
    <row r="197" spans="3:28" x14ac:dyDescent="0.25">
      <c r="C197" s="39"/>
      <c r="E197" s="126" t="s">
        <v>1165</v>
      </c>
      <c r="F197" s="127" t="s">
        <v>842</v>
      </c>
      <c r="G197" s="127" t="s">
        <v>843</v>
      </c>
      <c r="H197" s="128">
        <f>SUM(F198:G206)</f>
        <v>66</v>
      </c>
      <c r="I197" s="132" t="s">
        <v>1166</v>
      </c>
    </row>
    <row r="198" spans="3:28" x14ac:dyDescent="0.25">
      <c r="C198" s="39"/>
      <c r="E198" s="128" t="s">
        <v>844</v>
      </c>
      <c r="F198" s="129">
        <v>4</v>
      </c>
      <c r="G198" s="129">
        <v>4</v>
      </c>
      <c r="H198" s="130">
        <f t="shared" ref="H198:H206" si="11">F198/(+F198+G198)</f>
        <v>0.5</v>
      </c>
      <c r="I198" s="131">
        <f>+(F198+G198)/$H$197</f>
        <v>0.12121212121212122</v>
      </c>
    </row>
    <row r="199" spans="3:28" x14ac:dyDescent="0.25">
      <c r="C199" s="39"/>
      <c r="E199" s="128" t="s">
        <v>845</v>
      </c>
      <c r="F199" s="129">
        <v>18</v>
      </c>
      <c r="G199" s="129">
        <v>7</v>
      </c>
      <c r="H199" s="130">
        <f t="shared" si="11"/>
        <v>0.72</v>
      </c>
      <c r="I199" s="131">
        <f t="shared" ref="I199:I206" si="12">+(F199+G199)/$H$197</f>
        <v>0.37878787878787878</v>
      </c>
    </row>
    <row r="200" spans="3:28" x14ac:dyDescent="0.25">
      <c r="C200" s="39"/>
      <c r="E200" s="128" t="s">
        <v>1161</v>
      </c>
      <c r="F200" s="129">
        <v>2</v>
      </c>
      <c r="G200" s="129">
        <v>0</v>
      </c>
      <c r="H200" s="130">
        <f t="shared" si="11"/>
        <v>1</v>
      </c>
      <c r="I200" s="131">
        <f t="shared" si="12"/>
        <v>3.0303030303030304E-2</v>
      </c>
    </row>
    <row r="201" spans="3:28" x14ac:dyDescent="0.25">
      <c r="C201" s="39"/>
      <c r="E201" s="128" t="s">
        <v>847</v>
      </c>
      <c r="F201" s="129">
        <v>4</v>
      </c>
      <c r="G201" s="129">
        <v>7</v>
      </c>
      <c r="H201" s="130">
        <f t="shared" si="11"/>
        <v>0.36363636363636365</v>
      </c>
      <c r="I201" s="131">
        <f t="shared" si="12"/>
        <v>0.16666666666666666</v>
      </c>
    </row>
    <row r="202" spans="3:28" x14ac:dyDescent="0.25">
      <c r="C202" s="39"/>
      <c r="E202" s="128" t="s">
        <v>848</v>
      </c>
      <c r="F202" s="129">
        <v>0</v>
      </c>
      <c r="G202" s="129">
        <v>1</v>
      </c>
      <c r="H202" s="130">
        <f t="shared" si="11"/>
        <v>0</v>
      </c>
      <c r="I202" s="131">
        <f t="shared" si="12"/>
        <v>1.5151515151515152E-2</v>
      </c>
    </row>
    <row r="203" spans="3:28" x14ac:dyDescent="0.25">
      <c r="C203" s="39"/>
      <c r="E203" s="128" t="s">
        <v>849</v>
      </c>
      <c r="F203" s="129">
        <v>10</v>
      </c>
      <c r="G203" s="129">
        <v>1</v>
      </c>
      <c r="H203" s="130">
        <f t="shared" si="11"/>
        <v>0.90909090909090906</v>
      </c>
      <c r="I203" s="131">
        <f t="shared" si="12"/>
        <v>0.16666666666666666</v>
      </c>
    </row>
    <row r="204" spans="3:28" x14ac:dyDescent="0.25">
      <c r="C204" s="39"/>
      <c r="E204" s="128" t="s">
        <v>1162</v>
      </c>
      <c r="F204" s="129">
        <v>0</v>
      </c>
      <c r="G204" s="129">
        <v>0</v>
      </c>
      <c r="H204" s="133" t="s">
        <v>1164</v>
      </c>
      <c r="I204" s="131">
        <f t="shared" si="12"/>
        <v>0</v>
      </c>
    </row>
    <row r="205" spans="3:28" x14ac:dyDescent="0.25">
      <c r="C205" s="39"/>
      <c r="E205" s="128" t="s">
        <v>1163</v>
      </c>
      <c r="F205" s="129">
        <v>1</v>
      </c>
      <c r="G205" s="129">
        <v>0</v>
      </c>
      <c r="H205" s="130">
        <f t="shared" si="11"/>
        <v>1</v>
      </c>
      <c r="I205" s="131">
        <f t="shared" si="12"/>
        <v>1.5151515151515152E-2</v>
      </c>
    </row>
    <row r="206" spans="3:28" x14ac:dyDescent="0.25">
      <c r="C206" s="39"/>
      <c r="E206" s="128" t="s">
        <v>846</v>
      </c>
      <c r="F206" s="129">
        <v>4</v>
      </c>
      <c r="G206" s="129">
        <v>3</v>
      </c>
      <c r="H206" s="130">
        <f t="shared" si="11"/>
        <v>0.5714285714285714</v>
      </c>
      <c r="I206" s="131">
        <f t="shared" si="12"/>
        <v>0.10606060606060606</v>
      </c>
    </row>
    <row r="207" spans="3:28" x14ac:dyDescent="0.25">
      <c r="C207" s="39"/>
      <c r="E207" s="2"/>
      <c r="F207" s="11"/>
      <c r="G207" s="11"/>
    </row>
    <row r="208" spans="3:28" x14ac:dyDescent="0.25">
      <c r="C208" s="39"/>
      <c r="F208" s="11"/>
      <c r="G208" s="11"/>
    </row>
    <row r="209" spans="3:24" x14ac:dyDescent="0.25">
      <c r="C209" s="39"/>
    </row>
    <row r="210" spans="3:24" x14ac:dyDescent="0.25">
      <c r="C210" s="39"/>
    </row>
    <row r="211" spans="3:24" x14ac:dyDescent="0.25">
      <c r="C211" s="111"/>
      <c r="D211" s="112"/>
      <c r="E211" s="112"/>
      <c r="F211" s="112"/>
      <c r="G211" s="112"/>
      <c r="H211" s="112"/>
      <c r="I211" s="112"/>
      <c r="J211" s="112"/>
      <c r="K211" s="112"/>
      <c r="L211" s="112"/>
      <c r="M211" s="112"/>
      <c r="N211" s="113"/>
      <c r="O211" s="112"/>
      <c r="P211" s="112"/>
      <c r="Q211" s="112"/>
      <c r="R211" s="112"/>
      <c r="S211" s="112"/>
    </row>
    <row r="212" spans="3:24" x14ac:dyDescent="0.25">
      <c r="C212" s="39"/>
    </row>
    <row r="213" spans="3:24" x14ac:dyDescent="0.25">
      <c r="C213" s="39"/>
    </row>
    <row r="214" spans="3:24" x14ac:dyDescent="0.25">
      <c r="C214" s="39">
        <v>2017</v>
      </c>
      <c r="D214" s="102" t="s">
        <v>1159</v>
      </c>
      <c r="E214" s="63" t="s">
        <v>1154</v>
      </c>
      <c r="F214" s="64">
        <v>43088</v>
      </c>
      <c r="G214" s="65" t="s">
        <v>693</v>
      </c>
      <c r="H214" s="94">
        <v>795000</v>
      </c>
      <c r="I214" s="27">
        <v>353700</v>
      </c>
      <c r="J214" s="27"/>
      <c r="K214" s="26">
        <v>-0.55509433962264154</v>
      </c>
      <c r="L214" s="11" t="s">
        <v>464</v>
      </c>
      <c r="M214" s="15">
        <v>8</v>
      </c>
      <c r="N214" s="35" t="s">
        <v>226</v>
      </c>
      <c r="O214" s="15">
        <v>4</v>
      </c>
      <c r="P214" s="35" t="s">
        <v>457</v>
      </c>
      <c r="Q214" s="15"/>
      <c r="R214" s="24"/>
      <c r="S214" s="62" t="s">
        <v>1153</v>
      </c>
      <c r="T214" s="15"/>
      <c r="U214" s="15"/>
      <c r="V214" s="54">
        <v>795000</v>
      </c>
      <c r="W214" s="54">
        <v>353700</v>
      </c>
      <c r="X214" s="54">
        <v>441300</v>
      </c>
    </row>
    <row r="215" spans="3:24" x14ac:dyDescent="0.25">
      <c r="C215" s="39">
        <v>2017</v>
      </c>
      <c r="D215" s="102" t="s">
        <v>1139</v>
      </c>
      <c r="E215" s="63" t="s">
        <v>1140</v>
      </c>
      <c r="F215" s="64">
        <v>43054</v>
      </c>
      <c r="G215" s="65" t="s">
        <v>34</v>
      </c>
      <c r="H215" s="94">
        <v>1350000</v>
      </c>
      <c r="I215" s="27">
        <v>2629000</v>
      </c>
      <c r="J215" s="27"/>
      <c r="K215" s="26">
        <v>0.94740740740740736</v>
      </c>
      <c r="L215" s="11" t="s">
        <v>465</v>
      </c>
      <c r="M215" s="15">
        <v>1</v>
      </c>
      <c r="N215" s="35" t="s">
        <v>226</v>
      </c>
      <c r="O215" s="15">
        <v>4</v>
      </c>
      <c r="P215" s="35" t="s">
        <v>457</v>
      </c>
      <c r="Q215" s="15"/>
      <c r="R215" s="24" t="s">
        <v>782</v>
      </c>
      <c r="S215" s="62" t="s">
        <v>784</v>
      </c>
      <c r="T215" s="15"/>
      <c r="U215" s="15"/>
      <c r="V215" s="54">
        <v>1350000</v>
      </c>
      <c r="W215" s="54">
        <v>2629000</v>
      </c>
      <c r="X215" s="54">
        <v>-1279000</v>
      </c>
    </row>
    <row r="216" spans="3:24" x14ac:dyDescent="0.25">
      <c r="C216" s="39">
        <v>2017</v>
      </c>
      <c r="D216" s="102" t="s">
        <v>1127</v>
      </c>
      <c r="E216" s="63" t="s">
        <v>1128</v>
      </c>
      <c r="F216" s="64">
        <v>43053</v>
      </c>
      <c r="G216" s="65" t="s">
        <v>756</v>
      </c>
      <c r="H216" s="94">
        <v>17250000</v>
      </c>
      <c r="I216" s="27">
        <v>22616488</v>
      </c>
      <c r="J216" s="104" t="s">
        <v>519</v>
      </c>
      <c r="K216" s="26">
        <v>0.3111007536231884</v>
      </c>
      <c r="L216" s="11" t="s">
        <v>465</v>
      </c>
      <c r="M216" s="15">
        <v>4</v>
      </c>
      <c r="N216" s="35" t="s">
        <v>93</v>
      </c>
      <c r="O216" s="15">
        <v>4</v>
      </c>
      <c r="P216" s="35" t="s">
        <v>457</v>
      </c>
      <c r="Q216" s="15"/>
      <c r="R216" s="24"/>
      <c r="S216" s="62" t="s">
        <v>447</v>
      </c>
      <c r="T216" s="15"/>
      <c r="U216" s="15"/>
      <c r="V216" s="54">
        <v>17250000</v>
      </c>
      <c r="W216" s="54">
        <v>22616488</v>
      </c>
      <c r="X216" s="54">
        <v>-5366488</v>
      </c>
    </row>
    <row r="217" spans="3:24" x14ac:dyDescent="0.25">
      <c r="C217" s="39">
        <v>2017</v>
      </c>
      <c r="D217" s="62" t="s">
        <v>1110</v>
      </c>
      <c r="E217" s="63" t="s">
        <v>1111</v>
      </c>
      <c r="F217" s="64">
        <v>43047</v>
      </c>
      <c r="G217" s="65" t="s">
        <v>34</v>
      </c>
      <c r="H217" s="94">
        <v>1650000</v>
      </c>
      <c r="I217" s="27">
        <v>2278990</v>
      </c>
      <c r="J217" s="27"/>
      <c r="K217" s="26">
        <v>0.3812060606060606</v>
      </c>
      <c r="L217" s="11" t="s">
        <v>465</v>
      </c>
      <c r="M217" s="15">
        <v>5</v>
      </c>
      <c r="N217" s="35" t="s">
        <v>226</v>
      </c>
      <c r="O217" s="15">
        <v>4</v>
      </c>
      <c r="P217" s="35" t="s">
        <v>457</v>
      </c>
      <c r="Q217" s="15"/>
      <c r="R217" s="24"/>
      <c r="S217" s="62" t="s">
        <v>784</v>
      </c>
      <c r="T217" s="15"/>
      <c r="U217" s="15"/>
      <c r="V217" s="54">
        <v>1650000</v>
      </c>
      <c r="W217" s="54">
        <v>2278990</v>
      </c>
      <c r="X217" s="54">
        <v>-628990</v>
      </c>
    </row>
    <row r="218" spans="3:24" x14ac:dyDescent="0.25">
      <c r="C218" s="39">
        <v>2017</v>
      </c>
      <c r="D218" s="62" t="s">
        <v>1091</v>
      </c>
      <c r="E218" s="63" t="s">
        <v>1092</v>
      </c>
      <c r="F218" s="64">
        <v>43006</v>
      </c>
      <c r="G218" s="65" t="s">
        <v>693</v>
      </c>
      <c r="H218" s="94">
        <v>609000</v>
      </c>
      <c r="I218" s="27">
        <v>579300</v>
      </c>
      <c r="J218" s="27"/>
      <c r="K218" s="26">
        <v>-4.8768472906403938E-2</v>
      </c>
      <c r="L218" s="11" t="s">
        <v>464</v>
      </c>
      <c r="M218" s="15">
        <v>4</v>
      </c>
      <c r="N218" s="35" t="s">
        <v>226</v>
      </c>
      <c r="O218" s="15">
        <v>3</v>
      </c>
      <c r="P218" s="35" t="s">
        <v>457</v>
      </c>
      <c r="Q218" s="15"/>
      <c r="R218" s="24"/>
      <c r="S218" s="62" t="s">
        <v>962</v>
      </c>
      <c r="T218" s="15"/>
      <c r="U218" s="15"/>
      <c r="V218" s="54">
        <v>609000</v>
      </c>
      <c r="W218" s="54">
        <v>579300</v>
      </c>
      <c r="X218" s="54">
        <v>29700</v>
      </c>
    </row>
    <row r="219" spans="3:24" x14ac:dyDescent="0.25">
      <c r="C219" s="39">
        <v>2017</v>
      </c>
      <c r="D219" s="62" t="s">
        <v>1089</v>
      </c>
      <c r="E219" s="63" t="s">
        <v>1090</v>
      </c>
      <c r="F219" s="64">
        <v>43005</v>
      </c>
      <c r="G219" s="65" t="s">
        <v>34</v>
      </c>
      <c r="H219" s="94">
        <v>1250000</v>
      </c>
      <c r="I219" s="27">
        <v>1068000</v>
      </c>
      <c r="J219" s="27"/>
      <c r="K219" s="26">
        <v>-0.14560000000000001</v>
      </c>
      <c r="L219" s="11" t="s">
        <v>464</v>
      </c>
      <c r="M219" s="15">
        <v>6</v>
      </c>
      <c r="N219" s="35" t="s">
        <v>226</v>
      </c>
      <c r="O219" s="15">
        <v>3</v>
      </c>
      <c r="P219" s="35" t="s">
        <v>457</v>
      </c>
      <c r="Q219" s="15"/>
      <c r="R219" s="24"/>
      <c r="S219" s="62" t="s">
        <v>784</v>
      </c>
      <c r="T219" s="15"/>
      <c r="U219" s="15"/>
      <c r="V219" s="54">
        <v>1250000</v>
      </c>
      <c r="W219" s="54">
        <v>1068000</v>
      </c>
      <c r="X219" s="54">
        <v>182000</v>
      </c>
    </row>
    <row r="220" spans="3:24" x14ac:dyDescent="0.25">
      <c r="C220" s="39">
        <v>2017</v>
      </c>
      <c r="D220" s="62" t="s">
        <v>1084</v>
      </c>
      <c r="E220" s="63" t="s">
        <v>1085</v>
      </c>
      <c r="F220" s="64">
        <v>43004</v>
      </c>
      <c r="G220" s="65" t="s">
        <v>190</v>
      </c>
      <c r="H220" s="94">
        <v>189900000</v>
      </c>
      <c r="I220" s="27">
        <v>154487000</v>
      </c>
      <c r="J220" s="27" t="s">
        <v>519</v>
      </c>
      <c r="K220" s="26">
        <v>-0.18648235913638758</v>
      </c>
      <c r="L220" s="11" t="s">
        <v>464</v>
      </c>
      <c r="M220" s="15">
        <v>5</v>
      </c>
      <c r="N220" s="35" t="s">
        <v>93</v>
      </c>
      <c r="O220" s="15">
        <v>3</v>
      </c>
      <c r="P220" s="35" t="s">
        <v>457</v>
      </c>
      <c r="Q220" s="15"/>
      <c r="R220" s="24"/>
      <c r="S220" s="62" t="s">
        <v>816</v>
      </c>
      <c r="T220" s="15"/>
      <c r="U220" s="15"/>
      <c r="V220" s="54">
        <v>189900000</v>
      </c>
      <c r="W220" s="54">
        <v>154487000</v>
      </c>
      <c r="X220" s="54">
        <v>35413000</v>
      </c>
    </row>
    <row r="221" spans="3:24" x14ac:dyDescent="0.25">
      <c r="C221" s="39">
        <v>2017</v>
      </c>
      <c r="D221" s="62" t="s">
        <v>1070</v>
      </c>
      <c r="E221" s="63" t="s">
        <v>1071</v>
      </c>
      <c r="F221" s="64">
        <v>42997</v>
      </c>
      <c r="G221" s="65" t="s">
        <v>34</v>
      </c>
      <c r="H221" s="94">
        <v>1326000</v>
      </c>
      <c r="I221" s="27">
        <v>1976491</v>
      </c>
      <c r="J221" s="27"/>
      <c r="K221" s="26">
        <v>0.49056636500754147</v>
      </c>
      <c r="L221" s="11" t="s">
        <v>465</v>
      </c>
      <c r="M221" s="15">
        <v>4</v>
      </c>
      <c r="N221" s="35" t="s">
        <v>25</v>
      </c>
      <c r="O221" s="15">
        <v>3</v>
      </c>
      <c r="P221" s="35" t="s">
        <v>457</v>
      </c>
      <c r="Q221" s="15"/>
      <c r="R221" s="24"/>
      <c r="S221" s="62" t="s">
        <v>784</v>
      </c>
      <c r="T221" s="15"/>
      <c r="U221" s="15"/>
      <c r="V221" s="54">
        <v>1326000</v>
      </c>
      <c r="W221" s="54">
        <v>1976491</v>
      </c>
      <c r="X221" s="54">
        <v>-650491</v>
      </c>
    </row>
    <row r="222" spans="3:24" x14ac:dyDescent="0.25">
      <c r="C222" s="39">
        <v>2017</v>
      </c>
      <c r="D222" s="62" t="s">
        <v>1049</v>
      </c>
      <c r="E222" s="63" t="s">
        <v>1050</v>
      </c>
      <c r="F222" s="64">
        <v>42942</v>
      </c>
      <c r="G222" s="65" t="s">
        <v>34</v>
      </c>
      <c r="H222" s="94">
        <v>700000</v>
      </c>
      <c r="I222" s="27">
        <v>614770</v>
      </c>
      <c r="J222" s="27"/>
      <c r="K222" s="26">
        <v>-0.12175714285714286</v>
      </c>
      <c r="L222" s="11" t="s">
        <v>464</v>
      </c>
      <c r="M222" s="15">
        <v>2</v>
      </c>
      <c r="N222" s="35" t="s">
        <v>93</v>
      </c>
      <c r="O222" s="15">
        <v>3</v>
      </c>
      <c r="P222" s="35" t="s">
        <v>457</v>
      </c>
      <c r="Q222" s="15"/>
      <c r="R222" s="24"/>
      <c r="S222" s="62" t="s">
        <v>536</v>
      </c>
      <c r="T222" s="15"/>
      <c r="U222" s="15"/>
      <c r="V222" s="54">
        <v>700000</v>
      </c>
      <c r="W222" s="54">
        <v>614770</v>
      </c>
      <c r="X222" s="54">
        <v>85230</v>
      </c>
    </row>
    <row r="223" spans="3:24" x14ac:dyDescent="0.25">
      <c r="C223" s="39">
        <v>2017</v>
      </c>
      <c r="D223" s="62" t="s">
        <v>1021</v>
      </c>
      <c r="E223" s="63" t="s">
        <v>1022</v>
      </c>
      <c r="F223" s="64">
        <v>42892</v>
      </c>
      <c r="G223" s="65" t="s">
        <v>34</v>
      </c>
      <c r="H223" s="94">
        <v>771000</v>
      </c>
      <c r="I223" s="27">
        <v>946600</v>
      </c>
      <c r="J223" s="27"/>
      <c r="K223" s="26">
        <v>0.22775616083009079</v>
      </c>
      <c r="L223" s="11" t="s">
        <v>465</v>
      </c>
      <c r="M223" s="15">
        <v>2</v>
      </c>
      <c r="N223" s="35" t="s">
        <v>25</v>
      </c>
      <c r="O223" s="15">
        <v>2</v>
      </c>
      <c r="P223" s="35" t="s">
        <v>457</v>
      </c>
      <c r="Q223" s="15"/>
      <c r="R223" s="24"/>
      <c r="S223" s="62" t="s">
        <v>630</v>
      </c>
      <c r="T223" s="15"/>
      <c r="U223" s="15"/>
      <c r="V223" s="54">
        <v>771000</v>
      </c>
      <c r="W223" s="54">
        <v>946600</v>
      </c>
      <c r="X223" s="54">
        <v>-175600</v>
      </c>
    </row>
    <row r="224" spans="3:24" x14ac:dyDescent="0.25">
      <c r="C224" s="39">
        <v>2017</v>
      </c>
      <c r="D224" s="62" t="s">
        <v>995</v>
      </c>
      <c r="E224" s="63" t="s">
        <v>632</v>
      </c>
      <c r="F224" s="64">
        <v>42851</v>
      </c>
      <c r="G224" s="65" t="s">
        <v>190</v>
      </c>
      <c r="H224" s="94">
        <v>3589000</v>
      </c>
      <c r="I224" s="27">
        <v>3875045</v>
      </c>
      <c r="J224" s="27"/>
      <c r="K224" s="26">
        <v>7.9700473669545829E-2</v>
      </c>
      <c r="L224" s="11" t="s">
        <v>464</v>
      </c>
      <c r="M224" s="15">
        <v>3</v>
      </c>
      <c r="N224" s="35" t="s">
        <v>93</v>
      </c>
      <c r="O224" s="15">
        <v>2</v>
      </c>
      <c r="P224" s="35" t="s">
        <v>457</v>
      </c>
      <c r="Q224" s="15"/>
      <c r="R224" s="24"/>
      <c r="S224" s="62" t="s">
        <v>447</v>
      </c>
      <c r="T224" s="15"/>
      <c r="U224" s="15"/>
      <c r="V224" s="54">
        <v>3589000</v>
      </c>
      <c r="W224" s="54">
        <v>3875045</v>
      </c>
      <c r="X224" s="54">
        <v>-286045</v>
      </c>
    </row>
    <row r="225" spans="3:24" x14ac:dyDescent="0.25">
      <c r="C225" s="39">
        <v>2017</v>
      </c>
      <c r="D225" s="62" t="s">
        <v>991</v>
      </c>
      <c r="E225" s="63" t="s">
        <v>992</v>
      </c>
      <c r="F225" s="64">
        <v>42846</v>
      </c>
      <c r="G225" s="65" t="s">
        <v>34</v>
      </c>
      <c r="H225" s="94">
        <v>2060000</v>
      </c>
      <c r="I225" s="27">
        <v>2614625</v>
      </c>
      <c r="J225" s="27"/>
      <c r="K225" s="26">
        <v>0.26923543689320389</v>
      </c>
      <c r="L225" s="11" t="s">
        <v>465</v>
      </c>
      <c r="M225" s="15">
        <v>5</v>
      </c>
      <c r="N225" s="35" t="s">
        <v>226</v>
      </c>
      <c r="O225" s="15">
        <v>2</v>
      </c>
      <c r="P225" s="35" t="s">
        <v>457</v>
      </c>
      <c r="Q225" s="15"/>
      <c r="R225" s="24"/>
      <c r="S225" s="62" t="s">
        <v>630</v>
      </c>
      <c r="T225" s="15"/>
      <c r="U225" s="15"/>
      <c r="V225" s="54">
        <v>2060000</v>
      </c>
      <c r="W225" s="54">
        <v>2614625</v>
      </c>
      <c r="X225" s="54">
        <v>-554625</v>
      </c>
    </row>
    <row r="226" spans="3:24" x14ac:dyDescent="0.25">
      <c r="C226" s="39">
        <v>2017</v>
      </c>
      <c r="D226" s="62" t="s">
        <v>966</v>
      </c>
      <c r="E226" s="63" t="s">
        <v>967</v>
      </c>
      <c r="F226" s="64">
        <v>42823</v>
      </c>
      <c r="G226" s="65" t="s">
        <v>34</v>
      </c>
      <c r="H226" s="27">
        <v>3700000</v>
      </c>
      <c r="I226" s="27">
        <v>2490000</v>
      </c>
      <c r="J226" s="27">
        <v>3185240</v>
      </c>
      <c r="K226" s="26">
        <v>-0.32702702702702702</v>
      </c>
      <c r="L226" s="11" t="s">
        <v>464</v>
      </c>
      <c r="M226" s="15">
        <v>7</v>
      </c>
      <c r="N226" s="35" t="s">
        <v>93</v>
      </c>
      <c r="O226" s="15">
        <v>1</v>
      </c>
      <c r="P226" s="35" t="s">
        <v>457</v>
      </c>
      <c r="Q226" s="15"/>
      <c r="R226" s="24" t="s">
        <v>976</v>
      </c>
      <c r="S226" s="62" t="s">
        <v>630</v>
      </c>
      <c r="T226" s="15"/>
      <c r="U226" s="15"/>
      <c r="V226" s="54">
        <v>3700000</v>
      </c>
      <c r="W226" s="54">
        <v>2490000</v>
      </c>
      <c r="X226" s="54">
        <v>1210000</v>
      </c>
    </row>
    <row r="227" spans="3:24" x14ac:dyDescent="0.25">
      <c r="C227" s="39">
        <v>2017</v>
      </c>
      <c r="D227" s="62" t="s">
        <v>941</v>
      </c>
      <c r="E227" s="63" t="s">
        <v>940</v>
      </c>
      <c r="F227" s="64">
        <v>42789</v>
      </c>
      <c r="G227" s="65" t="s">
        <v>693</v>
      </c>
      <c r="H227" s="27">
        <v>240000</v>
      </c>
      <c r="I227" s="27">
        <v>97300</v>
      </c>
      <c r="J227" s="27"/>
      <c r="K227" s="26">
        <v>-0.59458333333333335</v>
      </c>
      <c r="L227" s="11" t="s">
        <v>465</v>
      </c>
      <c r="M227" s="15">
        <v>6</v>
      </c>
      <c r="N227" s="35" t="s">
        <v>25</v>
      </c>
      <c r="O227" s="15">
        <v>1</v>
      </c>
      <c r="P227" s="35" t="s">
        <v>457</v>
      </c>
      <c r="Q227" s="15"/>
      <c r="R227" s="24"/>
      <c r="S227" s="62" t="s">
        <v>630</v>
      </c>
      <c r="T227" s="15"/>
      <c r="U227" s="15"/>
      <c r="V227" s="54">
        <v>240000</v>
      </c>
      <c r="W227" s="54">
        <v>97300</v>
      </c>
      <c r="X227" s="54">
        <v>142700</v>
      </c>
    </row>
    <row r="228" spans="3:24" x14ac:dyDescent="0.25">
      <c r="C228" s="39">
        <v>2017</v>
      </c>
      <c r="D228" s="62" t="s">
        <v>912</v>
      </c>
      <c r="E228" s="63" t="s">
        <v>935</v>
      </c>
      <c r="F228" s="64">
        <v>42789</v>
      </c>
      <c r="G228" s="65" t="s">
        <v>190</v>
      </c>
      <c r="H228" s="94">
        <v>479900000</v>
      </c>
      <c r="I228" s="27">
        <v>451841280</v>
      </c>
      <c r="J228" s="27" t="s">
        <v>519</v>
      </c>
      <c r="K228" s="26">
        <v>-5.8467847468222547E-2</v>
      </c>
      <c r="L228" s="11" t="s">
        <v>464</v>
      </c>
      <c r="M228" s="15">
        <v>5</v>
      </c>
      <c r="N228" s="35" t="s">
        <v>226</v>
      </c>
      <c r="O228" s="15">
        <v>1</v>
      </c>
      <c r="P228" s="35" t="s">
        <v>457</v>
      </c>
      <c r="Q228" s="15"/>
      <c r="R228" s="24"/>
      <c r="S228" s="62" t="s">
        <v>630</v>
      </c>
      <c r="T228" s="15"/>
      <c r="U228" s="15"/>
      <c r="V228" s="54">
        <v>479900000</v>
      </c>
      <c r="W228" s="54">
        <v>451841280</v>
      </c>
      <c r="X228" s="54">
        <v>28058720</v>
      </c>
    </row>
    <row r="229" spans="3:24" x14ac:dyDescent="0.25">
      <c r="C229" s="39">
        <v>2017</v>
      </c>
      <c r="D229" s="62" t="s">
        <v>898</v>
      </c>
      <c r="E229" s="63" t="s">
        <v>717</v>
      </c>
      <c r="F229" s="64">
        <v>42773</v>
      </c>
      <c r="G229" s="65" t="s">
        <v>190</v>
      </c>
      <c r="H229" s="94">
        <v>1965000</v>
      </c>
      <c r="I229" s="27">
        <v>1450000</v>
      </c>
      <c r="J229" s="27"/>
      <c r="K229" s="26">
        <v>-0.26208651399491095</v>
      </c>
      <c r="L229" s="11" t="s">
        <v>464</v>
      </c>
      <c r="M229" s="15">
        <v>6</v>
      </c>
      <c r="N229" s="35" t="s">
        <v>226</v>
      </c>
      <c r="O229" s="15">
        <v>1</v>
      </c>
      <c r="P229" s="35" t="s">
        <v>457</v>
      </c>
      <c r="Q229" s="15"/>
      <c r="R229" s="24" t="s">
        <v>900</v>
      </c>
      <c r="S229" s="62" t="s">
        <v>630</v>
      </c>
      <c r="T229" s="15"/>
      <c r="U229" s="15"/>
      <c r="V229" s="54">
        <v>1965000</v>
      </c>
      <c r="W229" s="54">
        <v>1450000</v>
      </c>
      <c r="X229" s="54">
        <v>515000</v>
      </c>
    </row>
    <row r="230" spans="3:24" x14ac:dyDescent="0.25">
      <c r="C230" s="39">
        <v>2017</v>
      </c>
      <c r="D230" s="62" t="s">
        <v>857</v>
      </c>
      <c r="E230" s="63" t="s">
        <v>858</v>
      </c>
      <c r="F230" s="64">
        <v>42753</v>
      </c>
      <c r="G230" s="65" t="s">
        <v>693</v>
      </c>
      <c r="H230" s="94">
        <v>1410000</v>
      </c>
      <c r="I230" s="27">
        <v>1399756</v>
      </c>
      <c r="J230" s="27"/>
      <c r="K230" s="26">
        <v>-7.2652482269503545E-3</v>
      </c>
      <c r="L230" s="11" t="s">
        <v>464</v>
      </c>
      <c r="M230" s="15">
        <v>3</v>
      </c>
      <c r="N230" s="35" t="s">
        <v>25</v>
      </c>
      <c r="O230" s="15">
        <v>1</v>
      </c>
      <c r="P230" s="35" t="s">
        <v>457</v>
      </c>
      <c r="Q230" s="15"/>
      <c r="R230" s="24"/>
      <c r="S230" s="62" t="s">
        <v>630</v>
      </c>
      <c r="T230" s="15"/>
      <c r="U230" s="15"/>
      <c r="V230" s="54">
        <v>1410000</v>
      </c>
      <c r="W230" s="54">
        <v>1399756</v>
      </c>
      <c r="X230" s="54">
        <v>10244</v>
      </c>
    </row>
    <row r="231" spans="3:24" x14ac:dyDescent="0.25">
      <c r="C231" s="39"/>
      <c r="E231" s="85"/>
      <c r="F231" s="85"/>
      <c r="G231" s="85"/>
      <c r="H231" s="86">
        <f>SUM(H214:H230)</f>
        <v>708465000</v>
      </c>
      <c r="I231" s="86">
        <f>SUM(I214:I230)</f>
        <v>651318345</v>
      </c>
      <c r="J231" s="85"/>
      <c r="K231" s="87">
        <f>+I231/H231</f>
        <v>0.91933736317249259</v>
      </c>
      <c r="L231" s="85">
        <f>COUNTA(L214:L230)</f>
        <v>17</v>
      </c>
      <c r="M231" s="88">
        <f>SUM(M214:M230)/L231</f>
        <v>4.4705882352941178</v>
      </c>
      <c r="N231" s="89"/>
      <c r="O231" s="85"/>
      <c r="P231" s="114">
        <f>10/L231</f>
        <v>0.58823529411764708</v>
      </c>
      <c r="Q231" s="85"/>
    </row>
    <row r="232" spans="3:24" x14ac:dyDescent="0.25">
      <c r="C232" s="39"/>
    </row>
    <row r="233" spans="3:24" x14ac:dyDescent="0.25">
      <c r="C233" s="39"/>
      <c r="E233" s="121" t="s">
        <v>1169</v>
      </c>
      <c r="F233" s="70" t="str">
        <f>"'15 final"</f>
        <v>'15 final</v>
      </c>
      <c r="G233" s="70" t="str">
        <f>"'16 final"</f>
        <v>'16 final</v>
      </c>
      <c r="H233" s="116" t="str">
        <f>"'17 final"</f>
        <v>'17 final</v>
      </c>
      <c r="P233" s="11"/>
    </row>
    <row r="234" spans="3:24" x14ac:dyDescent="0.25">
      <c r="C234" s="39"/>
      <c r="E234" s="71" t="s">
        <v>800</v>
      </c>
      <c r="F234" s="11">
        <v>9</v>
      </c>
      <c r="G234" s="11">
        <v>13</v>
      </c>
      <c r="H234" s="103">
        <f>+L231</f>
        <v>17</v>
      </c>
      <c r="P234" s="11"/>
    </row>
    <row r="235" spans="3:24" x14ac:dyDescent="0.25">
      <c r="C235" s="39"/>
      <c r="E235" s="72" t="s">
        <v>801</v>
      </c>
      <c r="F235" s="11">
        <v>6</v>
      </c>
      <c r="G235" s="11">
        <v>11</v>
      </c>
      <c r="H235" s="103">
        <f>+H234-H236</f>
        <v>14</v>
      </c>
      <c r="P235" s="11"/>
    </row>
    <row r="236" spans="3:24" x14ac:dyDescent="0.25">
      <c r="C236" s="39"/>
      <c r="E236" s="72" t="s">
        <v>802</v>
      </c>
      <c r="F236" s="11">
        <v>3</v>
      </c>
      <c r="G236" s="11">
        <v>2</v>
      </c>
      <c r="H236" s="103">
        <v>3</v>
      </c>
      <c r="P236" s="11"/>
    </row>
    <row r="237" spans="3:24" x14ac:dyDescent="0.25">
      <c r="C237" s="39"/>
      <c r="E237" s="72"/>
      <c r="F237" s="11"/>
      <c r="G237" s="11"/>
      <c r="H237" s="103"/>
      <c r="P237" s="11"/>
    </row>
    <row r="238" spans="3:24" x14ac:dyDescent="0.25">
      <c r="C238" s="39"/>
      <c r="E238" s="72" t="s">
        <v>1144</v>
      </c>
      <c r="F238" s="78">
        <v>38</v>
      </c>
      <c r="G238" s="78">
        <v>121</v>
      </c>
      <c r="H238" s="117">
        <f>+I231/1000000</f>
        <v>651.31834500000002</v>
      </c>
      <c r="P238" s="11"/>
    </row>
    <row r="239" spans="3:24" x14ac:dyDescent="0.25">
      <c r="C239" s="39"/>
      <c r="E239" s="72" t="s">
        <v>806</v>
      </c>
      <c r="F239" s="75">
        <v>5</v>
      </c>
      <c r="G239" s="75">
        <v>5.9</v>
      </c>
      <c r="H239" s="118">
        <f>+M231</f>
        <v>4.4705882352941178</v>
      </c>
      <c r="P239" s="11"/>
    </row>
    <row r="240" spans="3:24" x14ac:dyDescent="0.25">
      <c r="C240" s="39"/>
      <c r="E240" s="72" t="s">
        <v>807</v>
      </c>
      <c r="F240" s="74">
        <v>1.016</v>
      </c>
      <c r="G240" s="74">
        <v>0.78800000000000003</v>
      </c>
      <c r="H240" s="119">
        <f>+I231/H231</f>
        <v>0.91933736317249259</v>
      </c>
      <c r="P240" s="11"/>
    </row>
    <row r="241" spans="3:24" x14ac:dyDescent="0.25">
      <c r="C241" s="39"/>
      <c r="E241" s="72"/>
      <c r="F241" s="11"/>
      <c r="G241" s="11"/>
      <c r="H241" s="103"/>
      <c r="P241" s="11"/>
    </row>
    <row r="242" spans="3:24" x14ac:dyDescent="0.25">
      <c r="C242" s="39"/>
      <c r="E242" s="72" t="s">
        <v>803</v>
      </c>
      <c r="F242" s="74">
        <f>3/9</f>
        <v>0.33333333333333331</v>
      </c>
      <c r="G242" s="74">
        <f>7/13</f>
        <v>0.53846153846153844</v>
      </c>
      <c r="H242" s="107">
        <f>+P231</f>
        <v>0.58823529411764708</v>
      </c>
      <c r="P242" s="11"/>
    </row>
    <row r="243" spans="3:24" x14ac:dyDescent="0.25">
      <c r="C243" s="106"/>
      <c r="D243" s="52"/>
      <c r="E243" s="72" t="s">
        <v>804</v>
      </c>
      <c r="F243" s="74">
        <f>1/6</f>
        <v>0.16666666666666666</v>
      </c>
      <c r="G243" s="74">
        <f>6/11</f>
        <v>0.54545454545454541</v>
      </c>
      <c r="H243" s="107">
        <f>8/H235</f>
        <v>0.5714285714285714</v>
      </c>
      <c r="P243" s="11"/>
    </row>
    <row r="244" spans="3:24" x14ac:dyDescent="0.25">
      <c r="C244" s="106"/>
      <c r="D244" s="52"/>
      <c r="E244" s="72" t="s">
        <v>805</v>
      </c>
      <c r="F244" s="74">
        <f>2/3</f>
        <v>0.66666666666666663</v>
      </c>
      <c r="G244" s="74">
        <v>0.5</v>
      </c>
      <c r="H244" s="107">
        <f>2/H236</f>
        <v>0.66666666666666663</v>
      </c>
      <c r="P244" s="11"/>
    </row>
    <row r="245" spans="3:24" x14ac:dyDescent="0.25">
      <c r="C245" s="39"/>
      <c r="E245" s="72"/>
      <c r="F245" s="11"/>
      <c r="G245" s="11"/>
      <c r="H245" s="103"/>
      <c r="P245" s="11"/>
    </row>
    <row r="246" spans="3:24" x14ac:dyDescent="0.25">
      <c r="C246" s="39"/>
      <c r="E246" s="72" t="s">
        <v>1141</v>
      </c>
      <c r="F246" s="11">
        <v>3</v>
      </c>
      <c r="G246" s="11">
        <v>4</v>
      </c>
      <c r="H246" s="103">
        <v>5</v>
      </c>
    </row>
    <row r="247" spans="3:24" x14ac:dyDescent="0.25">
      <c r="E247" s="105" t="s">
        <v>1143</v>
      </c>
      <c r="F247" s="107">
        <f>+F246/F234</f>
        <v>0.33333333333333331</v>
      </c>
      <c r="G247" s="107">
        <f>+G246/G234</f>
        <v>0.30769230769230771</v>
      </c>
      <c r="H247" s="107">
        <f>+H246/H234</f>
        <v>0.29411764705882354</v>
      </c>
    </row>
    <row r="248" spans="3:24" x14ac:dyDescent="0.25">
      <c r="C248" s="39"/>
      <c r="E248" s="72" t="s">
        <v>1142</v>
      </c>
      <c r="F248" s="11">
        <v>1</v>
      </c>
      <c r="G248" s="11">
        <v>2</v>
      </c>
      <c r="H248" s="103">
        <v>0</v>
      </c>
    </row>
    <row r="249" spans="3:24" x14ac:dyDescent="0.25">
      <c r="C249" s="39"/>
      <c r="E249" s="105" t="s">
        <v>1168</v>
      </c>
      <c r="F249" s="107">
        <f>+F248/F234</f>
        <v>0.1111111111111111</v>
      </c>
      <c r="G249" s="107">
        <f>+G248/G234</f>
        <v>0.15384615384615385</v>
      </c>
      <c r="H249" s="107">
        <f>+H248/H234</f>
        <v>0</v>
      </c>
    </row>
    <row r="250" spans="3:24" x14ac:dyDescent="0.25">
      <c r="C250" s="39"/>
    </row>
    <row r="251" spans="3:24" x14ac:dyDescent="0.25">
      <c r="C251" s="39"/>
    </row>
    <row r="252" spans="3:24" x14ac:dyDescent="0.25">
      <c r="C252" s="39"/>
    </row>
    <row r="253" spans="3:24" x14ac:dyDescent="0.25">
      <c r="C253" s="39">
        <v>2017</v>
      </c>
      <c r="D253" s="102" t="s">
        <v>1150</v>
      </c>
      <c r="E253" s="63" t="s">
        <v>1151</v>
      </c>
      <c r="F253" s="64">
        <v>43083</v>
      </c>
      <c r="G253" s="65" t="s">
        <v>693</v>
      </c>
      <c r="H253" s="94">
        <v>979000</v>
      </c>
      <c r="I253" s="27">
        <v>1168000</v>
      </c>
      <c r="J253" s="27"/>
      <c r="K253" s="26">
        <v>0.1930541368743616</v>
      </c>
      <c r="L253" s="11" t="s">
        <v>465</v>
      </c>
      <c r="M253" s="15">
        <v>2</v>
      </c>
      <c r="N253" s="35" t="s">
        <v>25</v>
      </c>
      <c r="O253" s="15">
        <v>4</v>
      </c>
      <c r="P253" s="35" t="s">
        <v>458</v>
      </c>
      <c r="Q253" s="15"/>
      <c r="R253" s="24"/>
      <c r="S253" s="62" t="s">
        <v>784</v>
      </c>
      <c r="T253" s="15"/>
      <c r="U253" s="15"/>
      <c r="V253" s="54">
        <v>979000</v>
      </c>
      <c r="W253" s="54">
        <v>1168000</v>
      </c>
      <c r="X253" s="54">
        <v>-189000</v>
      </c>
    </row>
    <row r="254" spans="3:24" x14ac:dyDescent="0.25">
      <c r="C254" s="39">
        <v>2017</v>
      </c>
      <c r="D254" s="102" t="s">
        <v>1145</v>
      </c>
      <c r="E254" s="63" t="s">
        <v>1146</v>
      </c>
      <c r="F254" s="64">
        <v>43083</v>
      </c>
      <c r="G254" s="65" t="s">
        <v>190</v>
      </c>
      <c r="H254" s="94">
        <v>4872000</v>
      </c>
      <c r="I254" s="27">
        <v>3997350</v>
      </c>
      <c r="J254" s="27"/>
      <c r="K254" s="26">
        <v>-0.17952586206896551</v>
      </c>
      <c r="L254" s="11" t="s">
        <v>464</v>
      </c>
      <c r="M254" s="15">
        <v>5</v>
      </c>
      <c r="N254" s="35" t="s">
        <v>93</v>
      </c>
      <c r="O254" s="15">
        <v>4</v>
      </c>
      <c r="P254" s="35" t="s">
        <v>458</v>
      </c>
      <c r="Q254" s="15"/>
      <c r="R254" s="24"/>
      <c r="S254" s="62" t="s">
        <v>784</v>
      </c>
      <c r="T254" s="15"/>
      <c r="U254" s="15"/>
      <c r="V254" s="54">
        <v>4872000</v>
      </c>
      <c r="W254" s="54">
        <v>3997350</v>
      </c>
      <c r="X254" s="54">
        <v>874650</v>
      </c>
    </row>
    <row r="255" spans="3:24" x14ac:dyDescent="0.25">
      <c r="C255" s="39">
        <v>2017</v>
      </c>
      <c r="D255" s="102" t="s">
        <v>1136</v>
      </c>
      <c r="E255" s="63" t="s">
        <v>1137</v>
      </c>
      <c r="F255" s="64">
        <v>43074</v>
      </c>
      <c r="G255" s="65" t="s">
        <v>34</v>
      </c>
      <c r="H255" s="94">
        <v>1530000</v>
      </c>
      <c r="I255" s="27">
        <v>1189000</v>
      </c>
      <c r="J255" s="27"/>
      <c r="K255" s="26">
        <v>-0.22287581699346407</v>
      </c>
      <c r="L255" s="11" t="s">
        <v>464</v>
      </c>
      <c r="M255" s="15">
        <v>3</v>
      </c>
      <c r="N255" s="35" t="s">
        <v>25</v>
      </c>
      <c r="O255" s="15">
        <v>4</v>
      </c>
      <c r="P255" s="35" t="s">
        <v>458</v>
      </c>
      <c r="Q255" s="15"/>
      <c r="R255" s="24"/>
      <c r="S255" s="62" t="s">
        <v>616</v>
      </c>
      <c r="T255" s="15"/>
      <c r="U255" s="15"/>
      <c r="V255" s="54">
        <v>1530000</v>
      </c>
      <c r="W255" s="54">
        <v>1189000</v>
      </c>
      <c r="X255" s="54">
        <v>341000</v>
      </c>
    </row>
    <row r="256" spans="3:24" x14ac:dyDescent="0.25">
      <c r="C256" s="39">
        <v>2017</v>
      </c>
      <c r="D256" s="102" t="s">
        <v>1135</v>
      </c>
      <c r="E256" s="63" t="s">
        <v>982</v>
      </c>
      <c r="F256" s="64">
        <v>43074</v>
      </c>
      <c r="G256" s="65" t="s">
        <v>34</v>
      </c>
      <c r="H256" s="94">
        <v>38000000</v>
      </c>
      <c r="I256" s="27">
        <v>19988800</v>
      </c>
      <c r="J256" s="104" t="s">
        <v>519</v>
      </c>
      <c r="K256" s="26">
        <v>-0.47397894736842106</v>
      </c>
      <c r="L256" s="11" t="s">
        <v>465</v>
      </c>
      <c r="M256" s="15">
        <v>5</v>
      </c>
      <c r="N256" s="35" t="s">
        <v>93</v>
      </c>
      <c r="O256" s="15">
        <v>4</v>
      </c>
      <c r="P256" s="35" t="s">
        <v>458</v>
      </c>
      <c r="Q256" s="15"/>
      <c r="R256" s="24"/>
      <c r="S256" s="62" t="s">
        <v>616</v>
      </c>
      <c r="T256" s="15"/>
      <c r="U256" s="15"/>
      <c r="V256" s="54">
        <v>38000000</v>
      </c>
      <c r="W256" s="54">
        <v>19988800</v>
      </c>
      <c r="X256" s="54">
        <v>18011200</v>
      </c>
    </row>
    <row r="257" spans="3:24" x14ac:dyDescent="0.25">
      <c r="C257" s="39">
        <v>2017</v>
      </c>
      <c r="D257" s="102" t="s">
        <v>1129</v>
      </c>
      <c r="E257" s="63" t="s">
        <v>1130</v>
      </c>
      <c r="F257" s="64">
        <v>43068</v>
      </c>
      <c r="G257" s="65" t="s">
        <v>34</v>
      </c>
      <c r="H257" s="94">
        <v>6600000</v>
      </c>
      <c r="I257" s="27">
        <v>5189333</v>
      </c>
      <c r="J257" s="27" t="s">
        <v>519</v>
      </c>
      <c r="K257" s="26">
        <v>-0.21373742424242423</v>
      </c>
      <c r="L257" s="11" t="s">
        <v>464</v>
      </c>
      <c r="M257" s="15">
        <v>7</v>
      </c>
      <c r="N257" s="35" t="s">
        <v>25</v>
      </c>
      <c r="O257" s="15">
        <v>4</v>
      </c>
      <c r="P257" s="35" t="s">
        <v>458</v>
      </c>
      <c r="Q257" s="15"/>
      <c r="R257" s="24"/>
      <c r="S257" s="62" t="s">
        <v>616</v>
      </c>
      <c r="T257" s="15"/>
      <c r="U257" s="15"/>
      <c r="V257" s="54">
        <v>6600000</v>
      </c>
      <c r="W257" s="54">
        <v>5189333</v>
      </c>
      <c r="X257" s="54">
        <v>1410667</v>
      </c>
    </row>
    <row r="258" spans="3:24" x14ac:dyDescent="0.25">
      <c r="C258" s="39">
        <v>2017</v>
      </c>
      <c r="D258" s="62" t="s">
        <v>1124</v>
      </c>
      <c r="E258" s="63" t="s">
        <v>1125</v>
      </c>
      <c r="F258" s="64">
        <v>43053</v>
      </c>
      <c r="G258" s="65" t="s">
        <v>693</v>
      </c>
      <c r="H258" s="94">
        <v>820000</v>
      </c>
      <c r="I258" s="27">
        <v>861500</v>
      </c>
      <c r="J258" s="27"/>
      <c r="K258" s="26">
        <v>5.0609756097560979E-2</v>
      </c>
      <c r="L258" s="11" t="s">
        <v>464</v>
      </c>
      <c r="M258" s="15">
        <v>4</v>
      </c>
      <c r="N258" s="35" t="s">
        <v>25</v>
      </c>
      <c r="O258" s="15">
        <v>4</v>
      </c>
      <c r="P258" s="35" t="s">
        <v>458</v>
      </c>
      <c r="Q258" s="15"/>
      <c r="R258" s="24"/>
      <c r="S258" s="62" t="s">
        <v>616</v>
      </c>
      <c r="T258" s="15"/>
      <c r="U258" s="15"/>
      <c r="V258" s="54">
        <v>820000</v>
      </c>
      <c r="W258" s="54">
        <v>861500</v>
      </c>
      <c r="X258" s="54">
        <v>-41500</v>
      </c>
    </row>
    <row r="259" spans="3:24" x14ac:dyDescent="0.25">
      <c r="C259" s="39">
        <v>2017</v>
      </c>
      <c r="D259" s="62" t="s">
        <v>1116</v>
      </c>
      <c r="E259" s="63" t="s">
        <v>1117</v>
      </c>
      <c r="F259" s="64">
        <v>43047</v>
      </c>
      <c r="G259" s="65" t="s">
        <v>190</v>
      </c>
      <c r="H259" s="94">
        <v>26900000</v>
      </c>
      <c r="I259" s="27">
        <v>26600000</v>
      </c>
      <c r="J259" s="27" t="s">
        <v>519</v>
      </c>
      <c r="K259" s="26">
        <v>-1.1152416356877323E-2</v>
      </c>
      <c r="L259" s="11" t="s">
        <v>464</v>
      </c>
      <c r="M259" s="15">
        <v>3</v>
      </c>
      <c r="N259" s="35" t="s">
        <v>25</v>
      </c>
      <c r="O259" s="15">
        <v>4</v>
      </c>
      <c r="P259" s="35" t="s">
        <v>458</v>
      </c>
      <c r="Q259" s="15"/>
      <c r="R259" s="24"/>
      <c r="S259" s="62" t="s">
        <v>616</v>
      </c>
      <c r="T259" s="15"/>
      <c r="U259" s="15"/>
      <c r="V259" s="54">
        <v>26900000</v>
      </c>
      <c r="W259" s="54">
        <v>26600000</v>
      </c>
      <c r="X259" s="54">
        <v>300000</v>
      </c>
    </row>
    <row r="260" spans="3:24" x14ac:dyDescent="0.25">
      <c r="C260" s="39">
        <v>2017</v>
      </c>
      <c r="D260" s="62" t="s">
        <v>1101</v>
      </c>
      <c r="E260" s="63" t="s">
        <v>1102</v>
      </c>
      <c r="F260" s="64">
        <v>43025</v>
      </c>
      <c r="G260" s="65" t="s">
        <v>34</v>
      </c>
      <c r="H260" s="94">
        <v>2800000</v>
      </c>
      <c r="I260" s="27">
        <v>2847000</v>
      </c>
      <c r="J260" s="27"/>
      <c r="K260" s="26">
        <v>1.6785714285714286E-2</v>
      </c>
      <c r="L260" s="11" t="s">
        <v>464</v>
      </c>
      <c r="M260" s="15">
        <v>9</v>
      </c>
      <c r="N260" s="35" t="s">
        <v>93</v>
      </c>
      <c r="O260" s="15">
        <v>4</v>
      </c>
      <c r="P260" s="35" t="s">
        <v>458</v>
      </c>
      <c r="Q260" s="15"/>
      <c r="R260" s="24"/>
      <c r="S260" s="62" t="s">
        <v>616</v>
      </c>
      <c r="T260" s="15"/>
      <c r="U260" s="15"/>
      <c r="V260" s="54">
        <v>2800000</v>
      </c>
      <c r="W260" s="54">
        <v>2847000</v>
      </c>
      <c r="X260" s="54">
        <v>-47000</v>
      </c>
    </row>
    <row r="261" spans="3:24" x14ac:dyDescent="0.25">
      <c r="C261" s="39">
        <v>2017</v>
      </c>
      <c r="D261" s="62" t="s">
        <v>1099</v>
      </c>
      <c r="E261" s="63" t="s">
        <v>1100</v>
      </c>
      <c r="F261" s="64">
        <v>43025</v>
      </c>
      <c r="G261" s="65" t="s">
        <v>34</v>
      </c>
      <c r="H261" s="94">
        <v>3000000</v>
      </c>
      <c r="I261" s="27">
        <v>2812500</v>
      </c>
      <c r="J261" s="27"/>
      <c r="K261" s="26">
        <v>-6.25E-2</v>
      </c>
      <c r="L261" s="11" t="s">
        <v>464</v>
      </c>
      <c r="M261" s="15">
        <v>2</v>
      </c>
      <c r="N261" s="35" t="s">
        <v>25</v>
      </c>
      <c r="O261" s="15">
        <v>4</v>
      </c>
      <c r="P261" s="35" t="s">
        <v>458</v>
      </c>
      <c r="Q261" s="15"/>
      <c r="R261" s="24"/>
      <c r="S261" s="62" t="s">
        <v>616</v>
      </c>
      <c r="T261" s="15"/>
      <c r="U261" s="15"/>
      <c r="V261" s="54">
        <v>3000000</v>
      </c>
      <c r="W261" s="54">
        <v>2812500</v>
      </c>
      <c r="X261" s="54">
        <v>187500</v>
      </c>
    </row>
    <row r="262" spans="3:24" x14ac:dyDescent="0.25">
      <c r="C262" s="39">
        <v>2017</v>
      </c>
      <c r="D262" s="62" t="s">
        <v>1093</v>
      </c>
      <c r="E262" s="63" t="s">
        <v>1094</v>
      </c>
      <c r="F262" s="64">
        <v>43013</v>
      </c>
      <c r="G262" s="65" t="s">
        <v>34</v>
      </c>
      <c r="H262" s="94">
        <v>970000</v>
      </c>
      <c r="I262" s="27">
        <v>1285000</v>
      </c>
      <c r="J262" s="27"/>
      <c r="K262" s="26">
        <v>0.32474226804123713</v>
      </c>
      <c r="L262" s="11" t="s">
        <v>465</v>
      </c>
      <c r="M262" s="15">
        <v>6</v>
      </c>
      <c r="N262" s="35" t="s">
        <v>25</v>
      </c>
      <c r="O262" s="15">
        <v>4</v>
      </c>
      <c r="P262" s="35" t="s">
        <v>458</v>
      </c>
      <c r="Q262" s="15"/>
      <c r="R262" s="24"/>
      <c r="S262" s="62" t="s">
        <v>616</v>
      </c>
      <c r="T262" s="15"/>
      <c r="U262" s="15"/>
      <c r="V262" s="54">
        <v>970000</v>
      </c>
      <c r="W262" s="54">
        <v>1285000</v>
      </c>
      <c r="X262" s="54">
        <v>-315000</v>
      </c>
    </row>
    <row r="263" spans="3:24" x14ac:dyDescent="0.25">
      <c r="C263" s="39">
        <v>2017</v>
      </c>
      <c r="D263" s="62" t="s">
        <v>1068</v>
      </c>
      <c r="E263" s="63" t="s">
        <v>1069</v>
      </c>
      <c r="F263" s="64">
        <v>42964</v>
      </c>
      <c r="G263" s="65" t="s">
        <v>190</v>
      </c>
      <c r="H263" s="94">
        <v>8500000</v>
      </c>
      <c r="I263" s="27">
        <v>5682000</v>
      </c>
      <c r="J263" s="104" t="s">
        <v>519</v>
      </c>
      <c r="K263" s="26">
        <v>-0.33152941176470591</v>
      </c>
      <c r="L263" s="11" t="s">
        <v>465</v>
      </c>
      <c r="M263" s="15">
        <v>3</v>
      </c>
      <c r="N263" s="35" t="s">
        <v>25</v>
      </c>
      <c r="O263" s="15">
        <v>3</v>
      </c>
      <c r="P263" s="35" t="s">
        <v>458</v>
      </c>
      <c r="Q263" s="15"/>
      <c r="R263" s="24"/>
      <c r="S263" s="62" t="s">
        <v>616</v>
      </c>
      <c r="T263" s="15"/>
      <c r="U263" s="15"/>
      <c r="V263" s="54">
        <v>8500000</v>
      </c>
      <c r="W263" s="54">
        <v>5682000</v>
      </c>
      <c r="X263" s="54">
        <v>2818000</v>
      </c>
    </row>
    <row r="264" spans="3:24" x14ac:dyDescent="0.25">
      <c r="C264" s="39">
        <v>2017</v>
      </c>
      <c r="D264" s="62" t="s">
        <v>1063</v>
      </c>
      <c r="E264" s="63" t="s">
        <v>1064</v>
      </c>
      <c r="F264" s="64">
        <v>42951</v>
      </c>
      <c r="G264" s="65" t="s">
        <v>34</v>
      </c>
      <c r="H264" s="94">
        <v>6040000</v>
      </c>
      <c r="I264" s="27">
        <v>4845475</v>
      </c>
      <c r="J264" s="27" t="s">
        <v>519</v>
      </c>
      <c r="K264" s="26">
        <v>-0.19776903973509935</v>
      </c>
      <c r="L264" s="11" t="s">
        <v>464</v>
      </c>
      <c r="M264" s="15">
        <v>8</v>
      </c>
      <c r="N264" s="35" t="s">
        <v>93</v>
      </c>
      <c r="O264" s="15">
        <v>3</v>
      </c>
      <c r="P264" s="35" t="s">
        <v>458</v>
      </c>
      <c r="Q264" s="15"/>
      <c r="R264" s="24"/>
      <c r="S264" s="62" t="s">
        <v>784</v>
      </c>
      <c r="T264" s="15"/>
      <c r="U264" s="15"/>
      <c r="V264" s="54">
        <v>6040000</v>
      </c>
      <c r="W264" s="54">
        <v>4845475</v>
      </c>
      <c r="X264" s="54">
        <v>1194525</v>
      </c>
    </row>
    <row r="265" spans="3:24" x14ac:dyDescent="0.25">
      <c r="C265" s="39">
        <v>2017</v>
      </c>
      <c r="D265" s="62" t="s">
        <v>1057</v>
      </c>
      <c r="E265" s="63" t="s">
        <v>1058</v>
      </c>
      <c r="F265" s="64">
        <v>42949</v>
      </c>
      <c r="G265" s="65" t="s">
        <v>34</v>
      </c>
      <c r="H265" s="94">
        <v>1650000</v>
      </c>
      <c r="I265" s="27">
        <v>1320718</v>
      </c>
      <c r="J265" s="27"/>
      <c r="K265" s="26">
        <v>-0.19956484848484848</v>
      </c>
      <c r="L265" s="11" t="s">
        <v>464</v>
      </c>
      <c r="M265" s="15">
        <v>4</v>
      </c>
      <c r="N265" s="35" t="s">
        <v>93</v>
      </c>
      <c r="O265" s="15">
        <v>3</v>
      </c>
      <c r="P265" s="35" t="s">
        <v>458</v>
      </c>
      <c r="Q265" s="15"/>
      <c r="R265" s="24"/>
      <c r="S265" s="62" t="s">
        <v>616</v>
      </c>
      <c r="T265" s="15"/>
      <c r="U265" s="15"/>
      <c r="V265" s="54">
        <v>1650000</v>
      </c>
      <c r="W265" s="54">
        <v>1320718</v>
      </c>
      <c r="X265" s="54">
        <v>329282</v>
      </c>
    </row>
    <row r="266" spans="3:24" x14ac:dyDescent="0.25">
      <c r="C266" s="39">
        <v>2017</v>
      </c>
      <c r="D266" s="62" t="s">
        <v>1052</v>
      </c>
      <c r="E266" s="63" t="s">
        <v>1053</v>
      </c>
      <c r="F266" s="64">
        <v>42948</v>
      </c>
      <c r="G266" s="65" t="s">
        <v>34</v>
      </c>
      <c r="H266" s="94">
        <v>1330000</v>
      </c>
      <c r="I266" s="27">
        <v>936000</v>
      </c>
      <c r="J266" s="27"/>
      <c r="K266" s="26">
        <v>-0.29624060150375942</v>
      </c>
      <c r="L266" s="11" t="s">
        <v>464</v>
      </c>
      <c r="M266" s="15">
        <v>6</v>
      </c>
      <c r="N266" s="35" t="s">
        <v>93</v>
      </c>
      <c r="O266" s="15">
        <v>3</v>
      </c>
      <c r="P266" s="35" t="s">
        <v>458</v>
      </c>
      <c r="Q266" s="15"/>
      <c r="R266" s="24"/>
      <c r="S266" s="62" t="s">
        <v>616</v>
      </c>
      <c r="T266" s="15"/>
      <c r="U266" s="15"/>
      <c r="V266" s="54">
        <v>1330000</v>
      </c>
      <c r="W266" s="54">
        <v>936000</v>
      </c>
      <c r="X266" s="54">
        <v>394000</v>
      </c>
    </row>
    <row r="267" spans="3:24" x14ac:dyDescent="0.25">
      <c r="C267" s="39">
        <v>2017</v>
      </c>
      <c r="D267" s="62" t="s">
        <v>1047</v>
      </c>
      <c r="E267" s="63" t="s">
        <v>982</v>
      </c>
      <c r="F267" s="64">
        <v>42941</v>
      </c>
      <c r="G267" s="65" t="s">
        <v>34</v>
      </c>
      <c r="H267" s="94">
        <v>7200000</v>
      </c>
      <c r="I267" s="27">
        <v>1936000</v>
      </c>
      <c r="J267" s="104" t="s">
        <v>519</v>
      </c>
      <c r="K267" s="26">
        <v>-0.73111111111111116</v>
      </c>
      <c r="L267" s="11" t="s">
        <v>465</v>
      </c>
      <c r="M267" s="15">
        <v>4</v>
      </c>
      <c r="N267" s="35" t="s">
        <v>93</v>
      </c>
      <c r="O267" s="15">
        <v>3</v>
      </c>
      <c r="P267" s="35" t="s">
        <v>458</v>
      </c>
      <c r="Q267" s="15"/>
      <c r="R267" s="24"/>
      <c r="S267" s="62" t="s">
        <v>616</v>
      </c>
      <c r="T267" s="15"/>
      <c r="U267" s="15"/>
      <c r="V267" s="54">
        <v>7200000</v>
      </c>
      <c r="W267" s="54">
        <v>1936000</v>
      </c>
      <c r="X267" s="54">
        <v>5264000</v>
      </c>
    </row>
    <row r="268" spans="3:24" x14ac:dyDescent="0.25">
      <c r="C268" s="101">
        <v>2017</v>
      </c>
      <c r="D268" s="62" t="s">
        <v>1038</v>
      </c>
      <c r="E268" s="63" t="s">
        <v>1039</v>
      </c>
      <c r="F268" s="64">
        <v>42901</v>
      </c>
      <c r="G268" s="65" t="s">
        <v>693</v>
      </c>
      <c r="H268" s="94">
        <v>850000</v>
      </c>
      <c r="I268" s="27">
        <v>887000</v>
      </c>
      <c r="J268" s="27"/>
      <c r="K268" s="26">
        <v>4.3529411764705879E-2</v>
      </c>
      <c r="L268" s="11" t="s">
        <v>464</v>
      </c>
      <c r="M268" s="15">
        <v>3</v>
      </c>
      <c r="N268" s="35" t="s">
        <v>25</v>
      </c>
      <c r="O268" s="15">
        <v>2</v>
      </c>
      <c r="P268" s="35" t="s">
        <v>458</v>
      </c>
      <c r="Q268" s="15"/>
      <c r="R268" s="24"/>
      <c r="S268" s="62" t="s">
        <v>616</v>
      </c>
      <c r="T268" s="15"/>
      <c r="U268" s="15"/>
      <c r="V268" s="54">
        <v>850000</v>
      </c>
      <c r="W268" s="54">
        <v>887000</v>
      </c>
      <c r="X268" s="54">
        <v>-37000</v>
      </c>
    </row>
    <row r="269" spans="3:24" x14ac:dyDescent="0.25">
      <c r="C269" s="39">
        <v>2017</v>
      </c>
      <c r="D269" s="62" t="s">
        <v>1035</v>
      </c>
      <c r="E269" s="63" t="s">
        <v>1036</v>
      </c>
      <c r="F269" s="64">
        <v>42900</v>
      </c>
      <c r="G269" s="65" t="s">
        <v>756</v>
      </c>
      <c r="H269" s="94">
        <v>2900000</v>
      </c>
      <c r="I269" s="27">
        <v>1157000</v>
      </c>
      <c r="J269" s="27"/>
      <c r="K269" s="26">
        <v>-0.6010344827586207</v>
      </c>
      <c r="L269" s="11" t="s">
        <v>465</v>
      </c>
      <c r="M269" s="15">
        <v>5</v>
      </c>
      <c r="N269" s="35" t="s">
        <v>25</v>
      </c>
      <c r="O269" s="15">
        <v>2</v>
      </c>
      <c r="P269" s="35" t="s">
        <v>458</v>
      </c>
      <c r="Q269" s="15"/>
      <c r="R269" s="24"/>
      <c r="S269" s="62" t="s">
        <v>447</v>
      </c>
      <c r="T269" s="15"/>
      <c r="U269" s="15"/>
      <c r="V269" s="54">
        <v>2900000</v>
      </c>
      <c r="W269" s="54">
        <v>1157000</v>
      </c>
      <c r="X269" s="54">
        <v>1743000</v>
      </c>
    </row>
    <row r="270" spans="3:24" x14ac:dyDescent="0.25">
      <c r="C270" s="39">
        <v>2017</v>
      </c>
      <c r="D270" s="62" t="s">
        <v>1028</v>
      </c>
      <c r="E270" s="63" t="s">
        <v>1029</v>
      </c>
      <c r="F270" s="64">
        <v>42894</v>
      </c>
      <c r="G270" s="65" t="s">
        <v>756</v>
      </c>
      <c r="H270" s="94">
        <v>6445000</v>
      </c>
      <c r="I270" s="27">
        <v>7166666</v>
      </c>
      <c r="J270" s="104" t="s">
        <v>519</v>
      </c>
      <c r="K270" s="26">
        <v>0.11197300232738557</v>
      </c>
      <c r="L270" s="11" t="s">
        <v>465</v>
      </c>
      <c r="M270" s="15">
        <v>11</v>
      </c>
      <c r="N270" s="35" t="s">
        <v>93</v>
      </c>
      <c r="O270" s="15">
        <v>2</v>
      </c>
      <c r="P270" s="35" t="s">
        <v>458</v>
      </c>
      <c r="Q270" s="15"/>
      <c r="R270" s="24"/>
      <c r="S270" s="62" t="s">
        <v>784</v>
      </c>
      <c r="T270" s="15"/>
      <c r="U270" s="15"/>
      <c r="V270" s="54">
        <v>6445000</v>
      </c>
      <c r="W270" s="54">
        <v>7166666</v>
      </c>
      <c r="X270" s="54">
        <v>-721666</v>
      </c>
    </row>
    <row r="271" spans="3:24" x14ac:dyDescent="0.25">
      <c r="C271" s="39">
        <v>2017</v>
      </c>
      <c r="D271" s="62" t="s">
        <v>1025</v>
      </c>
      <c r="E271" s="63" t="s">
        <v>1026</v>
      </c>
      <c r="F271" s="64">
        <v>42893</v>
      </c>
      <c r="G271" s="65" t="s">
        <v>693</v>
      </c>
      <c r="H271" s="94">
        <v>650000</v>
      </c>
      <c r="I271" s="27">
        <v>865508</v>
      </c>
      <c r="J271" s="27"/>
      <c r="K271" s="26">
        <v>0.3315507692307692</v>
      </c>
      <c r="L271" s="11" t="s">
        <v>465</v>
      </c>
      <c r="M271" s="15">
        <v>3</v>
      </c>
      <c r="N271" s="35" t="s">
        <v>25</v>
      </c>
      <c r="O271" s="15">
        <v>2</v>
      </c>
      <c r="P271" s="35" t="s">
        <v>458</v>
      </c>
      <c r="Q271" s="15"/>
      <c r="R271" s="24"/>
      <c r="S271" s="62" t="s">
        <v>616</v>
      </c>
      <c r="T271" s="15"/>
      <c r="U271" s="15"/>
      <c r="V271" s="54">
        <v>650000</v>
      </c>
      <c r="W271" s="54">
        <v>865508</v>
      </c>
      <c r="X271" s="54">
        <v>-215508</v>
      </c>
    </row>
    <row r="272" spans="3:24" x14ac:dyDescent="0.25">
      <c r="C272" s="39">
        <v>2017</v>
      </c>
      <c r="D272" s="62" t="s">
        <v>1023</v>
      </c>
      <c r="E272" s="63" t="s">
        <v>1024</v>
      </c>
      <c r="F272" s="64">
        <v>42893</v>
      </c>
      <c r="G272" s="65" t="s">
        <v>693</v>
      </c>
      <c r="H272" s="94">
        <v>1070000</v>
      </c>
      <c r="I272" s="27">
        <v>758000</v>
      </c>
      <c r="J272" s="27"/>
      <c r="K272" s="26">
        <v>-0.29158878504672897</v>
      </c>
      <c r="L272" s="11" t="s">
        <v>465</v>
      </c>
      <c r="M272" s="15">
        <v>5</v>
      </c>
      <c r="N272" s="35" t="s">
        <v>25</v>
      </c>
      <c r="O272" s="15">
        <v>2</v>
      </c>
      <c r="P272" s="35" t="s">
        <v>458</v>
      </c>
      <c r="Q272" s="15"/>
      <c r="R272" s="24"/>
      <c r="S272" s="62" t="s">
        <v>616</v>
      </c>
      <c r="T272" s="15"/>
      <c r="U272" s="15"/>
      <c r="V272" s="54">
        <v>1070000</v>
      </c>
      <c r="W272" s="54">
        <v>758000</v>
      </c>
      <c r="X272" s="54">
        <v>312000</v>
      </c>
    </row>
    <row r="273" spans="3:24" x14ac:dyDescent="0.25">
      <c r="C273" s="39">
        <v>2017</v>
      </c>
      <c r="D273" s="62" t="s">
        <v>1014</v>
      </c>
      <c r="E273" s="63" t="s">
        <v>1015</v>
      </c>
      <c r="F273" s="64">
        <v>42886</v>
      </c>
      <c r="G273" s="65" t="s">
        <v>34</v>
      </c>
      <c r="H273" s="94">
        <v>1140000</v>
      </c>
      <c r="I273" s="27">
        <v>904780</v>
      </c>
      <c r="J273" s="27"/>
      <c r="K273" s="26">
        <v>-0.20633333333333334</v>
      </c>
      <c r="L273" s="11" t="s">
        <v>464</v>
      </c>
      <c r="M273" s="15">
        <v>9</v>
      </c>
      <c r="N273" s="35" t="s">
        <v>25</v>
      </c>
      <c r="O273" s="15">
        <v>2</v>
      </c>
      <c r="P273" s="35" t="s">
        <v>458</v>
      </c>
      <c r="Q273" s="15"/>
      <c r="R273" s="24"/>
      <c r="S273" s="62" t="s">
        <v>616</v>
      </c>
      <c r="T273" s="15"/>
      <c r="U273" s="15"/>
      <c r="V273" s="54">
        <v>1140000</v>
      </c>
      <c r="W273" s="54">
        <v>904780</v>
      </c>
      <c r="X273" s="54">
        <v>235220</v>
      </c>
    </row>
    <row r="274" spans="3:24" x14ac:dyDescent="0.25">
      <c r="C274" s="39">
        <v>2017</v>
      </c>
      <c r="D274" s="62" t="s">
        <v>1009</v>
      </c>
      <c r="E274" s="63" t="s">
        <v>1010</v>
      </c>
      <c r="F274" s="64">
        <v>42880</v>
      </c>
      <c r="G274" s="65" t="s">
        <v>34</v>
      </c>
      <c r="H274" s="94">
        <v>2850000</v>
      </c>
      <c r="I274" s="27">
        <v>1808548</v>
      </c>
      <c r="J274" s="27"/>
      <c r="K274" s="26">
        <v>-0.36542175438596491</v>
      </c>
      <c r="L274" s="11" t="s">
        <v>465</v>
      </c>
      <c r="M274" s="15">
        <v>11</v>
      </c>
      <c r="N274" s="35" t="s">
        <v>93</v>
      </c>
      <c r="O274" s="15">
        <v>2</v>
      </c>
      <c r="P274" s="35" t="s">
        <v>458</v>
      </c>
      <c r="Q274" s="15"/>
      <c r="R274" s="24"/>
      <c r="S274" s="62" t="s">
        <v>442</v>
      </c>
      <c r="T274" s="15"/>
      <c r="U274" s="15"/>
      <c r="V274" s="54">
        <v>2850000</v>
      </c>
      <c r="W274" s="54">
        <v>1808548</v>
      </c>
      <c r="X274" s="54">
        <v>1041452</v>
      </c>
    </row>
    <row r="275" spans="3:24" x14ac:dyDescent="0.25">
      <c r="C275" s="39">
        <v>2017</v>
      </c>
      <c r="D275" s="62" t="s">
        <v>986</v>
      </c>
      <c r="E275" s="63" t="s">
        <v>982</v>
      </c>
      <c r="F275" s="64">
        <v>42845</v>
      </c>
      <c r="G275" s="65" t="s">
        <v>190</v>
      </c>
      <c r="H275" s="94">
        <v>12630000</v>
      </c>
      <c r="I275" s="27">
        <v>10849023</v>
      </c>
      <c r="J275" s="27" t="s">
        <v>519</v>
      </c>
      <c r="K275" s="26">
        <v>-0.14101163895486934</v>
      </c>
      <c r="L275" s="11" t="s">
        <v>464</v>
      </c>
      <c r="M275" s="15">
        <v>2</v>
      </c>
      <c r="N275" s="35" t="s">
        <v>25</v>
      </c>
      <c r="O275" s="15">
        <v>2</v>
      </c>
      <c r="P275" s="35" t="s">
        <v>458</v>
      </c>
      <c r="Q275" s="15"/>
      <c r="R275" s="24"/>
      <c r="S275" s="62" t="s">
        <v>616</v>
      </c>
      <c r="T275" s="15"/>
      <c r="U275" s="15"/>
      <c r="V275" s="54">
        <v>12630000</v>
      </c>
      <c r="W275" s="54">
        <v>10849023</v>
      </c>
      <c r="X275" s="54">
        <v>1780977</v>
      </c>
    </row>
    <row r="276" spans="3:24" x14ac:dyDescent="0.25">
      <c r="C276" s="39">
        <v>2017</v>
      </c>
      <c r="D276" s="62" t="s">
        <v>981</v>
      </c>
      <c r="E276" s="63" t="s">
        <v>982</v>
      </c>
      <c r="F276" s="64">
        <v>42844</v>
      </c>
      <c r="G276" s="65" t="s">
        <v>190</v>
      </c>
      <c r="H276" s="94">
        <v>18870000</v>
      </c>
      <c r="I276" s="27">
        <v>19910000</v>
      </c>
      <c r="J276" s="27" t="s">
        <v>519</v>
      </c>
      <c r="K276" s="26">
        <v>5.5113937466878642E-2</v>
      </c>
      <c r="L276" s="11" t="s">
        <v>464</v>
      </c>
      <c r="M276" s="15">
        <v>3</v>
      </c>
      <c r="N276" s="35" t="s">
        <v>25</v>
      </c>
      <c r="O276" s="15">
        <v>2</v>
      </c>
      <c r="P276" s="35" t="s">
        <v>458</v>
      </c>
      <c r="Q276" s="15"/>
      <c r="R276" s="24"/>
      <c r="S276" s="62" t="s">
        <v>616</v>
      </c>
      <c r="T276" s="15"/>
      <c r="U276" s="15"/>
      <c r="V276" s="54">
        <v>18870000</v>
      </c>
      <c r="W276" s="54">
        <v>19910000</v>
      </c>
      <c r="X276" s="54">
        <v>-1040000</v>
      </c>
    </row>
    <row r="277" spans="3:24" x14ac:dyDescent="0.25">
      <c r="C277" s="39">
        <v>2017</v>
      </c>
      <c r="D277" s="62" t="s">
        <v>964</v>
      </c>
      <c r="E277" s="63" t="s">
        <v>965</v>
      </c>
      <c r="F277" s="64">
        <v>42815</v>
      </c>
      <c r="G277" s="65" t="s">
        <v>190</v>
      </c>
      <c r="H277" s="27">
        <v>3750000</v>
      </c>
      <c r="I277" s="27">
        <v>2468147</v>
      </c>
      <c r="J277" s="27"/>
      <c r="K277" s="26">
        <v>-0.34182746666666669</v>
      </c>
      <c r="L277" s="11" t="s">
        <v>465</v>
      </c>
      <c r="M277" s="15">
        <v>3</v>
      </c>
      <c r="N277" s="35" t="s">
        <v>93</v>
      </c>
      <c r="O277" s="15">
        <v>1</v>
      </c>
      <c r="P277" s="35" t="s">
        <v>458</v>
      </c>
      <c r="Q277" s="15"/>
      <c r="R277" s="24"/>
      <c r="S277" s="62" t="s">
        <v>784</v>
      </c>
      <c r="T277" s="15"/>
      <c r="U277" s="15"/>
      <c r="V277" s="54">
        <v>3750000</v>
      </c>
      <c r="W277" s="54">
        <v>2468147</v>
      </c>
      <c r="X277" s="54">
        <v>1281853</v>
      </c>
    </row>
    <row r="278" spans="3:24" x14ac:dyDescent="0.25">
      <c r="C278" s="39">
        <v>2017</v>
      </c>
      <c r="D278" s="62" t="s">
        <v>914</v>
      </c>
      <c r="E278" s="63" t="s">
        <v>933</v>
      </c>
      <c r="F278" s="64">
        <v>42787</v>
      </c>
      <c r="G278" s="65" t="s">
        <v>190</v>
      </c>
      <c r="H278" s="94">
        <v>10393000</v>
      </c>
      <c r="I278" s="27">
        <v>7903950</v>
      </c>
      <c r="J278" s="104" t="s">
        <v>519</v>
      </c>
      <c r="K278" s="26">
        <v>-0.2394929279322621</v>
      </c>
      <c r="L278" s="11" t="s">
        <v>465</v>
      </c>
      <c r="M278" s="15">
        <v>3</v>
      </c>
      <c r="N278" s="35" t="s">
        <v>93</v>
      </c>
      <c r="O278" s="15">
        <v>1</v>
      </c>
      <c r="P278" s="35" t="s">
        <v>458</v>
      </c>
      <c r="Q278" s="15"/>
      <c r="R278" s="24" t="s">
        <v>932</v>
      </c>
      <c r="S278" s="62" t="s">
        <v>784</v>
      </c>
      <c r="T278" s="15"/>
      <c r="U278" s="15"/>
      <c r="V278" s="54">
        <v>10393000</v>
      </c>
      <c r="W278" s="54">
        <v>7903950</v>
      </c>
      <c r="X278" s="54">
        <v>2489050</v>
      </c>
    </row>
    <row r="279" spans="3:24" x14ac:dyDescent="0.25">
      <c r="C279" s="39">
        <v>2017</v>
      </c>
      <c r="D279" s="62" t="s">
        <v>916</v>
      </c>
      <c r="E279" s="63" t="s">
        <v>917</v>
      </c>
      <c r="F279" s="64">
        <v>42780</v>
      </c>
      <c r="G279" s="65" t="s">
        <v>34</v>
      </c>
      <c r="H279" s="94">
        <v>2580000</v>
      </c>
      <c r="I279" s="27">
        <v>1386000</v>
      </c>
      <c r="J279" s="27"/>
      <c r="K279" s="26">
        <v>-0.46279069767441861</v>
      </c>
      <c r="L279" s="11" t="s">
        <v>464</v>
      </c>
      <c r="M279" s="15">
        <v>16</v>
      </c>
      <c r="N279" s="35" t="s">
        <v>25</v>
      </c>
      <c r="O279" s="15">
        <v>1</v>
      </c>
      <c r="P279" s="35" t="s">
        <v>458</v>
      </c>
      <c r="Q279" s="15"/>
      <c r="R279" s="24" t="s">
        <v>1020</v>
      </c>
      <c r="S279" s="62" t="s">
        <v>616</v>
      </c>
      <c r="T279" s="15"/>
      <c r="U279" s="15"/>
      <c r="V279" s="54">
        <v>2580000</v>
      </c>
      <c r="W279" s="54">
        <v>1386000</v>
      </c>
      <c r="X279" s="54">
        <v>1194000</v>
      </c>
    </row>
    <row r="280" spans="3:24" x14ac:dyDescent="0.25">
      <c r="C280" s="39">
        <v>2017</v>
      </c>
      <c r="D280" s="62" t="s">
        <v>901</v>
      </c>
      <c r="E280" s="63" t="s">
        <v>902</v>
      </c>
      <c r="F280" s="64">
        <v>42774</v>
      </c>
      <c r="G280" s="65" t="s">
        <v>34</v>
      </c>
      <c r="H280" s="94">
        <v>970000</v>
      </c>
      <c r="I280" s="27">
        <v>756482</v>
      </c>
      <c r="J280" s="27"/>
      <c r="K280" s="26">
        <v>-0.22012164948453608</v>
      </c>
      <c r="L280" s="11" t="s">
        <v>464</v>
      </c>
      <c r="M280" s="15">
        <v>9</v>
      </c>
      <c r="N280" s="35" t="s">
        <v>25</v>
      </c>
      <c r="O280" s="15">
        <v>1</v>
      </c>
      <c r="P280" s="35" t="s">
        <v>458</v>
      </c>
      <c r="Q280" s="15"/>
      <c r="R280" s="24"/>
      <c r="S280" s="62" t="s">
        <v>616</v>
      </c>
      <c r="T280" s="15"/>
      <c r="U280" s="15"/>
      <c r="V280" s="54">
        <v>970000</v>
      </c>
      <c r="W280" s="54">
        <v>756482</v>
      </c>
      <c r="X280" s="54">
        <v>213518</v>
      </c>
    </row>
    <row r="281" spans="3:24" x14ac:dyDescent="0.25">
      <c r="C281" s="39">
        <v>2017</v>
      </c>
      <c r="D281" s="62" t="s">
        <v>880</v>
      </c>
      <c r="E281" s="63" t="s">
        <v>881</v>
      </c>
      <c r="F281" s="64">
        <v>42768</v>
      </c>
      <c r="G281" s="65" t="s">
        <v>34</v>
      </c>
      <c r="H281" s="94">
        <v>4800000</v>
      </c>
      <c r="I281" s="27">
        <v>3901193</v>
      </c>
      <c r="J281" s="27"/>
      <c r="K281" s="26">
        <v>-0.18725145833333334</v>
      </c>
      <c r="L281" s="11" t="s">
        <v>464</v>
      </c>
      <c r="M281" s="15">
        <v>14</v>
      </c>
      <c r="N281" s="35" t="s">
        <v>93</v>
      </c>
      <c r="O281" s="15">
        <v>1</v>
      </c>
      <c r="P281" s="35" t="s">
        <v>458</v>
      </c>
      <c r="Q281" s="15"/>
      <c r="R281" s="24"/>
      <c r="S281" s="62" t="s">
        <v>616</v>
      </c>
      <c r="T281" s="15"/>
      <c r="U281" s="15"/>
      <c r="V281" s="54">
        <v>4800000</v>
      </c>
      <c r="W281" s="54">
        <v>3901193</v>
      </c>
      <c r="X281" s="54">
        <v>898807</v>
      </c>
    </row>
    <row r="282" spans="3:24" x14ac:dyDescent="0.25">
      <c r="C282" s="39">
        <v>2017</v>
      </c>
      <c r="D282" s="62" t="s">
        <v>876</v>
      </c>
      <c r="E282" s="63" t="s">
        <v>877</v>
      </c>
      <c r="F282" s="64">
        <v>42765</v>
      </c>
      <c r="G282" s="65" t="s">
        <v>756</v>
      </c>
      <c r="H282" s="94">
        <v>6500000</v>
      </c>
      <c r="I282" s="27">
        <v>5987000</v>
      </c>
      <c r="J282" s="27" t="s">
        <v>519</v>
      </c>
      <c r="K282" s="26">
        <v>-7.8923076923076929E-2</v>
      </c>
      <c r="L282" s="11" t="s">
        <v>464</v>
      </c>
      <c r="M282" s="15">
        <v>5</v>
      </c>
      <c r="N282" s="35" t="s">
        <v>93</v>
      </c>
      <c r="O282" s="15">
        <v>1</v>
      </c>
      <c r="P282" s="35" t="s">
        <v>458</v>
      </c>
      <c r="Q282" s="15"/>
      <c r="R282" s="24"/>
      <c r="S282" s="62" t="s">
        <v>447</v>
      </c>
      <c r="T282" s="15"/>
      <c r="U282" s="15"/>
      <c r="V282" s="54">
        <v>6500000</v>
      </c>
      <c r="W282" s="54">
        <v>5987000</v>
      </c>
      <c r="X282" s="54">
        <v>513000</v>
      </c>
    </row>
    <row r="283" spans="3:24" x14ac:dyDescent="0.25">
      <c r="C283" s="39">
        <v>2017</v>
      </c>
      <c r="D283" s="62" t="s">
        <v>868</v>
      </c>
      <c r="E283" s="63" t="s">
        <v>869</v>
      </c>
      <c r="F283" s="64">
        <v>42761</v>
      </c>
      <c r="G283" s="65" t="s">
        <v>34</v>
      </c>
      <c r="H283" s="94">
        <v>5100000</v>
      </c>
      <c r="I283" s="27">
        <v>4640176</v>
      </c>
      <c r="J283" s="27" t="s">
        <v>519</v>
      </c>
      <c r="K283" s="26">
        <v>-9.0161568627450978E-2</v>
      </c>
      <c r="L283" s="11" t="s">
        <v>464</v>
      </c>
      <c r="M283" s="15">
        <v>7</v>
      </c>
      <c r="N283" s="35" t="s">
        <v>93</v>
      </c>
      <c r="O283" s="15">
        <v>1</v>
      </c>
      <c r="P283" s="35" t="s">
        <v>458</v>
      </c>
      <c r="Q283" s="15"/>
      <c r="R283" s="24"/>
      <c r="S283" s="62" t="s">
        <v>784</v>
      </c>
      <c r="T283" s="15"/>
      <c r="U283" s="15"/>
      <c r="V283" s="54">
        <v>5100000</v>
      </c>
      <c r="W283" s="54">
        <v>4640176</v>
      </c>
      <c r="X283" s="54">
        <v>459824</v>
      </c>
    </row>
    <row r="284" spans="3:24" x14ac:dyDescent="0.25">
      <c r="C284" s="39">
        <v>2017</v>
      </c>
      <c r="D284" s="62" t="s">
        <v>862</v>
      </c>
      <c r="E284" s="63" t="s">
        <v>863</v>
      </c>
      <c r="F284" s="64">
        <v>42759</v>
      </c>
      <c r="G284" s="65" t="s">
        <v>190</v>
      </c>
      <c r="H284" s="94">
        <v>69800000</v>
      </c>
      <c r="I284" s="27">
        <v>67107000</v>
      </c>
      <c r="J284" s="27" t="s">
        <v>519</v>
      </c>
      <c r="K284" s="26">
        <v>-3.8581661891117482E-2</v>
      </c>
      <c r="L284" s="11" t="s">
        <v>464</v>
      </c>
      <c r="M284" s="15">
        <v>9</v>
      </c>
      <c r="N284" s="35" t="s">
        <v>25</v>
      </c>
      <c r="O284" s="15">
        <v>1</v>
      </c>
      <c r="P284" s="35" t="s">
        <v>458</v>
      </c>
      <c r="Q284" s="15"/>
      <c r="R284" s="24"/>
      <c r="S284" s="62" t="s">
        <v>616</v>
      </c>
      <c r="T284" s="15"/>
      <c r="U284" s="15"/>
      <c r="V284" s="54">
        <v>69800000</v>
      </c>
      <c r="W284" s="54">
        <v>67107000</v>
      </c>
      <c r="X284" s="54">
        <v>2693000</v>
      </c>
    </row>
    <row r="285" spans="3:24" x14ac:dyDescent="0.25">
      <c r="C285" s="39">
        <v>2017</v>
      </c>
      <c r="D285" s="62" t="s">
        <v>830</v>
      </c>
      <c r="E285" s="63" t="s">
        <v>831</v>
      </c>
      <c r="F285" s="64">
        <v>42746</v>
      </c>
      <c r="G285" s="65" t="s">
        <v>190</v>
      </c>
      <c r="H285" s="94">
        <v>12071025</v>
      </c>
      <c r="I285" s="27">
        <v>9977777</v>
      </c>
      <c r="J285" s="104" t="s">
        <v>519</v>
      </c>
      <c r="K285" s="26">
        <v>-0.17341095723022693</v>
      </c>
      <c r="L285" s="11" t="s">
        <v>465</v>
      </c>
      <c r="M285" s="15">
        <v>3</v>
      </c>
      <c r="N285" s="35" t="s">
        <v>93</v>
      </c>
      <c r="O285" s="15">
        <v>1</v>
      </c>
      <c r="P285" s="35" t="s">
        <v>458</v>
      </c>
      <c r="Q285" s="15"/>
      <c r="R285" s="24"/>
      <c r="S285" s="62" t="s">
        <v>616</v>
      </c>
      <c r="T285" s="15"/>
      <c r="U285" s="15"/>
      <c r="V285" s="54">
        <v>12071025</v>
      </c>
      <c r="W285" s="54">
        <v>9977777</v>
      </c>
      <c r="X285" s="54">
        <v>2093248</v>
      </c>
    </row>
    <row r="286" spans="3:24" x14ac:dyDescent="0.25">
      <c r="C286" s="39">
        <v>2017</v>
      </c>
      <c r="D286" s="62" t="s">
        <v>828</v>
      </c>
      <c r="E286" s="63" t="s">
        <v>829</v>
      </c>
      <c r="F286" s="64">
        <v>42739</v>
      </c>
      <c r="G286" s="65" t="s">
        <v>190</v>
      </c>
      <c r="H286" s="94">
        <v>28695000</v>
      </c>
      <c r="I286" s="27">
        <v>31768035</v>
      </c>
      <c r="J286" s="27" t="s">
        <v>519</v>
      </c>
      <c r="K286" s="26">
        <v>0.10709304756926294</v>
      </c>
      <c r="L286" s="11" t="s">
        <v>464</v>
      </c>
      <c r="M286" s="15">
        <v>2</v>
      </c>
      <c r="N286" s="35" t="s">
        <v>93</v>
      </c>
      <c r="O286" s="15">
        <v>1</v>
      </c>
      <c r="P286" s="35" t="s">
        <v>458</v>
      </c>
      <c r="Q286" s="15"/>
      <c r="R286" s="24"/>
      <c r="S286" s="62" t="s">
        <v>616</v>
      </c>
      <c r="T286" s="15"/>
      <c r="U286" s="15"/>
      <c r="V286" s="54">
        <v>28695000</v>
      </c>
      <c r="W286" s="54">
        <v>31768035</v>
      </c>
      <c r="X286" s="54">
        <v>-3073035</v>
      </c>
    </row>
    <row r="287" spans="3:24" x14ac:dyDescent="0.25">
      <c r="C287" s="39"/>
      <c r="E287" s="85"/>
      <c r="F287" s="85"/>
      <c r="G287" s="85"/>
      <c r="H287" s="86">
        <f>SUM(H253:H286)</f>
        <v>303255025</v>
      </c>
      <c r="I287" s="86">
        <f>SUM(I253:I286)</f>
        <v>260860961</v>
      </c>
      <c r="J287" s="85"/>
      <c r="K287" s="87">
        <f>+I287/H287</f>
        <v>0.86020325961622568</v>
      </c>
      <c r="L287" s="85">
        <f>COUNTA(L253:L286)</f>
        <v>34</v>
      </c>
      <c r="M287" s="88">
        <f>SUM(M253:M286)/L287</f>
        <v>5.7058823529411766</v>
      </c>
      <c r="N287" s="89"/>
      <c r="O287" s="85"/>
      <c r="P287" s="114">
        <f>21/L287</f>
        <v>0.61764705882352944</v>
      </c>
      <c r="Q287" s="85"/>
    </row>
    <row r="288" spans="3:24" x14ac:dyDescent="0.25">
      <c r="C288" s="39"/>
    </row>
    <row r="289" spans="3:16" x14ac:dyDescent="0.25">
      <c r="C289" s="39"/>
      <c r="E289" s="121" t="s">
        <v>1177</v>
      </c>
      <c r="F289" s="70" t="str">
        <f>"'15 final"</f>
        <v>'15 final</v>
      </c>
      <c r="G289" s="70" t="str">
        <f>"'16 final"</f>
        <v>'16 final</v>
      </c>
      <c r="H289" s="116" t="str">
        <f>"'17 final"</f>
        <v>'17 final</v>
      </c>
      <c r="P289" s="11"/>
    </row>
    <row r="290" spans="3:16" x14ac:dyDescent="0.25">
      <c r="C290" s="39"/>
      <c r="E290" s="71" t="s">
        <v>800</v>
      </c>
      <c r="F290" s="11">
        <v>18</v>
      </c>
      <c r="G290" s="11">
        <v>13</v>
      </c>
      <c r="H290" s="103">
        <f>+L287</f>
        <v>34</v>
      </c>
      <c r="P290" s="11"/>
    </row>
    <row r="291" spans="3:16" x14ac:dyDescent="0.25">
      <c r="C291" s="39"/>
      <c r="E291" s="72" t="s">
        <v>801</v>
      </c>
      <c r="F291" s="11">
        <v>14</v>
      </c>
      <c r="G291" s="11">
        <v>11</v>
      </c>
      <c r="H291" s="103">
        <f>+H290-H292</f>
        <v>19</v>
      </c>
      <c r="P291" s="11"/>
    </row>
    <row r="292" spans="3:16" x14ac:dyDescent="0.25">
      <c r="C292" s="39"/>
      <c r="E292" s="72" t="s">
        <v>802</v>
      </c>
      <c r="F292" s="11">
        <v>4</v>
      </c>
      <c r="G292" s="11">
        <v>2</v>
      </c>
      <c r="H292" s="103">
        <v>15</v>
      </c>
      <c r="P292" s="11"/>
    </row>
    <row r="293" spans="3:16" x14ac:dyDescent="0.25">
      <c r="C293" s="39"/>
      <c r="E293" s="72"/>
      <c r="F293" s="11"/>
      <c r="G293" s="11"/>
      <c r="H293" s="103"/>
      <c r="P293" s="11"/>
    </row>
    <row r="294" spans="3:16" x14ac:dyDescent="0.25">
      <c r="C294" s="39"/>
      <c r="E294" s="72" t="s">
        <v>1144</v>
      </c>
      <c r="F294" s="78">
        <v>73</v>
      </c>
      <c r="G294" s="78">
        <v>105</v>
      </c>
      <c r="H294" s="117">
        <f>+I287/1000000</f>
        <v>260.86096099999997</v>
      </c>
      <c r="I294" s="94"/>
      <c r="P294" s="11"/>
    </row>
    <row r="295" spans="3:16" x14ac:dyDescent="0.25">
      <c r="C295" s="39"/>
      <c r="E295" s="72" t="s">
        <v>806</v>
      </c>
      <c r="F295" s="75">
        <v>6.5</v>
      </c>
      <c r="G295" s="75">
        <v>6.1</v>
      </c>
      <c r="H295" s="118">
        <f>+M287</f>
        <v>5.7058823529411766</v>
      </c>
      <c r="P295" s="11"/>
    </row>
    <row r="296" spans="3:16" x14ac:dyDescent="0.25">
      <c r="C296" s="39"/>
      <c r="E296" s="72" t="s">
        <v>807</v>
      </c>
      <c r="F296" s="74">
        <v>0.95899999999999996</v>
      </c>
      <c r="G296" s="74">
        <v>0.88100000000000001</v>
      </c>
      <c r="H296" s="119">
        <f>+I287/H287</f>
        <v>0.86020325961622568</v>
      </c>
      <c r="P296" s="11"/>
    </row>
    <row r="297" spans="3:16" x14ac:dyDescent="0.25">
      <c r="C297" s="39"/>
      <c r="E297" s="72"/>
      <c r="F297" s="11"/>
      <c r="G297" s="11"/>
      <c r="H297" s="103"/>
      <c r="P297" s="11"/>
    </row>
    <row r="298" spans="3:16" x14ac:dyDescent="0.25">
      <c r="C298" s="39"/>
      <c r="E298" s="72" t="s">
        <v>803</v>
      </c>
      <c r="F298" s="74">
        <f>9/F290</f>
        <v>0.5</v>
      </c>
      <c r="G298" s="74">
        <f>7/13</f>
        <v>0.53846153846153844</v>
      </c>
      <c r="H298" s="107">
        <f>+P287</f>
        <v>0.61764705882352944</v>
      </c>
      <c r="P298" s="11"/>
    </row>
    <row r="299" spans="3:16" x14ac:dyDescent="0.25">
      <c r="C299" s="106"/>
      <c r="D299" s="52"/>
      <c r="E299" s="72" t="s">
        <v>804</v>
      </c>
      <c r="F299" s="74">
        <v>0.5</v>
      </c>
      <c r="G299" s="74">
        <f>6/11</f>
        <v>0.54545454545454541</v>
      </c>
      <c r="H299" s="107">
        <f>12/H291</f>
        <v>0.63157894736842102</v>
      </c>
      <c r="P299" s="11"/>
    </row>
    <row r="300" spans="3:16" x14ac:dyDescent="0.25">
      <c r="C300" s="106"/>
      <c r="D300" s="52"/>
      <c r="E300" s="72" t="s">
        <v>805</v>
      </c>
      <c r="F300" s="74">
        <v>0.5</v>
      </c>
      <c r="G300" s="74">
        <v>0.5</v>
      </c>
      <c r="H300" s="107">
        <f>9/H292</f>
        <v>0.6</v>
      </c>
      <c r="P300" s="11"/>
    </row>
    <row r="301" spans="3:16" x14ac:dyDescent="0.25">
      <c r="C301" s="39"/>
      <c r="E301" s="72"/>
      <c r="F301" s="11"/>
      <c r="G301" s="11"/>
      <c r="H301" s="103"/>
      <c r="P301" s="11"/>
    </row>
    <row r="302" spans="3:16" x14ac:dyDescent="0.25">
      <c r="C302" s="39"/>
      <c r="E302" s="72" t="s">
        <v>1141</v>
      </c>
      <c r="F302" s="11">
        <v>6</v>
      </c>
      <c r="G302" s="11">
        <v>4</v>
      </c>
      <c r="H302" s="103">
        <v>14</v>
      </c>
    </row>
    <row r="303" spans="3:16" x14ac:dyDescent="0.25">
      <c r="E303" s="105" t="s">
        <v>1143</v>
      </c>
      <c r="F303" s="107">
        <f>+F302/F290</f>
        <v>0.33333333333333331</v>
      </c>
      <c r="G303" s="107">
        <f>+G302/G290</f>
        <v>0.30769230769230771</v>
      </c>
      <c r="H303" s="107">
        <f>+H302/H290</f>
        <v>0.41176470588235292</v>
      </c>
    </row>
    <row r="304" spans="3:16" x14ac:dyDescent="0.25">
      <c r="C304" s="39"/>
      <c r="E304" s="72" t="s">
        <v>1142</v>
      </c>
      <c r="F304" s="11">
        <v>2</v>
      </c>
      <c r="G304" s="11">
        <v>0</v>
      </c>
      <c r="H304" s="103">
        <v>0</v>
      </c>
    </row>
    <row r="305" spans="3:24" x14ac:dyDescent="0.25">
      <c r="C305" s="39"/>
      <c r="E305" s="105" t="s">
        <v>1168</v>
      </c>
      <c r="F305" s="107">
        <f>+F304/F290</f>
        <v>0.1111111111111111</v>
      </c>
      <c r="G305" s="107">
        <f>+G304/G290</f>
        <v>0</v>
      </c>
      <c r="H305" s="107">
        <f>+H304/H290</f>
        <v>0</v>
      </c>
    </row>
    <row r="306" spans="3:24" x14ac:dyDescent="0.25">
      <c r="C306" s="39"/>
    </row>
    <row r="307" spans="3:24" x14ac:dyDescent="0.25">
      <c r="C307" s="39"/>
    </row>
    <row r="308" spans="3:24" x14ac:dyDescent="0.25">
      <c r="C308" s="39"/>
    </row>
    <row r="309" spans="3:24" x14ac:dyDescent="0.25">
      <c r="C309" s="39">
        <v>2017</v>
      </c>
      <c r="D309" s="102" t="s">
        <v>1147</v>
      </c>
      <c r="E309" s="63" t="s">
        <v>1148</v>
      </c>
      <c r="F309" s="64">
        <v>43083</v>
      </c>
      <c r="G309" s="65"/>
      <c r="H309" s="94"/>
      <c r="I309" s="27"/>
      <c r="J309" s="27"/>
      <c r="K309" s="26"/>
      <c r="L309" s="11"/>
      <c r="M309" s="15"/>
      <c r="N309" s="35"/>
      <c r="O309" s="15"/>
      <c r="P309" s="35"/>
      <c r="Q309" s="15"/>
      <c r="R309" s="24" t="s">
        <v>227</v>
      </c>
      <c r="S309" s="62" t="s">
        <v>816</v>
      </c>
      <c r="T309" s="15"/>
      <c r="U309" s="15"/>
      <c r="V309" s="54">
        <v>1765000</v>
      </c>
      <c r="W309" s="54">
        <v>2248420</v>
      </c>
      <c r="X309" s="54">
        <v>-483420</v>
      </c>
    </row>
    <row r="310" spans="3:24" x14ac:dyDescent="0.25">
      <c r="C310" s="39">
        <v>2017</v>
      </c>
      <c r="D310" s="62" t="s">
        <v>1118</v>
      </c>
      <c r="E310" s="63" t="s">
        <v>1119</v>
      </c>
      <c r="F310" s="64">
        <v>43048</v>
      </c>
      <c r="G310" s="65" t="s">
        <v>34</v>
      </c>
      <c r="H310" s="94">
        <v>4860000</v>
      </c>
      <c r="I310" s="27">
        <v>3418000</v>
      </c>
      <c r="J310" s="27"/>
      <c r="K310" s="26">
        <v>-0.29670781893004117</v>
      </c>
      <c r="L310" s="11" t="s">
        <v>464</v>
      </c>
      <c r="M310" s="15">
        <v>8</v>
      </c>
      <c r="N310" s="35" t="s">
        <v>25</v>
      </c>
      <c r="O310" s="15">
        <v>4</v>
      </c>
      <c r="P310" s="35" t="s">
        <v>492</v>
      </c>
      <c r="Q310" s="15"/>
      <c r="R310" s="24"/>
      <c r="S310" s="62" t="s">
        <v>816</v>
      </c>
      <c r="T310" s="15"/>
      <c r="U310" s="15"/>
      <c r="V310" s="54">
        <v>4860000</v>
      </c>
      <c r="W310" s="54">
        <v>3418000</v>
      </c>
      <c r="X310" s="54">
        <v>1442000</v>
      </c>
    </row>
    <row r="311" spans="3:24" x14ac:dyDescent="0.25">
      <c r="C311" s="39">
        <v>2017</v>
      </c>
      <c r="D311" s="62" t="s">
        <v>1075</v>
      </c>
      <c r="E311" s="63" t="s">
        <v>1076</v>
      </c>
      <c r="F311" s="64">
        <v>42999</v>
      </c>
      <c r="G311" s="65" t="s">
        <v>34</v>
      </c>
      <c r="H311" s="94">
        <v>1250000</v>
      </c>
      <c r="I311" s="27">
        <v>876947</v>
      </c>
      <c r="J311" s="27"/>
      <c r="K311" s="26">
        <v>-0.2984424</v>
      </c>
      <c r="L311" s="11" t="s">
        <v>464</v>
      </c>
      <c r="M311" s="15">
        <v>13</v>
      </c>
      <c r="N311" s="35" t="s">
        <v>93</v>
      </c>
      <c r="O311" s="15">
        <v>3</v>
      </c>
      <c r="P311" s="35" t="s">
        <v>492</v>
      </c>
      <c r="Q311" s="15"/>
      <c r="R311" s="24"/>
      <c r="S311" s="62" t="s">
        <v>816</v>
      </c>
      <c r="T311" s="15"/>
      <c r="U311" s="15"/>
      <c r="V311" s="54">
        <v>1250000</v>
      </c>
      <c r="W311" s="54">
        <v>876947</v>
      </c>
      <c r="X311" s="54">
        <v>373053</v>
      </c>
    </row>
    <row r="312" spans="3:24" x14ac:dyDescent="0.25">
      <c r="C312" s="39">
        <v>2017</v>
      </c>
      <c r="D312" s="62" t="s">
        <v>1060</v>
      </c>
      <c r="E312" s="63" t="s">
        <v>1061</v>
      </c>
      <c r="F312" s="64">
        <v>42950</v>
      </c>
      <c r="G312" s="65" t="s">
        <v>190</v>
      </c>
      <c r="H312" s="94">
        <v>13720000</v>
      </c>
      <c r="I312" s="27">
        <v>11539200</v>
      </c>
      <c r="J312" s="27" t="s">
        <v>519</v>
      </c>
      <c r="K312" s="26">
        <v>-0.15895043731778424</v>
      </c>
      <c r="L312" s="11" t="s">
        <v>464</v>
      </c>
      <c r="M312" s="15">
        <v>4</v>
      </c>
      <c r="N312" s="35" t="s">
        <v>25</v>
      </c>
      <c r="O312" s="15">
        <v>3</v>
      </c>
      <c r="P312" s="35" t="s">
        <v>492</v>
      </c>
      <c r="Q312" s="15"/>
      <c r="R312" s="24"/>
      <c r="S312" s="62" t="s">
        <v>816</v>
      </c>
      <c r="T312" s="15"/>
      <c r="U312" s="15"/>
      <c r="V312" s="54">
        <v>13720000</v>
      </c>
      <c r="W312" s="54">
        <v>11539200</v>
      </c>
      <c r="X312" s="54">
        <v>2180800</v>
      </c>
    </row>
    <row r="313" spans="3:24" x14ac:dyDescent="0.25">
      <c r="C313" s="39">
        <v>2017</v>
      </c>
      <c r="D313" s="62" t="s">
        <v>1001</v>
      </c>
      <c r="E313" s="63" t="s">
        <v>1008</v>
      </c>
      <c r="F313" s="64">
        <v>42872</v>
      </c>
      <c r="G313" s="65" t="s">
        <v>34</v>
      </c>
      <c r="H313" s="94">
        <v>5000000</v>
      </c>
      <c r="I313" s="27">
        <v>5210665</v>
      </c>
      <c r="J313" s="27" t="s">
        <v>519</v>
      </c>
      <c r="K313" s="26">
        <v>4.2132999999999997E-2</v>
      </c>
      <c r="L313" s="11" t="s">
        <v>464</v>
      </c>
      <c r="M313" s="15">
        <v>9</v>
      </c>
      <c r="N313" s="35" t="s">
        <v>226</v>
      </c>
      <c r="O313" s="15">
        <v>2</v>
      </c>
      <c r="P313" s="35" t="s">
        <v>492</v>
      </c>
      <c r="Q313" s="15"/>
      <c r="R313" s="24"/>
      <c r="S313" s="62" t="s">
        <v>816</v>
      </c>
      <c r="T313" s="15"/>
      <c r="U313" s="15"/>
      <c r="V313" s="54">
        <v>5000000</v>
      </c>
      <c r="W313" s="54">
        <v>5210665</v>
      </c>
      <c r="X313" s="54">
        <v>-210665</v>
      </c>
    </row>
    <row r="314" spans="3:24" x14ac:dyDescent="0.25">
      <c r="C314" s="39">
        <v>2017</v>
      </c>
      <c r="D314" s="62" t="s">
        <v>999</v>
      </c>
      <c r="E314" s="63" t="s">
        <v>1000</v>
      </c>
      <c r="F314" s="64">
        <v>42871</v>
      </c>
      <c r="G314" s="65" t="s">
        <v>34</v>
      </c>
      <c r="H314" s="94">
        <v>9000000</v>
      </c>
      <c r="I314" s="27">
        <v>10805265</v>
      </c>
      <c r="J314" s="104" t="s">
        <v>519</v>
      </c>
      <c r="K314" s="26">
        <v>0.20058500000000001</v>
      </c>
      <c r="L314" s="11" t="s">
        <v>465</v>
      </c>
      <c r="M314" s="15">
        <v>2</v>
      </c>
      <c r="N314" s="35" t="s">
        <v>25</v>
      </c>
      <c r="O314" s="15">
        <v>2</v>
      </c>
      <c r="P314" s="35" t="s">
        <v>492</v>
      </c>
      <c r="Q314" s="15"/>
      <c r="R314" s="24"/>
      <c r="S314" s="62" t="s">
        <v>816</v>
      </c>
      <c r="T314" s="15"/>
      <c r="U314" s="15"/>
      <c r="V314" s="54">
        <v>9000000</v>
      </c>
      <c r="W314" s="54">
        <v>10805265</v>
      </c>
      <c r="X314" s="54">
        <v>-1805265</v>
      </c>
    </row>
    <row r="315" spans="3:24" x14ac:dyDescent="0.25">
      <c r="C315" s="39">
        <v>2017</v>
      </c>
      <c r="D315" s="62" t="s">
        <v>989</v>
      </c>
      <c r="E315" s="63" t="s">
        <v>879</v>
      </c>
      <c r="F315" s="64">
        <v>42845</v>
      </c>
      <c r="G315" s="65" t="s">
        <v>693</v>
      </c>
      <c r="H315" s="94">
        <v>2625000</v>
      </c>
      <c r="I315" s="27">
        <v>2472675</v>
      </c>
      <c r="J315" s="27"/>
      <c r="K315" s="26">
        <v>-5.8028571428571429E-2</v>
      </c>
      <c r="L315" s="11" t="s">
        <v>464</v>
      </c>
      <c r="M315" s="15">
        <v>6</v>
      </c>
      <c r="N315" s="35" t="s">
        <v>25</v>
      </c>
      <c r="O315" s="15">
        <v>2</v>
      </c>
      <c r="P315" s="35" t="s">
        <v>492</v>
      </c>
      <c r="Q315" s="15"/>
      <c r="R315" s="24"/>
      <c r="S315" s="62" t="s">
        <v>816</v>
      </c>
      <c r="T315" s="15"/>
      <c r="U315" s="15"/>
      <c r="V315" s="54">
        <v>2625000</v>
      </c>
      <c r="W315" s="54">
        <v>2472675</v>
      </c>
      <c r="X315" s="54">
        <v>152325</v>
      </c>
    </row>
    <row r="316" spans="3:24" x14ac:dyDescent="0.25">
      <c r="C316" s="39">
        <v>2017</v>
      </c>
      <c r="D316" s="62" t="s">
        <v>987</v>
      </c>
      <c r="E316" s="63" t="s">
        <v>988</v>
      </c>
      <c r="F316" s="64">
        <v>42845</v>
      </c>
      <c r="G316" s="65" t="s">
        <v>34</v>
      </c>
      <c r="H316" s="94">
        <v>1520000</v>
      </c>
      <c r="I316" s="27">
        <v>994200</v>
      </c>
      <c r="J316" s="27"/>
      <c r="K316" s="26">
        <v>-0.34592105263157896</v>
      </c>
      <c r="L316" s="11" t="s">
        <v>464</v>
      </c>
      <c r="M316" s="15">
        <v>4</v>
      </c>
      <c r="N316" s="35" t="s">
        <v>25</v>
      </c>
      <c r="O316" s="15">
        <v>2</v>
      </c>
      <c r="P316" s="35" t="s">
        <v>492</v>
      </c>
      <c r="Q316" s="15"/>
      <c r="R316" s="24"/>
      <c r="S316" s="62" t="s">
        <v>816</v>
      </c>
      <c r="T316" s="15"/>
      <c r="U316" s="15"/>
      <c r="V316" s="54">
        <v>1520000</v>
      </c>
      <c r="W316" s="54">
        <v>994200</v>
      </c>
      <c r="X316" s="54">
        <v>525800</v>
      </c>
    </row>
    <row r="317" spans="3:24" x14ac:dyDescent="0.25">
      <c r="C317" s="39">
        <v>2017</v>
      </c>
      <c r="D317" s="62" t="s">
        <v>977</v>
      </c>
      <c r="E317" s="63" t="s">
        <v>978</v>
      </c>
      <c r="F317" s="64">
        <v>42831</v>
      </c>
      <c r="G317" s="65" t="s">
        <v>34</v>
      </c>
      <c r="H317" s="94">
        <v>1655000</v>
      </c>
      <c r="I317" s="27">
        <v>1398667</v>
      </c>
      <c r="J317" s="27"/>
      <c r="K317" s="26">
        <v>-0.15488398791540786</v>
      </c>
      <c r="L317" s="11" t="s">
        <v>464</v>
      </c>
      <c r="M317" s="15">
        <v>3</v>
      </c>
      <c r="N317" s="35" t="s">
        <v>93</v>
      </c>
      <c r="O317" s="15">
        <v>2</v>
      </c>
      <c r="P317" s="35" t="s">
        <v>492</v>
      </c>
      <c r="Q317" s="15"/>
      <c r="R317" s="24"/>
      <c r="S317" s="62" t="s">
        <v>816</v>
      </c>
      <c r="T317" s="15"/>
      <c r="U317" s="15"/>
      <c r="V317" s="54">
        <v>1655000</v>
      </c>
      <c r="W317" s="54">
        <v>1398667</v>
      </c>
      <c r="X317" s="54">
        <v>256333</v>
      </c>
    </row>
    <row r="318" spans="3:24" x14ac:dyDescent="0.25">
      <c r="C318" s="39">
        <v>2017</v>
      </c>
      <c r="D318" s="62" t="s">
        <v>956</v>
      </c>
      <c r="E318" s="63" t="s">
        <v>957</v>
      </c>
      <c r="F318" s="64">
        <v>42810</v>
      </c>
      <c r="G318" s="65" t="s">
        <v>693</v>
      </c>
      <c r="H318" s="27">
        <v>1425000</v>
      </c>
      <c r="I318" s="27">
        <v>1087425</v>
      </c>
      <c r="J318" s="27"/>
      <c r="K318" s="26">
        <v>-0.23689473684210527</v>
      </c>
      <c r="L318" s="11" t="s">
        <v>464</v>
      </c>
      <c r="M318" s="15">
        <v>6</v>
      </c>
      <c r="N318" s="35" t="s">
        <v>93</v>
      </c>
      <c r="O318" s="15">
        <v>1</v>
      </c>
      <c r="P318" s="35" t="s">
        <v>492</v>
      </c>
      <c r="Q318" s="15"/>
      <c r="R318" s="24"/>
      <c r="S318" s="62" t="s">
        <v>816</v>
      </c>
      <c r="T318" s="15"/>
      <c r="U318" s="15"/>
      <c r="V318" s="54">
        <v>1425000</v>
      </c>
      <c r="W318" s="54">
        <v>1087425</v>
      </c>
      <c r="X318" s="54">
        <v>337575</v>
      </c>
    </row>
    <row r="319" spans="3:24" x14ac:dyDescent="0.25">
      <c r="C319" s="39">
        <v>2017</v>
      </c>
      <c r="D319" s="62" t="s">
        <v>832</v>
      </c>
      <c r="E319" s="63" t="s">
        <v>833</v>
      </c>
      <c r="F319" s="64">
        <v>42752</v>
      </c>
      <c r="G319" s="65" t="s">
        <v>34</v>
      </c>
      <c r="H319" s="94">
        <v>4200000</v>
      </c>
      <c r="I319" s="27">
        <v>3987114</v>
      </c>
      <c r="J319" s="27"/>
      <c r="K319" s="26">
        <v>-5.0687142857142854E-2</v>
      </c>
      <c r="L319" s="11" t="s">
        <v>464</v>
      </c>
      <c r="M319" s="15">
        <v>3</v>
      </c>
      <c r="N319" s="35" t="s">
        <v>25</v>
      </c>
      <c r="O319" s="15">
        <v>1</v>
      </c>
      <c r="P319" s="35" t="s">
        <v>492</v>
      </c>
      <c r="Q319" s="15"/>
      <c r="R319" s="24"/>
      <c r="S319" s="62" t="s">
        <v>816</v>
      </c>
      <c r="T319" s="15"/>
      <c r="U319" s="15"/>
      <c r="V319" s="54">
        <v>4200000</v>
      </c>
      <c r="W319" s="54">
        <v>3987114</v>
      </c>
      <c r="X319" s="54">
        <v>212886</v>
      </c>
    </row>
    <row r="320" spans="3:24" x14ac:dyDescent="0.25">
      <c r="C320" s="39"/>
      <c r="E320" s="85"/>
      <c r="F320" s="85"/>
      <c r="G320" s="85"/>
      <c r="H320" s="86">
        <f>SUM(H309:H319)</f>
        <v>45255000</v>
      </c>
      <c r="I320" s="86">
        <f>SUM(I309:I319)</f>
        <v>41790158</v>
      </c>
      <c r="J320" s="85"/>
      <c r="K320" s="87">
        <f>+I320/H320</f>
        <v>0.92343736603690196</v>
      </c>
      <c r="L320" s="85">
        <f>COUNTA(L309:L319)</f>
        <v>10</v>
      </c>
      <c r="M320" s="88">
        <f>SUM(M309:M319)/L320</f>
        <v>5.8</v>
      </c>
      <c r="N320" s="89"/>
      <c r="O320" s="85"/>
      <c r="P320" s="114">
        <f>9/L320</f>
        <v>0.9</v>
      </c>
      <c r="Q320" s="85"/>
    </row>
    <row r="321" spans="3:16" x14ac:dyDescent="0.25">
      <c r="C321" s="39"/>
    </row>
    <row r="322" spans="3:16" x14ac:dyDescent="0.25">
      <c r="C322" s="39"/>
      <c r="E322" s="121" t="s">
        <v>1170</v>
      </c>
      <c r="F322" s="70" t="str">
        <f>"'15 final"</f>
        <v>'15 final</v>
      </c>
      <c r="G322" s="70" t="str">
        <f>"'16 final"</f>
        <v>'16 final</v>
      </c>
      <c r="H322" s="116" t="str">
        <f>"'17 final"</f>
        <v>'17 final</v>
      </c>
      <c r="P322" s="11"/>
    </row>
    <row r="323" spans="3:16" x14ac:dyDescent="0.25">
      <c r="C323" s="39"/>
      <c r="E323" s="71" t="s">
        <v>800</v>
      </c>
      <c r="F323" s="11">
        <v>8</v>
      </c>
      <c r="G323" s="11">
        <v>10</v>
      </c>
      <c r="H323" s="103">
        <f>+L320</f>
        <v>10</v>
      </c>
      <c r="P323" s="11"/>
    </row>
    <row r="324" spans="3:16" x14ac:dyDescent="0.25">
      <c r="C324" s="39"/>
      <c r="E324" s="72" t="s">
        <v>801</v>
      </c>
      <c r="F324" s="11">
        <v>4</v>
      </c>
      <c r="G324" s="11">
        <v>7</v>
      </c>
      <c r="H324" s="103">
        <f>+H323-H325</f>
        <v>7</v>
      </c>
      <c r="P324" s="11"/>
    </row>
    <row r="325" spans="3:16" x14ac:dyDescent="0.25">
      <c r="C325" s="39"/>
      <c r="E325" s="72" t="s">
        <v>802</v>
      </c>
      <c r="F325" s="11">
        <v>4</v>
      </c>
      <c r="G325" s="11">
        <v>3</v>
      </c>
      <c r="H325" s="103">
        <v>3</v>
      </c>
      <c r="P325" s="11"/>
    </row>
    <row r="326" spans="3:16" x14ac:dyDescent="0.25">
      <c r="C326" s="39"/>
      <c r="E326" s="72"/>
      <c r="F326" s="11"/>
      <c r="G326" s="11"/>
      <c r="H326" s="103"/>
      <c r="P326" s="11"/>
    </row>
    <row r="327" spans="3:16" x14ac:dyDescent="0.25">
      <c r="C327" s="39"/>
      <c r="E327" s="72" t="s">
        <v>1144</v>
      </c>
      <c r="F327" s="78">
        <v>53</v>
      </c>
      <c r="G327" s="78">
        <v>81</v>
      </c>
      <c r="H327" s="117">
        <f>+I320/1000000</f>
        <v>41.790157999999998</v>
      </c>
      <c r="P327" s="11"/>
    </row>
    <row r="328" spans="3:16" x14ac:dyDescent="0.25">
      <c r="C328" s="39"/>
      <c r="E328" s="72" t="s">
        <v>806</v>
      </c>
      <c r="F328" s="75">
        <v>8.75</v>
      </c>
      <c r="G328" s="75">
        <v>6.9</v>
      </c>
      <c r="H328" s="118">
        <f>+M320</f>
        <v>5.8</v>
      </c>
      <c r="P328" s="11"/>
    </row>
    <row r="329" spans="3:16" x14ac:dyDescent="0.25">
      <c r="C329" s="39"/>
      <c r="E329" s="72" t="s">
        <v>807</v>
      </c>
      <c r="F329" s="74">
        <v>0.97399999999999998</v>
      </c>
      <c r="G329" s="74">
        <v>0.81599999999999995</v>
      </c>
      <c r="H329" s="119">
        <f>+I320/H320</f>
        <v>0.92343736603690196</v>
      </c>
      <c r="P329" s="11"/>
    </row>
    <row r="330" spans="3:16" x14ac:dyDescent="0.25">
      <c r="C330" s="39"/>
      <c r="E330" s="72"/>
      <c r="F330" s="11"/>
      <c r="G330" s="11"/>
      <c r="H330" s="103"/>
      <c r="P330" s="11"/>
    </row>
    <row r="331" spans="3:16" x14ac:dyDescent="0.25">
      <c r="C331" s="39"/>
      <c r="E331" s="72" t="s">
        <v>803</v>
      </c>
      <c r="F331" s="74">
        <f>7/8</f>
        <v>0.875</v>
      </c>
      <c r="G331" s="74">
        <v>0.8</v>
      </c>
      <c r="H331" s="107">
        <f>+P320</f>
        <v>0.9</v>
      </c>
      <c r="P331" s="11"/>
    </row>
    <row r="332" spans="3:16" x14ac:dyDescent="0.25">
      <c r="C332" s="106"/>
      <c r="D332" s="52"/>
      <c r="E332" s="72" t="s">
        <v>804</v>
      </c>
      <c r="F332" s="74">
        <v>0.75</v>
      </c>
      <c r="G332" s="74">
        <f>6/7</f>
        <v>0.8571428571428571</v>
      </c>
      <c r="H332" s="107">
        <f>7/H324</f>
        <v>1</v>
      </c>
      <c r="P332" s="11"/>
    </row>
    <row r="333" spans="3:16" x14ac:dyDescent="0.25">
      <c r="C333" s="106"/>
      <c r="D333" s="52"/>
      <c r="E333" s="72" t="s">
        <v>805</v>
      </c>
      <c r="F333" s="74">
        <v>1</v>
      </c>
      <c r="G333" s="74">
        <v>0.66700000000000004</v>
      </c>
      <c r="H333" s="107">
        <f>2/H325</f>
        <v>0.66666666666666663</v>
      </c>
      <c r="P333" s="11"/>
    </row>
    <row r="334" spans="3:16" x14ac:dyDescent="0.25">
      <c r="C334" s="39"/>
      <c r="E334" s="72"/>
      <c r="F334" s="11"/>
      <c r="G334" s="11"/>
      <c r="H334" s="103"/>
      <c r="P334" s="11"/>
    </row>
    <row r="335" spans="3:16" x14ac:dyDescent="0.25">
      <c r="C335" s="39"/>
      <c r="E335" s="72" t="s">
        <v>1141</v>
      </c>
      <c r="F335" s="11">
        <v>1</v>
      </c>
      <c r="G335" s="11">
        <v>0</v>
      </c>
      <c r="H335" s="103">
        <v>4</v>
      </c>
    </row>
    <row r="336" spans="3:16" x14ac:dyDescent="0.25">
      <c r="E336" s="105" t="s">
        <v>1143</v>
      </c>
      <c r="F336" s="107">
        <f>+F335/F323</f>
        <v>0.125</v>
      </c>
      <c r="G336" s="74">
        <v>0</v>
      </c>
      <c r="H336" s="107">
        <f>+H335/H323</f>
        <v>0.4</v>
      </c>
    </row>
    <row r="337" spans="3:24" x14ac:dyDescent="0.25">
      <c r="C337" s="39"/>
      <c r="E337" s="72" t="s">
        <v>1142</v>
      </c>
      <c r="F337" s="11">
        <v>1</v>
      </c>
      <c r="G337" s="11">
        <v>0</v>
      </c>
      <c r="H337" s="103">
        <v>1</v>
      </c>
    </row>
    <row r="338" spans="3:24" x14ac:dyDescent="0.25">
      <c r="C338" s="39"/>
      <c r="E338" s="105" t="s">
        <v>1168</v>
      </c>
      <c r="F338" s="107">
        <f>+F337/F323</f>
        <v>0.125</v>
      </c>
      <c r="G338" s="107">
        <f>+G337/G323</f>
        <v>0</v>
      </c>
      <c r="H338" s="107">
        <f>+H337/H323</f>
        <v>0.1</v>
      </c>
    </row>
    <row r="339" spans="3:24" x14ac:dyDescent="0.25">
      <c r="C339" s="39"/>
    </row>
    <row r="340" spans="3:24" x14ac:dyDescent="0.25">
      <c r="C340" s="39"/>
    </row>
    <row r="341" spans="3:24" x14ac:dyDescent="0.25">
      <c r="C341" s="39"/>
    </row>
    <row r="342" spans="3:24" x14ac:dyDescent="0.25">
      <c r="C342" s="39">
        <v>2017</v>
      </c>
      <c r="D342" s="62" t="s">
        <v>1107</v>
      </c>
      <c r="E342" s="63" t="s">
        <v>1109</v>
      </c>
      <c r="F342" s="64">
        <v>43034</v>
      </c>
      <c r="G342" s="65" t="s">
        <v>756</v>
      </c>
      <c r="H342" s="94">
        <v>2194000</v>
      </c>
      <c r="I342" s="27">
        <v>1361078</v>
      </c>
      <c r="J342" s="27"/>
      <c r="K342" s="26">
        <v>-0.3796362807657247</v>
      </c>
      <c r="L342" s="11" t="s">
        <v>465</v>
      </c>
      <c r="M342" s="15">
        <v>6</v>
      </c>
      <c r="N342" s="35" t="s">
        <v>25</v>
      </c>
      <c r="O342" s="15">
        <v>4</v>
      </c>
      <c r="P342" s="35" t="s">
        <v>459</v>
      </c>
      <c r="Q342" s="15"/>
      <c r="R342" s="24"/>
      <c r="S342" s="62" t="s">
        <v>447</v>
      </c>
      <c r="T342" s="15"/>
      <c r="U342" s="15"/>
      <c r="V342" s="54">
        <v>2194000</v>
      </c>
      <c r="W342" s="54">
        <v>1361078</v>
      </c>
      <c r="X342" s="54">
        <v>832922</v>
      </c>
    </row>
    <row r="343" spans="3:24" x14ac:dyDescent="0.25">
      <c r="C343" s="101">
        <v>2017</v>
      </c>
      <c r="D343" s="62" t="s">
        <v>1042</v>
      </c>
      <c r="E343" s="63" t="s">
        <v>1043</v>
      </c>
      <c r="F343" s="64">
        <v>42913</v>
      </c>
      <c r="G343" s="65" t="s">
        <v>190</v>
      </c>
      <c r="H343" s="94">
        <v>1480000</v>
      </c>
      <c r="I343" s="27">
        <v>1483000</v>
      </c>
      <c r="J343" s="27"/>
      <c r="K343" s="26">
        <v>2.0270270270270271E-3</v>
      </c>
      <c r="L343" s="11" t="s">
        <v>464</v>
      </c>
      <c r="M343" s="15">
        <v>7</v>
      </c>
      <c r="N343" s="35" t="s">
        <v>25</v>
      </c>
      <c r="O343" s="15">
        <v>2</v>
      </c>
      <c r="P343" s="35" t="s">
        <v>459</v>
      </c>
      <c r="Q343" s="15"/>
      <c r="R343" s="24"/>
      <c r="S343" s="62" t="s">
        <v>447</v>
      </c>
      <c r="T343" s="15"/>
      <c r="U343" s="15"/>
      <c r="V343" s="54">
        <v>1480000</v>
      </c>
      <c r="W343" s="54">
        <v>1483000</v>
      </c>
      <c r="X343" s="54">
        <v>-3000</v>
      </c>
    </row>
    <row r="344" spans="3:24" x14ac:dyDescent="0.25">
      <c r="C344" s="39">
        <v>2017</v>
      </c>
      <c r="D344" s="62" t="s">
        <v>1018</v>
      </c>
      <c r="E344" s="63" t="s">
        <v>1019</v>
      </c>
      <c r="F344" s="64">
        <v>42873</v>
      </c>
      <c r="G344" s="65" t="s">
        <v>756</v>
      </c>
      <c r="H344" s="94">
        <v>29400000</v>
      </c>
      <c r="I344" s="27">
        <v>40981000</v>
      </c>
      <c r="J344" s="104" t="s">
        <v>519</v>
      </c>
      <c r="K344" s="26">
        <v>0.39391156462585036</v>
      </c>
      <c r="L344" s="11" t="s">
        <v>465</v>
      </c>
      <c r="M344" s="15">
        <v>2</v>
      </c>
      <c r="N344" s="35" t="s">
        <v>25</v>
      </c>
      <c r="O344" s="15">
        <v>2</v>
      </c>
      <c r="P344" s="35" t="s">
        <v>459</v>
      </c>
      <c r="Q344" s="15"/>
      <c r="R344" s="24"/>
      <c r="S344" s="62" t="s">
        <v>447</v>
      </c>
      <c r="T344" s="15"/>
      <c r="U344" s="15"/>
      <c r="V344" s="54">
        <v>29400000</v>
      </c>
      <c r="W344" s="54">
        <v>40981000</v>
      </c>
      <c r="X344" s="54">
        <v>-11581000</v>
      </c>
    </row>
    <row r="345" spans="3:24" x14ac:dyDescent="0.25">
      <c r="C345" s="39">
        <v>2017</v>
      </c>
      <c r="D345" s="62" t="s">
        <v>983</v>
      </c>
      <c r="E345" s="63" t="s">
        <v>985</v>
      </c>
      <c r="F345" s="64">
        <v>42844</v>
      </c>
      <c r="G345" s="65" t="s">
        <v>190</v>
      </c>
      <c r="H345" s="94">
        <v>30360000</v>
      </c>
      <c r="I345" s="27">
        <v>32920674</v>
      </c>
      <c r="J345" s="27" t="s">
        <v>519</v>
      </c>
      <c r="K345" s="26">
        <v>8.4343675889328062E-2</v>
      </c>
      <c r="L345" s="11" t="s">
        <v>464</v>
      </c>
      <c r="M345" s="15">
        <v>3</v>
      </c>
      <c r="N345" s="35" t="s">
        <v>25</v>
      </c>
      <c r="O345" s="15">
        <v>2</v>
      </c>
      <c r="P345" s="35" t="s">
        <v>459</v>
      </c>
      <c r="Q345" s="15"/>
      <c r="R345" s="24"/>
      <c r="S345" s="62" t="s">
        <v>447</v>
      </c>
      <c r="T345" s="15"/>
      <c r="U345" s="15"/>
      <c r="V345" s="54">
        <v>30360000</v>
      </c>
      <c r="W345" s="54">
        <v>32920674</v>
      </c>
      <c r="X345" s="54">
        <v>-2560674</v>
      </c>
    </row>
    <row r="346" spans="3:24" x14ac:dyDescent="0.25">
      <c r="C346" s="39"/>
      <c r="E346" s="85"/>
      <c r="F346" s="85"/>
      <c r="G346" s="85"/>
      <c r="H346" s="86">
        <f>SUM(H342:H345)</f>
        <v>63434000</v>
      </c>
      <c r="I346" s="86">
        <f>SUM(I342:I345)</f>
        <v>76745752</v>
      </c>
      <c r="J346" s="85"/>
      <c r="K346" s="87">
        <f>+I346/H346</f>
        <v>1.2098520036573446</v>
      </c>
      <c r="L346" s="85">
        <f>COUNTA(L342:L345)</f>
        <v>4</v>
      </c>
      <c r="M346" s="88">
        <f>SUM(M342:M345)/L346</f>
        <v>4.5</v>
      </c>
      <c r="N346" s="89"/>
      <c r="O346" s="85"/>
      <c r="P346" s="114">
        <f>2/L346</f>
        <v>0.5</v>
      </c>
      <c r="Q346" s="85"/>
    </row>
    <row r="347" spans="3:24" x14ac:dyDescent="0.25">
      <c r="C347" s="39"/>
    </row>
    <row r="348" spans="3:24" x14ac:dyDescent="0.25">
      <c r="C348" s="39"/>
      <c r="E348" s="121" t="s">
        <v>1171</v>
      </c>
      <c r="F348" s="70" t="str">
        <f>"'15 final"</f>
        <v>'15 final</v>
      </c>
      <c r="G348" s="70" t="str">
        <f>"'16 final"</f>
        <v>'16 final</v>
      </c>
      <c r="H348" s="116" t="str">
        <f>"'17 final"</f>
        <v>'17 final</v>
      </c>
      <c r="P348" s="11"/>
    </row>
    <row r="349" spans="3:24" x14ac:dyDescent="0.25">
      <c r="C349" s="39"/>
      <c r="E349" s="71" t="s">
        <v>800</v>
      </c>
      <c r="F349" s="11">
        <v>4</v>
      </c>
      <c r="G349" s="11">
        <v>6</v>
      </c>
      <c r="H349" s="103">
        <f>+L346</f>
        <v>4</v>
      </c>
      <c r="P349" s="11"/>
    </row>
    <row r="350" spans="3:24" x14ac:dyDescent="0.25">
      <c r="C350" s="39"/>
      <c r="E350" s="72" t="s">
        <v>801</v>
      </c>
      <c r="F350" s="11">
        <v>4</v>
      </c>
      <c r="G350" s="11">
        <v>5</v>
      </c>
      <c r="H350" s="103">
        <f>+H349-H351</f>
        <v>2</v>
      </c>
      <c r="P350" s="11"/>
    </row>
    <row r="351" spans="3:24" x14ac:dyDescent="0.25">
      <c r="C351" s="39"/>
      <c r="E351" s="72" t="s">
        <v>802</v>
      </c>
      <c r="F351" s="11">
        <v>0</v>
      </c>
      <c r="G351" s="11">
        <v>1</v>
      </c>
      <c r="H351" s="103">
        <v>2</v>
      </c>
      <c r="P351" s="11"/>
    </row>
    <row r="352" spans="3:24" x14ac:dyDescent="0.25">
      <c r="C352" s="39"/>
      <c r="E352" s="72"/>
      <c r="F352" s="11"/>
      <c r="G352" s="11"/>
      <c r="H352" s="103"/>
      <c r="P352" s="11"/>
    </row>
    <row r="353" spans="2:18" x14ac:dyDescent="0.25">
      <c r="C353" s="39"/>
      <c r="E353" s="72" t="s">
        <v>1144</v>
      </c>
      <c r="F353" s="78">
        <v>14</v>
      </c>
      <c r="G353" s="78">
        <v>32</v>
      </c>
      <c r="H353" s="117">
        <f>+I346/1000000</f>
        <v>76.745751999999996</v>
      </c>
      <c r="P353" s="11"/>
    </row>
    <row r="354" spans="2:18" x14ac:dyDescent="0.25">
      <c r="C354" s="39"/>
      <c r="E354" s="72" t="s">
        <v>806</v>
      </c>
      <c r="F354" s="75">
        <v>2.8</v>
      </c>
      <c r="G354" s="75">
        <v>4.33</v>
      </c>
      <c r="H354" s="118">
        <f>+M346</f>
        <v>4.5</v>
      </c>
      <c r="P354" s="11"/>
    </row>
    <row r="355" spans="2:18" x14ac:dyDescent="0.25">
      <c r="C355" s="39"/>
      <c r="E355" s="72" t="s">
        <v>807</v>
      </c>
      <c r="F355" s="74">
        <v>1.3169999999999999</v>
      </c>
      <c r="G355" s="74">
        <v>0.90100000000000002</v>
      </c>
      <c r="H355" s="119">
        <f>+I346/H346</f>
        <v>1.2098520036573446</v>
      </c>
      <c r="P355" s="11"/>
    </row>
    <row r="356" spans="2:18" x14ac:dyDescent="0.25">
      <c r="C356" s="39"/>
      <c r="E356" s="72"/>
      <c r="F356" s="11"/>
      <c r="G356" s="11"/>
      <c r="H356" s="103"/>
      <c r="P356" s="11"/>
    </row>
    <row r="357" spans="2:18" x14ac:dyDescent="0.25">
      <c r="C357" s="39"/>
      <c r="E357" s="72" t="s">
        <v>803</v>
      </c>
      <c r="F357" s="74">
        <v>0.25</v>
      </c>
      <c r="G357" s="74">
        <f>4/6</f>
        <v>0.66666666666666663</v>
      </c>
      <c r="H357" s="107">
        <f>+P346</f>
        <v>0.5</v>
      </c>
      <c r="P357" s="11"/>
    </row>
    <row r="358" spans="2:18" x14ac:dyDescent="0.25">
      <c r="C358" s="106"/>
      <c r="D358" s="52"/>
      <c r="E358" s="72" t="s">
        <v>804</v>
      </c>
      <c r="F358" s="74">
        <v>0.25</v>
      </c>
      <c r="G358" s="74">
        <f>3/5</f>
        <v>0.6</v>
      </c>
      <c r="H358" s="107">
        <f>1/H350</f>
        <v>0.5</v>
      </c>
      <c r="P358" s="11"/>
    </row>
    <row r="359" spans="2:18" x14ac:dyDescent="0.25">
      <c r="C359" s="106"/>
      <c r="D359" s="52"/>
      <c r="E359" s="72" t="s">
        <v>805</v>
      </c>
      <c r="F359" s="122" t="s">
        <v>1172</v>
      </c>
      <c r="G359" s="74">
        <v>1</v>
      </c>
      <c r="H359" s="107">
        <f>1/H351</f>
        <v>0.5</v>
      </c>
      <c r="P359" s="11"/>
    </row>
    <row r="360" spans="2:18" x14ac:dyDescent="0.25">
      <c r="C360" s="39"/>
      <c r="E360" s="72"/>
      <c r="F360" s="11"/>
      <c r="G360" s="11"/>
      <c r="H360" s="103"/>
      <c r="P360" s="11"/>
    </row>
    <row r="361" spans="2:18" x14ac:dyDescent="0.25">
      <c r="C361" s="39"/>
      <c r="E361" s="72" t="s">
        <v>1141</v>
      </c>
      <c r="F361" s="11">
        <v>4</v>
      </c>
      <c r="G361" s="11">
        <v>3</v>
      </c>
      <c r="H361" s="103">
        <v>2</v>
      </c>
    </row>
    <row r="362" spans="2:18" x14ac:dyDescent="0.25">
      <c r="E362" s="105" t="s">
        <v>1143</v>
      </c>
      <c r="F362" s="74">
        <f>F361/F349</f>
        <v>1</v>
      </c>
      <c r="G362" s="74">
        <f>G361/G349</f>
        <v>0.5</v>
      </c>
      <c r="H362" s="107">
        <f>+H361/H349</f>
        <v>0.5</v>
      </c>
    </row>
    <row r="363" spans="2:18" x14ac:dyDescent="0.25">
      <c r="C363" s="39"/>
      <c r="E363" s="72" t="s">
        <v>1142</v>
      </c>
      <c r="F363" s="11">
        <v>1</v>
      </c>
      <c r="G363" s="11">
        <v>1</v>
      </c>
      <c r="H363" s="103">
        <v>0</v>
      </c>
    </row>
    <row r="364" spans="2:18" x14ac:dyDescent="0.25">
      <c r="C364" s="39"/>
      <c r="E364" s="105" t="s">
        <v>1168</v>
      </c>
      <c r="F364" s="107">
        <f>+F363/F349</f>
        <v>0.25</v>
      </c>
      <c r="G364" s="107">
        <f>+G363/G349</f>
        <v>0.16666666666666666</v>
      </c>
      <c r="H364" s="107">
        <f>+H363/H349</f>
        <v>0</v>
      </c>
    </row>
    <row r="365" spans="2:18" x14ac:dyDescent="0.25">
      <c r="C365" s="39"/>
    </row>
    <row r="366" spans="2:18" x14ac:dyDescent="0.25">
      <c r="C366" s="39"/>
    </row>
    <row r="367" spans="2:18" x14ac:dyDescent="0.25">
      <c r="B367" s="123"/>
      <c r="C367" s="124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5"/>
      <c r="O367" s="123"/>
      <c r="P367" s="123"/>
      <c r="Q367" s="123"/>
      <c r="R367" s="123"/>
    </row>
    <row r="368" spans="2:18" x14ac:dyDescent="0.25">
      <c r="C368" s="39"/>
    </row>
    <row r="369" spans="3:24" x14ac:dyDescent="0.25">
      <c r="C369" s="39"/>
    </row>
    <row r="370" spans="3:24" x14ac:dyDescent="0.25">
      <c r="C370" s="39"/>
      <c r="D370" s="15"/>
      <c r="E370" s="24"/>
      <c r="F370" s="25"/>
      <c r="G370" s="46"/>
      <c r="H370" s="27"/>
      <c r="I370" s="27"/>
      <c r="J370" s="27"/>
      <c r="K370" s="26"/>
      <c r="L370" s="11"/>
      <c r="M370" s="62"/>
      <c r="P370" s="11"/>
      <c r="V370" s="54"/>
      <c r="W370" s="54"/>
      <c r="X370" s="54"/>
    </row>
    <row r="371" spans="3:24" x14ac:dyDescent="0.25">
      <c r="C371" s="39"/>
    </row>
    <row r="372" spans="3:24" x14ac:dyDescent="0.25">
      <c r="C372" s="39"/>
    </row>
    <row r="373" spans="3:24" x14ac:dyDescent="0.25">
      <c r="C373" s="39"/>
    </row>
    <row r="374" spans="3:24" x14ac:dyDescent="0.25">
      <c r="C374" s="39">
        <v>2017</v>
      </c>
      <c r="D374" s="102" t="str">
        <f>+'LT-234.193'!$F$4</f>
        <v>LT-234.193</v>
      </c>
      <c r="E374" s="63" t="str">
        <f>+'LT-234.193'!$F$5</f>
        <v>Latent Salt Damage Repairs</v>
      </c>
      <c r="F374" s="64">
        <f>+'LT-234.193'!$F$6</f>
        <v>43054</v>
      </c>
      <c r="G374" s="65" t="str">
        <f>+'LT-234.193'!$G$7</f>
        <v>Public</v>
      </c>
      <c r="H374" s="94">
        <f>+'LT-234.193'!$F$7</f>
        <v>1350000</v>
      </c>
      <c r="I374" s="27">
        <f>+'LT-234.193'!$F$8</f>
        <v>2629000</v>
      </c>
      <c r="J374" s="27"/>
      <c r="K374" s="26">
        <f>+'LT-234.193'!$G$9</f>
        <v>0.94740740740740736</v>
      </c>
      <c r="L374" s="11" t="str">
        <f>+'LT-234.193'!$F$11</f>
        <v>FAIL</v>
      </c>
      <c r="M374" s="62">
        <f>+'LT-234.193'!$H$12</f>
        <v>1</v>
      </c>
      <c r="N374" s="35" t="s">
        <v>226</v>
      </c>
      <c r="O374" s="15">
        <v>4</v>
      </c>
      <c r="P374" s="35" t="s">
        <v>457</v>
      </c>
      <c r="Q374" s="15"/>
      <c r="R374" s="24" t="s">
        <v>782</v>
      </c>
      <c r="S374" s="62" t="str">
        <f>+'LT-234.193'!$J$4</f>
        <v>Joe Lucin</v>
      </c>
      <c r="T374" s="15"/>
      <c r="U374" s="15"/>
      <c r="V374" s="54">
        <f>+H374</f>
        <v>1350000</v>
      </c>
      <c r="W374" s="54">
        <f>+I374</f>
        <v>2629000</v>
      </c>
      <c r="X374" s="54">
        <f>+V374-W374</f>
        <v>-1279000</v>
      </c>
    </row>
    <row r="375" spans="3:24" x14ac:dyDescent="0.25">
      <c r="C375" s="39"/>
    </row>
    <row r="376" spans="3:24" x14ac:dyDescent="0.25">
      <c r="C376" s="39"/>
    </row>
    <row r="377" spans="3:24" x14ac:dyDescent="0.25">
      <c r="C377" s="39">
        <v>2017</v>
      </c>
      <c r="D377" s="102" t="s">
        <v>1150</v>
      </c>
      <c r="E377" s="63" t="s">
        <v>1151</v>
      </c>
      <c r="F377" s="64">
        <v>43083</v>
      </c>
      <c r="G377" s="65" t="s">
        <v>693</v>
      </c>
      <c r="H377" s="94">
        <v>979000</v>
      </c>
      <c r="I377" s="27">
        <v>1168000</v>
      </c>
      <c r="J377" s="27"/>
      <c r="K377" s="26">
        <v>0.1930541368743616</v>
      </c>
      <c r="L377" s="11" t="s">
        <v>465</v>
      </c>
      <c r="M377" s="62">
        <v>2</v>
      </c>
      <c r="N377" s="35" t="s">
        <v>25</v>
      </c>
      <c r="O377" s="15">
        <v>4</v>
      </c>
      <c r="P377" s="35" t="s">
        <v>458</v>
      </c>
      <c r="Q377" s="15"/>
      <c r="R377" s="24"/>
      <c r="S377" s="62" t="s">
        <v>784</v>
      </c>
      <c r="T377" s="15"/>
      <c r="U377" s="15"/>
      <c r="V377" s="54">
        <v>979000</v>
      </c>
      <c r="W377" s="54">
        <v>1168000</v>
      </c>
      <c r="X377" s="54">
        <v>-189000</v>
      </c>
    </row>
    <row r="378" spans="3:24" x14ac:dyDescent="0.25">
      <c r="C378" s="39">
        <v>2017</v>
      </c>
      <c r="D378" s="62" t="s">
        <v>1099</v>
      </c>
      <c r="E378" s="63" t="s">
        <v>1100</v>
      </c>
      <c r="F378" s="64">
        <v>43025</v>
      </c>
      <c r="G378" s="65" t="s">
        <v>34</v>
      </c>
      <c r="H378" s="94">
        <v>3000000</v>
      </c>
      <c r="I378" s="27">
        <v>2812500</v>
      </c>
      <c r="J378" s="27"/>
      <c r="K378" s="26">
        <v>-6.25E-2</v>
      </c>
      <c r="L378" s="11" t="s">
        <v>464</v>
      </c>
      <c r="M378" s="62">
        <v>2</v>
      </c>
      <c r="N378" s="35" t="s">
        <v>25</v>
      </c>
      <c r="O378" s="15">
        <v>4</v>
      </c>
      <c r="P378" s="35" t="s">
        <v>458</v>
      </c>
      <c r="Q378" s="15"/>
      <c r="R378" s="24"/>
      <c r="S378" s="62" t="s">
        <v>616</v>
      </c>
      <c r="T378" s="15"/>
      <c r="U378" s="15"/>
      <c r="V378" s="54">
        <v>3000000</v>
      </c>
      <c r="W378" s="54">
        <v>2812500</v>
      </c>
      <c r="X378" s="54">
        <v>187500</v>
      </c>
    </row>
    <row r="379" spans="3:24" x14ac:dyDescent="0.25">
      <c r="C379" s="39">
        <v>2017</v>
      </c>
      <c r="D379" s="62" t="s">
        <v>1049</v>
      </c>
      <c r="E379" s="63" t="s">
        <v>1050</v>
      </c>
      <c r="F379" s="64">
        <v>42942</v>
      </c>
      <c r="G379" s="65" t="s">
        <v>34</v>
      </c>
      <c r="H379" s="94">
        <v>700000</v>
      </c>
      <c r="I379" s="27">
        <v>614770</v>
      </c>
      <c r="J379" s="27"/>
      <c r="K379" s="26">
        <v>-0.12175714285714286</v>
      </c>
      <c r="L379" s="11" t="s">
        <v>464</v>
      </c>
      <c r="M379" s="62">
        <v>2</v>
      </c>
      <c r="N379" s="35" t="s">
        <v>93</v>
      </c>
      <c r="O379" s="15">
        <v>3</v>
      </c>
      <c r="P379" s="35" t="s">
        <v>457</v>
      </c>
      <c r="Q379" s="15"/>
      <c r="R379" s="24"/>
      <c r="S379" s="62" t="s">
        <v>536</v>
      </c>
      <c r="T379" s="15"/>
      <c r="U379" s="15"/>
      <c r="V379" s="54">
        <v>700000</v>
      </c>
      <c r="W379" s="54">
        <v>614770</v>
      </c>
      <c r="X379" s="54">
        <v>85230</v>
      </c>
    </row>
    <row r="380" spans="3:24" x14ac:dyDescent="0.25">
      <c r="C380" s="39">
        <v>2017</v>
      </c>
      <c r="D380" s="62" t="s">
        <v>1021</v>
      </c>
      <c r="E380" s="63" t="s">
        <v>1022</v>
      </c>
      <c r="F380" s="64">
        <v>42892</v>
      </c>
      <c r="G380" s="65" t="s">
        <v>34</v>
      </c>
      <c r="H380" s="94">
        <v>771000</v>
      </c>
      <c r="I380" s="27">
        <v>946600</v>
      </c>
      <c r="J380" s="27"/>
      <c r="K380" s="26">
        <v>0.22775616083009079</v>
      </c>
      <c r="L380" s="11" t="s">
        <v>465</v>
      </c>
      <c r="M380" s="62">
        <v>2</v>
      </c>
      <c r="N380" s="35" t="s">
        <v>25</v>
      </c>
      <c r="O380" s="15">
        <v>2</v>
      </c>
      <c r="P380" s="35" t="s">
        <v>457</v>
      </c>
      <c r="Q380" s="15"/>
      <c r="R380" s="24"/>
      <c r="S380" s="62" t="s">
        <v>630</v>
      </c>
      <c r="T380" s="15"/>
      <c r="U380" s="15"/>
      <c r="V380" s="54">
        <v>771000</v>
      </c>
      <c r="W380" s="54">
        <v>946600</v>
      </c>
      <c r="X380" s="54">
        <v>-175600</v>
      </c>
    </row>
    <row r="381" spans="3:24" x14ac:dyDescent="0.25">
      <c r="C381" s="39">
        <v>2017</v>
      </c>
      <c r="D381" s="62" t="s">
        <v>1018</v>
      </c>
      <c r="E381" s="63" t="s">
        <v>1019</v>
      </c>
      <c r="F381" s="64">
        <v>42873</v>
      </c>
      <c r="G381" s="65" t="s">
        <v>756</v>
      </c>
      <c r="H381" s="94">
        <v>29400000</v>
      </c>
      <c r="I381" s="27">
        <v>40981000</v>
      </c>
      <c r="J381" s="104" t="s">
        <v>519</v>
      </c>
      <c r="K381" s="26">
        <v>0.39391156462585036</v>
      </c>
      <c r="L381" s="11" t="s">
        <v>465</v>
      </c>
      <c r="M381" s="62">
        <v>2</v>
      </c>
      <c r="N381" s="35" t="s">
        <v>25</v>
      </c>
      <c r="O381" s="15">
        <v>2</v>
      </c>
      <c r="P381" s="35" t="s">
        <v>459</v>
      </c>
      <c r="Q381" s="15"/>
      <c r="R381" s="24"/>
      <c r="S381" s="62" t="s">
        <v>447</v>
      </c>
      <c r="T381" s="15"/>
      <c r="U381" s="15"/>
      <c r="V381" s="54">
        <v>29400000</v>
      </c>
      <c r="W381" s="54">
        <v>40981000</v>
      </c>
      <c r="X381" s="54">
        <v>-11581000</v>
      </c>
    </row>
    <row r="382" spans="3:24" x14ac:dyDescent="0.25">
      <c r="C382" s="39">
        <v>2017</v>
      </c>
      <c r="D382" s="62" t="s">
        <v>999</v>
      </c>
      <c r="E382" s="63" t="s">
        <v>1000</v>
      </c>
      <c r="F382" s="64">
        <v>42871</v>
      </c>
      <c r="G382" s="65" t="s">
        <v>34</v>
      </c>
      <c r="H382" s="94">
        <v>9000000</v>
      </c>
      <c r="I382" s="27">
        <v>10805265</v>
      </c>
      <c r="J382" s="104" t="s">
        <v>519</v>
      </c>
      <c r="K382" s="26">
        <v>0.20058500000000001</v>
      </c>
      <c r="L382" s="11" t="s">
        <v>465</v>
      </c>
      <c r="M382" s="62">
        <v>2</v>
      </c>
      <c r="N382" s="35" t="s">
        <v>25</v>
      </c>
      <c r="O382" s="15">
        <v>2</v>
      </c>
      <c r="P382" s="35" t="s">
        <v>492</v>
      </c>
      <c r="Q382" s="15"/>
      <c r="R382" s="24"/>
      <c r="S382" s="62" t="s">
        <v>816</v>
      </c>
      <c r="T382" s="15"/>
      <c r="U382" s="15"/>
      <c r="V382" s="54">
        <v>9000000</v>
      </c>
      <c r="W382" s="54">
        <v>10805265</v>
      </c>
      <c r="X382" s="54">
        <v>-1805265</v>
      </c>
    </row>
    <row r="383" spans="3:24" x14ac:dyDescent="0.25">
      <c r="C383" s="39">
        <v>2017</v>
      </c>
      <c r="D383" s="62" t="s">
        <v>986</v>
      </c>
      <c r="E383" s="63" t="s">
        <v>982</v>
      </c>
      <c r="F383" s="64">
        <v>42845</v>
      </c>
      <c r="G383" s="65" t="s">
        <v>190</v>
      </c>
      <c r="H383" s="94">
        <v>12630000</v>
      </c>
      <c r="I383" s="27">
        <v>10849023</v>
      </c>
      <c r="J383" s="27" t="s">
        <v>519</v>
      </c>
      <c r="K383" s="26">
        <v>-0.14101163895486934</v>
      </c>
      <c r="L383" s="11" t="s">
        <v>464</v>
      </c>
      <c r="M383" s="62">
        <v>2</v>
      </c>
      <c r="N383" s="35" t="s">
        <v>25</v>
      </c>
      <c r="O383" s="15">
        <v>2</v>
      </c>
      <c r="P383" s="35" t="s">
        <v>458</v>
      </c>
      <c r="Q383" s="15"/>
      <c r="R383" s="24"/>
      <c r="S383" s="62" t="s">
        <v>616</v>
      </c>
      <c r="T383" s="15"/>
      <c r="U383" s="15"/>
      <c r="V383" s="54">
        <v>12630000</v>
      </c>
      <c r="W383" s="54">
        <v>10849023</v>
      </c>
      <c r="X383" s="54">
        <v>1780977</v>
      </c>
    </row>
    <row r="384" spans="3:24" x14ac:dyDescent="0.25">
      <c r="C384" s="39">
        <v>2017</v>
      </c>
      <c r="D384" s="62" t="s">
        <v>828</v>
      </c>
      <c r="E384" s="63" t="s">
        <v>829</v>
      </c>
      <c r="F384" s="64">
        <v>42739</v>
      </c>
      <c r="G384" s="65" t="s">
        <v>190</v>
      </c>
      <c r="H384" s="94">
        <v>28695000</v>
      </c>
      <c r="I384" s="27">
        <v>31768035</v>
      </c>
      <c r="J384" s="27" t="s">
        <v>519</v>
      </c>
      <c r="K384" s="26">
        <v>0.10709304756926294</v>
      </c>
      <c r="L384" s="11" t="s">
        <v>464</v>
      </c>
      <c r="M384" s="62">
        <v>2</v>
      </c>
      <c r="N384" s="35" t="s">
        <v>93</v>
      </c>
      <c r="O384" s="15">
        <v>1</v>
      </c>
      <c r="P384" s="35" t="s">
        <v>458</v>
      </c>
      <c r="Q384" s="15"/>
      <c r="R384" s="24"/>
      <c r="S384" s="62" t="s">
        <v>616</v>
      </c>
      <c r="T384" s="15"/>
      <c r="U384" s="15"/>
      <c r="V384" s="54">
        <v>28695000</v>
      </c>
      <c r="W384" s="54">
        <v>31768035</v>
      </c>
      <c r="X384" s="54">
        <v>-3073035</v>
      </c>
    </row>
    <row r="385" spans="3:24" x14ac:dyDescent="0.25">
      <c r="C385" s="39"/>
    </row>
    <row r="386" spans="3:24" x14ac:dyDescent="0.25">
      <c r="C386" s="39"/>
    </row>
    <row r="387" spans="3:24" s="52" customFormat="1" x14ac:dyDescent="0.25">
      <c r="C387" s="101">
        <v>2017</v>
      </c>
      <c r="D387" s="102" t="s">
        <v>1136</v>
      </c>
      <c r="E387" s="63" t="s">
        <v>1137</v>
      </c>
      <c r="F387" s="64">
        <v>43074</v>
      </c>
      <c r="G387" s="65" t="s">
        <v>34</v>
      </c>
      <c r="H387" s="94">
        <v>1530000</v>
      </c>
      <c r="I387" s="94">
        <v>1189000</v>
      </c>
      <c r="J387" s="94"/>
      <c r="K387" s="148">
        <v>-0.22287581699346407</v>
      </c>
      <c r="L387" s="11" t="s">
        <v>464</v>
      </c>
      <c r="M387" s="62">
        <v>3</v>
      </c>
      <c r="N387" s="149" t="s">
        <v>25</v>
      </c>
      <c r="O387" s="62">
        <v>4</v>
      </c>
      <c r="P387" s="149" t="s">
        <v>458</v>
      </c>
      <c r="Q387" s="62"/>
      <c r="R387" s="63"/>
      <c r="S387" s="62" t="s">
        <v>616</v>
      </c>
      <c r="T387" s="62"/>
      <c r="U387" s="62"/>
      <c r="V387" s="150">
        <v>1530000</v>
      </c>
      <c r="W387" s="150">
        <v>1189000</v>
      </c>
      <c r="X387" s="150">
        <v>341000</v>
      </c>
    </row>
    <row r="388" spans="3:24" s="52" customFormat="1" x14ac:dyDescent="0.25">
      <c r="C388" s="101">
        <v>2017</v>
      </c>
      <c r="D388" s="62" t="s">
        <v>1116</v>
      </c>
      <c r="E388" s="63" t="s">
        <v>1117</v>
      </c>
      <c r="F388" s="64">
        <v>43047</v>
      </c>
      <c r="G388" s="65" t="s">
        <v>190</v>
      </c>
      <c r="H388" s="94">
        <v>26900000</v>
      </c>
      <c r="I388" s="94">
        <v>26600000</v>
      </c>
      <c r="J388" s="94" t="s">
        <v>519</v>
      </c>
      <c r="K388" s="148">
        <v>-1.1152416356877323E-2</v>
      </c>
      <c r="L388" s="11" t="s">
        <v>464</v>
      </c>
      <c r="M388" s="62">
        <v>3</v>
      </c>
      <c r="N388" s="149" t="s">
        <v>25</v>
      </c>
      <c r="O388" s="62">
        <v>4</v>
      </c>
      <c r="P388" s="149" t="s">
        <v>458</v>
      </c>
      <c r="Q388" s="62"/>
      <c r="R388" s="63"/>
      <c r="S388" s="62" t="s">
        <v>616</v>
      </c>
      <c r="T388" s="62"/>
      <c r="U388" s="62"/>
      <c r="V388" s="150">
        <v>26900000</v>
      </c>
      <c r="W388" s="150">
        <v>26600000</v>
      </c>
      <c r="X388" s="150">
        <v>300000</v>
      </c>
    </row>
    <row r="389" spans="3:24" s="52" customFormat="1" x14ac:dyDescent="0.25">
      <c r="C389" s="101">
        <v>2017</v>
      </c>
      <c r="D389" s="62" t="s">
        <v>1068</v>
      </c>
      <c r="E389" s="63" t="s">
        <v>1069</v>
      </c>
      <c r="F389" s="64">
        <v>42964</v>
      </c>
      <c r="G389" s="65" t="s">
        <v>190</v>
      </c>
      <c r="H389" s="94">
        <v>8500000</v>
      </c>
      <c r="I389" s="94">
        <v>5682000</v>
      </c>
      <c r="J389" s="94" t="s">
        <v>519</v>
      </c>
      <c r="K389" s="148">
        <v>-0.33152941176470591</v>
      </c>
      <c r="L389" s="11" t="s">
        <v>465</v>
      </c>
      <c r="M389" s="62">
        <v>3</v>
      </c>
      <c r="N389" s="149" t="s">
        <v>25</v>
      </c>
      <c r="O389" s="62">
        <v>3</v>
      </c>
      <c r="P389" s="149" t="s">
        <v>458</v>
      </c>
      <c r="Q389" s="62"/>
      <c r="R389" s="63"/>
      <c r="S389" s="62" t="s">
        <v>616</v>
      </c>
      <c r="T389" s="62"/>
      <c r="U389" s="62"/>
      <c r="V389" s="150">
        <v>8500000</v>
      </c>
      <c r="W389" s="150">
        <v>5682000</v>
      </c>
      <c r="X389" s="150">
        <v>2818000</v>
      </c>
    </row>
    <row r="390" spans="3:24" s="52" customFormat="1" x14ac:dyDescent="0.25">
      <c r="C390" s="101">
        <v>2017</v>
      </c>
      <c r="D390" s="62" t="s">
        <v>1038</v>
      </c>
      <c r="E390" s="63" t="s">
        <v>1039</v>
      </c>
      <c r="F390" s="64">
        <v>42901</v>
      </c>
      <c r="G390" s="65" t="s">
        <v>693</v>
      </c>
      <c r="H390" s="94">
        <v>850000</v>
      </c>
      <c r="I390" s="94">
        <v>887000</v>
      </c>
      <c r="J390" s="94"/>
      <c r="K390" s="148">
        <v>4.3529411764705879E-2</v>
      </c>
      <c r="L390" s="11" t="s">
        <v>464</v>
      </c>
      <c r="M390" s="62">
        <v>3</v>
      </c>
      <c r="N390" s="149" t="s">
        <v>25</v>
      </c>
      <c r="O390" s="62">
        <v>2</v>
      </c>
      <c r="P390" s="149" t="s">
        <v>458</v>
      </c>
      <c r="Q390" s="62"/>
      <c r="R390" s="63"/>
      <c r="S390" s="62" t="s">
        <v>616</v>
      </c>
      <c r="T390" s="62"/>
      <c r="U390" s="62"/>
      <c r="V390" s="150">
        <v>850000</v>
      </c>
      <c r="W390" s="150">
        <v>887000</v>
      </c>
      <c r="X390" s="150">
        <v>-37000</v>
      </c>
    </row>
    <row r="391" spans="3:24" s="52" customFormat="1" x14ac:dyDescent="0.25">
      <c r="C391" s="101">
        <v>2017</v>
      </c>
      <c r="D391" s="62" t="s">
        <v>1025</v>
      </c>
      <c r="E391" s="63" t="s">
        <v>1026</v>
      </c>
      <c r="F391" s="64">
        <v>42893</v>
      </c>
      <c r="G391" s="65" t="s">
        <v>693</v>
      </c>
      <c r="H391" s="94">
        <v>650000</v>
      </c>
      <c r="I391" s="94">
        <v>865508</v>
      </c>
      <c r="J391" s="94"/>
      <c r="K391" s="148">
        <v>0.3315507692307692</v>
      </c>
      <c r="L391" s="11" t="s">
        <v>465</v>
      </c>
      <c r="M391" s="62">
        <v>3</v>
      </c>
      <c r="N391" s="149" t="s">
        <v>25</v>
      </c>
      <c r="O391" s="62">
        <v>2</v>
      </c>
      <c r="P391" s="149" t="s">
        <v>458</v>
      </c>
      <c r="Q391" s="62"/>
      <c r="R391" s="63"/>
      <c r="S391" s="62" t="s">
        <v>616</v>
      </c>
      <c r="T391" s="62"/>
      <c r="U391" s="62"/>
      <c r="V391" s="150">
        <v>650000</v>
      </c>
      <c r="W391" s="150">
        <v>865508</v>
      </c>
      <c r="X391" s="150">
        <v>-215508</v>
      </c>
    </row>
    <row r="392" spans="3:24" s="52" customFormat="1" x14ac:dyDescent="0.25">
      <c r="C392" s="101">
        <v>2017</v>
      </c>
      <c r="D392" s="62" t="s">
        <v>995</v>
      </c>
      <c r="E392" s="63" t="s">
        <v>632</v>
      </c>
      <c r="F392" s="64">
        <v>42851</v>
      </c>
      <c r="G392" s="65" t="s">
        <v>190</v>
      </c>
      <c r="H392" s="94">
        <v>3589000</v>
      </c>
      <c r="I392" s="94">
        <v>3875045</v>
      </c>
      <c r="J392" s="94"/>
      <c r="K392" s="148">
        <v>7.9700473669545829E-2</v>
      </c>
      <c r="L392" s="11" t="s">
        <v>464</v>
      </c>
      <c r="M392" s="62">
        <v>3</v>
      </c>
      <c r="N392" s="149" t="s">
        <v>93</v>
      </c>
      <c r="O392" s="62">
        <v>2</v>
      </c>
      <c r="P392" s="149" t="s">
        <v>457</v>
      </c>
      <c r="Q392" s="62"/>
      <c r="R392" s="63"/>
      <c r="S392" s="62" t="s">
        <v>447</v>
      </c>
      <c r="T392" s="62"/>
      <c r="U392" s="62"/>
      <c r="V392" s="150">
        <v>3589000</v>
      </c>
      <c r="W392" s="150">
        <v>3875045</v>
      </c>
      <c r="X392" s="150">
        <v>-286045</v>
      </c>
    </row>
    <row r="393" spans="3:24" s="52" customFormat="1" x14ac:dyDescent="0.25">
      <c r="C393" s="101">
        <v>2017</v>
      </c>
      <c r="D393" s="62" t="s">
        <v>983</v>
      </c>
      <c r="E393" s="63" t="s">
        <v>985</v>
      </c>
      <c r="F393" s="64">
        <v>42844</v>
      </c>
      <c r="G393" s="65" t="s">
        <v>190</v>
      </c>
      <c r="H393" s="94">
        <v>30360000</v>
      </c>
      <c r="I393" s="94">
        <v>32920674</v>
      </c>
      <c r="J393" s="94" t="s">
        <v>519</v>
      </c>
      <c r="K393" s="148">
        <v>8.4343675889328062E-2</v>
      </c>
      <c r="L393" s="11" t="s">
        <v>464</v>
      </c>
      <c r="M393" s="62">
        <v>3</v>
      </c>
      <c r="N393" s="149" t="s">
        <v>25</v>
      </c>
      <c r="O393" s="62">
        <v>2</v>
      </c>
      <c r="P393" s="149" t="s">
        <v>459</v>
      </c>
      <c r="Q393" s="62"/>
      <c r="R393" s="63"/>
      <c r="S393" s="62" t="s">
        <v>447</v>
      </c>
      <c r="T393" s="62"/>
      <c r="U393" s="62"/>
      <c r="V393" s="150">
        <v>30360000</v>
      </c>
      <c r="W393" s="150">
        <v>32920674</v>
      </c>
      <c r="X393" s="150">
        <v>-2560674</v>
      </c>
    </row>
    <row r="394" spans="3:24" s="52" customFormat="1" x14ac:dyDescent="0.25">
      <c r="C394" s="101">
        <v>2017</v>
      </c>
      <c r="D394" s="62" t="s">
        <v>981</v>
      </c>
      <c r="E394" s="63" t="s">
        <v>982</v>
      </c>
      <c r="F394" s="64">
        <v>42844</v>
      </c>
      <c r="G394" s="65" t="s">
        <v>190</v>
      </c>
      <c r="H394" s="94">
        <v>18870000</v>
      </c>
      <c r="I394" s="94">
        <v>19910000</v>
      </c>
      <c r="J394" s="94" t="s">
        <v>519</v>
      </c>
      <c r="K394" s="148">
        <v>5.5113937466878642E-2</v>
      </c>
      <c r="L394" s="11" t="s">
        <v>464</v>
      </c>
      <c r="M394" s="62">
        <v>3</v>
      </c>
      <c r="N394" s="149" t="s">
        <v>25</v>
      </c>
      <c r="O394" s="62">
        <v>2</v>
      </c>
      <c r="P394" s="149" t="s">
        <v>458</v>
      </c>
      <c r="Q394" s="62"/>
      <c r="R394" s="63"/>
      <c r="S394" s="62" t="s">
        <v>616</v>
      </c>
      <c r="T394" s="62"/>
      <c r="U394" s="62"/>
      <c r="V394" s="150">
        <v>18870000</v>
      </c>
      <c r="W394" s="150">
        <v>19910000</v>
      </c>
      <c r="X394" s="150">
        <v>-1040000</v>
      </c>
    </row>
    <row r="395" spans="3:24" s="52" customFormat="1" x14ac:dyDescent="0.25">
      <c r="C395" s="101">
        <v>2017</v>
      </c>
      <c r="D395" s="62" t="s">
        <v>977</v>
      </c>
      <c r="E395" s="63" t="s">
        <v>978</v>
      </c>
      <c r="F395" s="64">
        <v>42831</v>
      </c>
      <c r="G395" s="65" t="s">
        <v>34</v>
      </c>
      <c r="H395" s="94">
        <v>1655000</v>
      </c>
      <c r="I395" s="94">
        <v>1398667</v>
      </c>
      <c r="J395" s="94"/>
      <c r="K395" s="148">
        <v>-0.15488398791540786</v>
      </c>
      <c r="L395" s="11" t="s">
        <v>464</v>
      </c>
      <c r="M395" s="62">
        <v>3</v>
      </c>
      <c r="N395" s="149" t="s">
        <v>93</v>
      </c>
      <c r="O395" s="62">
        <v>2</v>
      </c>
      <c r="P395" s="149" t="s">
        <v>492</v>
      </c>
      <c r="Q395" s="62"/>
      <c r="R395" s="63"/>
      <c r="S395" s="62" t="s">
        <v>816</v>
      </c>
      <c r="T395" s="62"/>
      <c r="U395" s="62"/>
      <c r="V395" s="150">
        <v>1655000</v>
      </c>
      <c r="W395" s="150">
        <v>1398667</v>
      </c>
      <c r="X395" s="150">
        <v>256333</v>
      </c>
    </row>
    <row r="396" spans="3:24" s="52" customFormat="1" x14ac:dyDescent="0.25">
      <c r="C396" s="101">
        <v>2017</v>
      </c>
      <c r="D396" s="62" t="s">
        <v>964</v>
      </c>
      <c r="E396" s="63" t="s">
        <v>965</v>
      </c>
      <c r="F396" s="64">
        <v>42815</v>
      </c>
      <c r="G396" s="65" t="s">
        <v>190</v>
      </c>
      <c r="H396" s="94">
        <v>3750000</v>
      </c>
      <c r="I396" s="94">
        <v>2468147</v>
      </c>
      <c r="J396" s="94"/>
      <c r="K396" s="148">
        <v>-0.34182746666666669</v>
      </c>
      <c r="L396" s="11" t="s">
        <v>465</v>
      </c>
      <c r="M396" s="62">
        <v>3</v>
      </c>
      <c r="N396" s="149" t="s">
        <v>93</v>
      </c>
      <c r="O396" s="62">
        <v>1</v>
      </c>
      <c r="P396" s="149" t="s">
        <v>458</v>
      </c>
      <c r="Q396" s="62"/>
      <c r="R396" s="63"/>
      <c r="S396" s="62" t="s">
        <v>784</v>
      </c>
      <c r="T396" s="62"/>
      <c r="U396" s="62"/>
      <c r="V396" s="150">
        <v>3750000</v>
      </c>
      <c r="W396" s="150">
        <v>2468147</v>
      </c>
      <c r="X396" s="150">
        <v>1281853</v>
      </c>
    </row>
    <row r="397" spans="3:24" s="52" customFormat="1" x14ac:dyDescent="0.25">
      <c r="C397" s="101">
        <v>2017</v>
      </c>
      <c r="D397" s="62" t="s">
        <v>914</v>
      </c>
      <c r="E397" s="63" t="s">
        <v>933</v>
      </c>
      <c r="F397" s="64">
        <v>42787</v>
      </c>
      <c r="G397" s="65" t="s">
        <v>190</v>
      </c>
      <c r="H397" s="94">
        <v>10393000</v>
      </c>
      <c r="I397" s="94">
        <v>7903950</v>
      </c>
      <c r="J397" s="94" t="s">
        <v>519</v>
      </c>
      <c r="K397" s="148">
        <v>-0.2394929279322621</v>
      </c>
      <c r="L397" s="11" t="s">
        <v>465</v>
      </c>
      <c r="M397" s="62">
        <v>3</v>
      </c>
      <c r="N397" s="149" t="s">
        <v>93</v>
      </c>
      <c r="O397" s="62">
        <v>1</v>
      </c>
      <c r="P397" s="149" t="s">
        <v>458</v>
      </c>
      <c r="Q397" s="62"/>
      <c r="R397" s="63" t="s">
        <v>932</v>
      </c>
      <c r="S397" s="62" t="s">
        <v>784</v>
      </c>
      <c r="T397" s="62"/>
      <c r="U397" s="62"/>
      <c r="V397" s="150">
        <v>10393000</v>
      </c>
      <c r="W397" s="150">
        <v>7903950</v>
      </c>
      <c r="X397" s="150">
        <v>2489050</v>
      </c>
    </row>
    <row r="398" spans="3:24" s="52" customFormat="1" x14ac:dyDescent="0.25">
      <c r="C398" s="101">
        <v>2017</v>
      </c>
      <c r="D398" s="62" t="s">
        <v>857</v>
      </c>
      <c r="E398" s="63" t="s">
        <v>858</v>
      </c>
      <c r="F398" s="64">
        <v>42753</v>
      </c>
      <c r="G398" s="65" t="s">
        <v>693</v>
      </c>
      <c r="H398" s="94">
        <v>1410000</v>
      </c>
      <c r="I398" s="94">
        <v>1399756</v>
      </c>
      <c r="J398" s="94"/>
      <c r="K398" s="148">
        <v>-7.2652482269503545E-3</v>
      </c>
      <c r="L398" s="11" t="s">
        <v>464</v>
      </c>
      <c r="M398" s="62">
        <v>3</v>
      </c>
      <c r="N398" s="149" t="s">
        <v>25</v>
      </c>
      <c r="O398" s="62">
        <v>1</v>
      </c>
      <c r="P398" s="149" t="s">
        <v>457</v>
      </c>
      <c r="Q398" s="62"/>
      <c r="R398" s="63"/>
      <c r="S398" s="62" t="s">
        <v>630</v>
      </c>
      <c r="T398" s="62"/>
      <c r="U398" s="62"/>
      <c r="V398" s="150">
        <v>1410000</v>
      </c>
      <c r="W398" s="150">
        <v>1399756</v>
      </c>
      <c r="X398" s="150">
        <v>10244</v>
      </c>
    </row>
    <row r="399" spans="3:24" s="52" customFormat="1" x14ac:dyDescent="0.25">
      <c r="C399" s="101">
        <v>2017</v>
      </c>
      <c r="D399" s="62" t="s">
        <v>832</v>
      </c>
      <c r="E399" s="63" t="s">
        <v>833</v>
      </c>
      <c r="F399" s="64">
        <v>42752</v>
      </c>
      <c r="G399" s="65" t="s">
        <v>34</v>
      </c>
      <c r="H399" s="94">
        <v>4200000</v>
      </c>
      <c r="I399" s="94">
        <v>3987114</v>
      </c>
      <c r="J399" s="94"/>
      <c r="K399" s="148">
        <v>-5.0687142857142854E-2</v>
      </c>
      <c r="L399" s="11" t="s">
        <v>464</v>
      </c>
      <c r="M399" s="62">
        <v>3</v>
      </c>
      <c r="N399" s="149" t="s">
        <v>25</v>
      </c>
      <c r="O399" s="62">
        <v>1</v>
      </c>
      <c r="P399" s="149" t="s">
        <v>492</v>
      </c>
      <c r="Q399" s="62"/>
      <c r="R399" s="63"/>
      <c r="S399" s="62" t="s">
        <v>816</v>
      </c>
      <c r="T399" s="62"/>
      <c r="U399" s="62"/>
      <c r="V399" s="150">
        <v>4200000</v>
      </c>
      <c r="W399" s="150">
        <v>3987114</v>
      </c>
      <c r="X399" s="150">
        <v>212886</v>
      </c>
    </row>
    <row r="400" spans="3:24" s="52" customFormat="1" x14ac:dyDescent="0.25">
      <c r="C400" s="101">
        <v>2017</v>
      </c>
      <c r="D400" s="62" t="s">
        <v>830</v>
      </c>
      <c r="E400" s="63" t="s">
        <v>831</v>
      </c>
      <c r="F400" s="64">
        <v>42746</v>
      </c>
      <c r="G400" s="65" t="s">
        <v>190</v>
      </c>
      <c r="H400" s="94">
        <v>12071025</v>
      </c>
      <c r="I400" s="94">
        <v>9977777</v>
      </c>
      <c r="J400" s="94" t="s">
        <v>519</v>
      </c>
      <c r="K400" s="148">
        <v>-0.17341095723022693</v>
      </c>
      <c r="L400" s="11" t="s">
        <v>465</v>
      </c>
      <c r="M400" s="62">
        <v>3</v>
      </c>
      <c r="N400" s="149" t="s">
        <v>93</v>
      </c>
      <c r="O400" s="62">
        <v>1</v>
      </c>
      <c r="P400" s="149" t="s">
        <v>458</v>
      </c>
      <c r="Q400" s="62"/>
      <c r="R400" s="63"/>
      <c r="S400" s="62" t="s">
        <v>616</v>
      </c>
      <c r="T400" s="62"/>
      <c r="U400" s="62"/>
      <c r="V400" s="150">
        <v>12071025</v>
      </c>
      <c r="W400" s="150">
        <v>9977777</v>
      </c>
      <c r="X400" s="150">
        <v>2093248</v>
      </c>
    </row>
    <row r="401" spans="3:24" x14ac:dyDescent="0.25">
      <c r="C401" s="39"/>
      <c r="L401" s="11"/>
    </row>
    <row r="402" spans="3:24" x14ac:dyDescent="0.25">
      <c r="C402" s="39"/>
      <c r="L402" s="11"/>
    </row>
    <row r="403" spans="3:24" s="52" customFormat="1" x14ac:dyDescent="0.25">
      <c r="C403" s="101">
        <v>2017</v>
      </c>
      <c r="D403" s="102" t="s">
        <v>1127</v>
      </c>
      <c r="E403" s="63" t="s">
        <v>1128</v>
      </c>
      <c r="F403" s="64">
        <v>43053</v>
      </c>
      <c r="G403" s="65" t="s">
        <v>756</v>
      </c>
      <c r="H403" s="94">
        <v>17250000</v>
      </c>
      <c r="I403" s="94">
        <v>22616488</v>
      </c>
      <c r="J403" s="94" t="s">
        <v>519</v>
      </c>
      <c r="K403" s="148">
        <v>0.3111007536231884</v>
      </c>
      <c r="L403" s="103" t="s">
        <v>465</v>
      </c>
      <c r="M403" s="62">
        <v>4</v>
      </c>
      <c r="N403" s="149" t="s">
        <v>93</v>
      </c>
      <c r="O403" s="62">
        <v>4</v>
      </c>
      <c r="P403" s="149" t="s">
        <v>457</v>
      </c>
      <c r="Q403" s="62"/>
      <c r="R403" s="63"/>
      <c r="S403" s="62" t="s">
        <v>447</v>
      </c>
      <c r="T403" s="62"/>
      <c r="U403" s="62"/>
      <c r="V403" s="150">
        <v>17250000</v>
      </c>
      <c r="W403" s="150">
        <v>22616488</v>
      </c>
      <c r="X403" s="150">
        <v>-5366488</v>
      </c>
    </row>
    <row r="404" spans="3:24" s="52" customFormat="1" x14ac:dyDescent="0.25">
      <c r="C404" s="101">
        <v>2017</v>
      </c>
      <c r="D404" s="62" t="s">
        <v>1124</v>
      </c>
      <c r="E404" s="63" t="s">
        <v>1125</v>
      </c>
      <c r="F404" s="64">
        <v>43053</v>
      </c>
      <c r="G404" s="65" t="s">
        <v>693</v>
      </c>
      <c r="H404" s="94">
        <v>820000</v>
      </c>
      <c r="I404" s="94">
        <v>861500</v>
      </c>
      <c r="J404" s="94"/>
      <c r="K404" s="148">
        <v>5.0609756097560979E-2</v>
      </c>
      <c r="L404" s="103" t="s">
        <v>464</v>
      </c>
      <c r="M404" s="62">
        <v>4</v>
      </c>
      <c r="N404" s="149" t="s">
        <v>25</v>
      </c>
      <c r="O404" s="62">
        <v>4</v>
      </c>
      <c r="P404" s="149" t="s">
        <v>458</v>
      </c>
      <c r="Q404" s="62"/>
      <c r="R404" s="63"/>
      <c r="S404" s="62" t="s">
        <v>616</v>
      </c>
      <c r="T404" s="62"/>
      <c r="U404" s="62"/>
      <c r="V404" s="150">
        <v>820000</v>
      </c>
      <c r="W404" s="150">
        <v>861500</v>
      </c>
      <c r="X404" s="150">
        <v>-41500</v>
      </c>
    </row>
    <row r="405" spans="3:24" s="52" customFormat="1" x14ac:dyDescent="0.25">
      <c r="C405" s="101">
        <v>2017</v>
      </c>
      <c r="D405" s="62" t="s">
        <v>1091</v>
      </c>
      <c r="E405" s="63" t="s">
        <v>1092</v>
      </c>
      <c r="F405" s="64">
        <v>43006</v>
      </c>
      <c r="G405" s="65" t="s">
        <v>693</v>
      </c>
      <c r="H405" s="94">
        <v>609000</v>
      </c>
      <c r="I405" s="94">
        <v>579300</v>
      </c>
      <c r="J405" s="94"/>
      <c r="K405" s="148">
        <v>-4.8768472906403938E-2</v>
      </c>
      <c r="L405" s="103" t="s">
        <v>464</v>
      </c>
      <c r="M405" s="62">
        <v>4</v>
      </c>
      <c r="N405" s="149" t="s">
        <v>226</v>
      </c>
      <c r="O405" s="62">
        <v>3</v>
      </c>
      <c r="P405" s="149" t="s">
        <v>457</v>
      </c>
      <c r="Q405" s="62"/>
      <c r="R405" s="63"/>
      <c r="S405" s="62" t="s">
        <v>962</v>
      </c>
      <c r="T405" s="62"/>
      <c r="U405" s="62"/>
      <c r="V405" s="150">
        <v>609000</v>
      </c>
      <c r="W405" s="150">
        <v>579300</v>
      </c>
      <c r="X405" s="150">
        <v>29700</v>
      </c>
    </row>
    <row r="406" spans="3:24" s="52" customFormat="1" x14ac:dyDescent="0.25">
      <c r="C406" s="101">
        <v>2017</v>
      </c>
      <c r="D406" s="62" t="s">
        <v>1070</v>
      </c>
      <c r="E406" s="63" t="s">
        <v>1071</v>
      </c>
      <c r="F406" s="64">
        <v>42997</v>
      </c>
      <c r="G406" s="65" t="s">
        <v>34</v>
      </c>
      <c r="H406" s="94">
        <v>1326000</v>
      </c>
      <c r="I406" s="94">
        <v>1976491</v>
      </c>
      <c r="J406" s="94"/>
      <c r="K406" s="148">
        <v>0.49056636500754147</v>
      </c>
      <c r="L406" s="103" t="s">
        <v>465</v>
      </c>
      <c r="M406" s="62">
        <v>4</v>
      </c>
      <c r="N406" s="149" t="s">
        <v>25</v>
      </c>
      <c r="O406" s="62">
        <v>3</v>
      </c>
      <c r="P406" s="149" t="s">
        <v>457</v>
      </c>
      <c r="Q406" s="62"/>
      <c r="R406" s="63"/>
      <c r="S406" s="62" t="s">
        <v>784</v>
      </c>
      <c r="T406" s="62"/>
      <c r="U406" s="62"/>
      <c r="V406" s="150">
        <v>1326000</v>
      </c>
      <c r="W406" s="150">
        <v>1976491</v>
      </c>
      <c r="X406" s="150">
        <v>-650491</v>
      </c>
    </row>
    <row r="407" spans="3:24" s="52" customFormat="1" x14ac:dyDescent="0.25">
      <c r="C407" s="101">
        <v>2017</v>
      </c>
      <c r="D407" s="62" t="s">
        <v>1060</v>
      </c>
      <c r="E407" s="63" t="s">
        <v>1061</v>
      </c>
      <c r="F407" s="64">
        <v>42950</v>
      </c>
      <c r="G407" s="65" t="s">
        <v>190</v>
      </c>
      <c r="H407" s="94">
        <v>13720000</v>
      </c>
      <c r="I407" s="94">
        <v>11539200</v>
      </c>
      <c r="J407" s="94" t="s">
        <v>519</v>
      </c>
      <c r="K407" s="148">
        <v>-0.15895043731778424</v>
      </c>
      <c r="L407" s="103" t="s">
        <v>464</v>
      </c>
      <c r="M407" s="62">
        <v>4</v>
      </c>
      <c r="N407" s="149" t="s">
        <v>25</v>
      </c>
      <c r="O407" s="62">
        <v>3</v>
      </c>
      <c r="P407" s="149" t="s">
        <v>492</v>
      </c>
      <c r="Q407" s="62"/>
      <c r="R407" s="63"/>
      <c r="S407" s="62" t="s">
        <v>816</v>
      </c>
      <c r="T407" s="62"/>
      <c r="U407" s="62"/>
      <c r="V407" s="150">
        <v>13720000</v>
      </c>
      <c r="W407" s="150">
        <v>11539200</v>
      </c>
      <c r="X407" s="150">
        <v>2180800</v>
      </c>
    </row>
    <row r="408" spans="3:24" s="52" customFormat="1" x14ac:dyDescent="0.25">
      <c r="C408" s="101">
        <v>2017</v>
      </c>
      <c r="D408" s="62" t="s">
        <v>1057</v>
      </c>
      <c r="E408" s="63" t="s">
        <v>1058</v>
      </c>
      <c r="F408" s="64">
        <v>42949</v>
      </c>
      <c r="G408" s="65" t="s">
        <v>34</v>
      </c>
      <c r="H408" s="94">
        <v>1650000</v>
      </c>
      <c r="I408" s="94">
        <v>1320718</v>
      </c>
      <c r="J408" s="94"/>
      <c r="K408" s="148">
        <v>-0.19956484848484848</v>
      </c>
      <c r="L408" s="103" t="s">
        <v>464</v>
      </c>
      <c r="M408" s="62">
        <v>4</v>
      </c>
      <c r="N408" s="149" t="s">
        <v>93</v>
      </c>
      <c r="O408" s="62">
        <v>3</v>
      </c>
      <c r="P408" s="149" t="s">
        <v>458</v>
      </c>
      <c r="Q408" s="62"/>
      <c r="R408" s="63"/>
      <c r="S408" s="62" t="s">
        <v>616</v>
      </c>
      <c r="T408" s="62"/>
      <c r="U408" s="62"/>
      <c r="V408" s="150">
        <v>1650000</v>
      </c>
      <c r="W408" s="150">
        <v>1320718</v>
      </c>
      <c r="X408" s="150">
        <v>329282</v>
      </c>
    </row>
    <row r="409" spans="3:24" s="52" customFormat="1" x14ac:dyDescent="0.25">
      <c r="C409" s="101">
        <v>2017</v>
      </c>
      <c r="D409" s="62" t="s">
        <v>1047</v>
      </c>
      <c r="E409" s="63" t="s">
        <v>982</v>
      </c>
      <c r="F409" s="64">
        <v>42941</v>
      </c>
      <c r="G409" s="65" t="s">
        <v>34</v>
      </c>
      <c r="H409" s="94">
        <v>7200000</v>
      </c>
      <c r="I409" s="94">
        <v>1936000</v>
      </c>
      <c r="J409" s="94" t="s">
        <v>519</v>
      </c>
      <c r="K409" s="148">
        <v>-0.73111111111111116</v>
      </c>
      <c r="L409" s="103" t="s">
        <v>465</v>
      </c>
      <c r="M409" s="62">
        <v>4</v>
      </c>
      <c r="N409" s="149" t="s">
        <v>93</v>
      </c>
      <c r="O409" s="62">
        <v>3</v>
      </c>
      <c r="P409" s="149" t="s">
        <v>458</v>
      </c>
      <c r="Q409" s="62"/>
      <c r="R409" s="63"/>
      <c r="S409" s="62" t="s">
        <v>616</v>
      </c>
      <c r="T409" s="62"/>
      <c r="U409" s="62"/>
      <c r="V409" s="150">
        <v>7200000</v>
      </c>
      <c r="W409" s="150">
        <v>1936000</v>
      </c>
      <c r="X409" s="150">
        <v>5264000</v>
      </c>
    </row>
    <row r="410" spans="3:24" s="52" customFormat="1" x14ac:dyDescent="0.25">
      <c r="C410" s="101">
        <v>2017</v>
      </c>
      <c r="D410" s="62" t="s">
        <v>987</v>
      </c>
      <c r="E410" s="63" t="s">
        <v>988</v>
      </c>
      <c r="F410" s="64">
        <v>42845</v>
      </c>
      <c r="G410" s="65" t="s">
        <v>34</v>
      </c>
      <c r="H410" s="94">
        <v>1520000</v>
      </c>
      <c r="I410" s="94">
        <v>994200</v>
      </c>
      <c r="J410" s="94"/>
      <c r="K410" s="148">
        <v>-0.34592105263157896</v>
      </c>
      <c r="L410" s="103" t="s">
        <v>464</v>
      </c>
      <c r="M410" s="62">
        <v>4</v>
      </c>
      <c r="N410" s="149" t="s">
        <v>25</v>
      </c>
      <c r="O410" s="62">
        <v>2</v>
      </c>
      <c r="P410" s="149" t="s">
        <v>492</v>
      </c>
      <c r="Q410" s="62"/>
      <c r="R410" s="63"/>
      <c r="S410" s="62" t="s">
        <v>816</v>
      </c>
      <c r="T410" s="62"/>
      <c r="U410" s="62"/>
      <c r="V410" s="150">
        <v>1520000</v>
      </c>
      <c r="W410" s="150">
        <v>994200</v>
      </c>
      <c r="X410" s="150">
        <v>525800</v>
      </c>
    </row>
    <row r="411" spans="3:24" s="52" customFormat="1" x14ac:dyDescent="0.25">
      <c r="C411" s="101"/>
      <c r="L411" s="103"/>
      <c r="N411" s="103"/>
    </row>
    <row r="412" spans="3:24" s="52" customFormat="1" x14ac:dyDescent="0.25">
      <c r="C412" s="101"/>
      <c r="L412" s="103"/>
      <c r="N412" s="103"/>
    </row>
    <row r="413" spans="3:24" s="52" customFormat="1" x14ac:dyDescent="0.25">
      <c r="C413" s="101">
        <v>2017</v>
      </c>
      <c r="D413" s="102" t="s">
        <v>1145</v>
      </c>
      <c r="E413" s="63" t="s">
        <v>1146</v>
      </c>
      <c r="F413" s="64">
        <v>43083</v>
      </c>
      <c r="G413" s="65" t="s">
        <v>190</v>
      </c>
      <c r="H413" s="94">
        <v>4872000</v>
      </c>
      <c r="I413" s="94">
        <v>3997350</v>
      </c>
      <c r="J413" s="94"/>
      <c r="K413" s="148">
        <v>-0.17952586206896551</v>
      </c>
      <c r="L413" s="103" t="s">
        <v>464</v>
      </c>
      <c r="M413" s="62">
        <v>5</v>
      </c>
      <c r="N413" s="149" t="s">
        <v>93</v>
      </c>
      <c r="O413" s="62">
        <v>4</v>
      </c>
      <c r="P413" s="149" t="s">
        <v>458</v>
      </c>
      <c r="Q413" s="62"/>
      <c r="R413" s="63"/>
      <c r="S413" s="62" t="s">
        <v>784</v>
      </c>
      <c r="T413" s="62"/>
      <c r="U413" s="62"/>
      <c r="V413" s="150">
        <v>4872000</v>
      </c>
      <c r="W413" s="150">
        <v>3997350</v>
      </c>
      <c r="X413" s="150">
        <v>874650</v>
      </c>
    </row>
    <row r="414" spans="3:24" s="52" customFormat="1" x14ac:dyDescent="0.25">
      <c r="C414" s="101">
        <v>2017</v>
      </c>
      <c r="D414" s="102" t="s">
        <v>1135</v>
      </c>
      <c r="E414" s="63" t="s">
        <v>982</v>
      </c>
      <c r="F414" s="64">
        <v>43074</v>
      </c>
      <c r="G414" s="65" t="s">
        <v>34</v>
      </c>
      <c r="H414" s="94">
        <v>38000000</v>
      </c>
      <c r="I414" s="94">
        <v>19988800</v>
      </c>
      <c r="J414" s="94" t="s">
        <v>519</v>
      </c>
      <c r="K414" s="148">
        <v>-0.47397894736842106</v>
      </c>
      <c r="L414" s="103" t="s">
        <v>465</v>
      </c>
      <c r="M414" s="62">
        <v>5</v>
      </c>
      <c r="N414" s="149" t="s">
        <v>93</v>
      </c>
      <c r="O414" s="62">
        <v>4</v>
      </c>
      <c r="P414" s="149" t="s">
        <v>458</v>
      </c>
      <c r="Q414" s="62"/>
      <c r="R414" s="63"/>
      <c r="S414" s="62" t="s">
        <v>616</v>
      </c>
      <c r="T414" s="62"/>
      <c r="U414" s="62"/>
      <c r="V414" s="150">
        <v>38000000</v>
      </c>
      <c r="W414" s="150">
        <v>19988800</v>
      </c>
      <c r="X414" s="150">
        <v>18011200</v>
      </c>
    </row>
    <row r="415" spans="3:24" s="52" customFormat="1" x14ac:dyDescent="0.25">
      <c r="C415" s="101">
        <v>2017</v>
      </c>
      <c r="D415" s="62" t="s">
        <v>1110</v>
      </c>
      <c r="E415" s="63" t="s">
        <v>1111</v>
      </c>
      <c r="F415" s="64">
        <v>43047</v>
      </c>
      <c r="G415" s="65" t="s">
        <v>34</v>
      </c>
      <c r="H415" s="94">
        <v>1650000</v>
      </c>
      <c r="I415" s="94">
        <v>2278990</v>
      </c>
      <c r="J415" s="94"/>
      <c r="K415" s="148">
        <v>0.3812060606060606</v>
      </c>
      <c r="L415" s="103" t="s">
        <v>465</v>
      </c>
      <c r="M415" s="62">
        <v>5</v>
      </c>
      <c r="N415" s="149" t="s">
        <v>226</v>
      </c>
      <c r="O415" s="62">
        <v>4</v>
      </c>
      <c r="P415" s="149" t="s">
        <v>457</v>
      </c>
      <c r="Q415" s="62"/>
      <c r="R415" s="63"/>
      <c r="S415" s="62" t="s">
        <v>784</v>
      </c>
      <c r="T415" s="62"/>
      <c r="U415" s="62"/>
      <c r="V415" s="150">
        <v>1650000</v>
      </c>
      <c r="W415" s="150">
        <v>2278990</v>
      </c>
      <c r="X415" s="150">
        <v>-628990</v>
      </c>
    </row>
    <row r="416" spans="3:24" s="52" customFormat="1" x14ac:dyDescent="0.25">
      <c r="C416" s="101">
        <v>2017</v>
      </c>
      <c r="D416" s="62" t="s">
        <v>1084</v>
      </c>
      <c r="E416" s="63" t="s">
        <v>1085</v>
      </c>
      <c r="F416" s="64">
        <v>43004</v>
      </c>
      <c r="G416" s="65" t="s">
        <v>190</v>
      </c>
      <c r="H416" s="94">
        <v>189900000</v>
      </c>
      <c r="I416" s="94">
        <v>154487000</v>
      </c>
      <c r="J416" s="94" t="s">
        <v>519</v>
      </c>
      <c r="K416" s="148">
        <v>-0.18648235913638758</v>
      </c>
      <c r="L416" s="103" t="s">
        <v>464</v>
      </c>
      <c r="M416" s="62">
        <v>5</v>
      </c>
      <c r="N416" s="149" t="s">
        <v>93</v>
      </c>
      <c r="O416" s="62">
        <v>3</v>
      </c>
      <c r="P416" s="149" t="s">
        <v>457</v>
      </c>
      <c r="Q416" s="62"/>
      <c r="R416" s="63"/>
      <c r="S416" s="62" t="s">
        <v>816</v>
      </c>
      <c r="T416" s="62"/>
      <c r="U416" s="62"/>
      <c r="V416" s="150">
        <v>189900000</v>
      </c>
      <c r="W416" s="150">
        <v>154487000</v>
      </c>
      <c r="X416" s="150">
        <v>35413000</v>
      </c>
    </row>
    <row r="417" spans="3:24" s="52" customFormat="1" x14ac:dyDescent="0.25">
      <c r="C417" s="101">
        <v>2017</v>
      </c>
      <c r="D417" s="62" t="s">
        <v>1035</v>
      </c>
      <c r="E417" s="63" t="s">
        <v>1036</v>
      </c>
      <c r="F417" s="64">
        <v>42900</v>
      </c>
      <c r="G417" s="65" t="s">
        <v>756</v>
      </c>
      <c r="H417" s="94">
        <v>2900000</v>
      </c>
      <c r="I417" s="94">
        <v>1157000</v>
      </c>
      <c r="J417" s="94"/>
      <c r="K417" s="148">
        <v>-0.6010344827586207</v>
      </c>
      <c r="L417" s="103" t="s">
        <v>465</v>
      </c>
      <c r="M417" s="62">
        <v>5</v>
      </c>
      <c r="N417" s="149" t="s">
        <v>25</v>
      </c>
      <c r="O417" s="62">
        <v>2</v>
      </c>
      <c r="P417" s="149" t="s">
        <v>458</v>
      </c>
      <c r="Q417" s="62"/>
      <c r="R417" s="63"/>
      <c r="S417" s="62" t="s">
        <v>447</v>
      </c>
      <c r="T417" s="62"/>
      <c r="U417" s="62"/>
      <c r="V417" s="150">
        <v>2900000</v>
      </c>
      <c r="W417" s="150">
        <v>1157000</v>
      </c>
      <c r="X417" s="150">
        <v>1743000</v>
      </c>
    </row>
    <row r="418" spans="3:24" s="52" customFormat="1" x14ac:dyDescent="0.25">
      <c r="C418" s="101">
        <v>2017</v>
      </c>
      <c r="D418" s="62" t="s">
        <v>1023</v>
      </c>
      <c r="E418" s="63" t="s">
        <v>1024</v>
      </c>
      <c r="F418" s="64">
        <v>42893</v>
      </c>
      <c r="G418" s="65" t="s">
        <v>693</v>
      </c>
      <c r="H418" s="94">
        <v>1070000</v>
      </c>
      <c r="I418" s="94">
        <v>758000</v>
      </c>
      <c r="J418" s="94"/>
      <c r="K418" s="148">
        <v>-0.29158878504672897</v>
      </c>
      <c r="L418" s="103" t="s">
        <v>465</v>
      </c>
      <c r="M418" s="62">
        <v>5</v>
      </c>
      <c r="N418" s="149" t="s">
        <v>25</v>
      </c>
      <c r="O418" s="62">
        <v>2</v>
      </c>
      <c r="P418" s="149" t="s">
        <v>458</v>
      </c>
      <c r="Q418" s="62"/>
      <c r="R418" s="63"/>
      <c r="S418" s="62" t="s">
        <v>616</v>
      </c>
      <c r="T418" s="62"/>
      <c r="U418" s="62"/>
      <c r="V418" s="150">
        <v>1070000</v>
      </c>
      <c r="W418" s="150">
        <v>758000</v>
      </c>
      <c r="X418" s="150">
        <v>312000</v>
      </c>
    </row>
    <row r="419" spans="3:24" s="52" customFormat="1" x14ac:dyDescent="0.25">
      <c r="C419" s="101">
        <v>2017</v>
      </c>
      <c r="D419" s="62" t="s">
        <v>991</v>
      </c>
      <c r="E419" s="63" t="s">
        <v>992</v>
      </c>
      <c r="F419" s="64">
        <v>42846</v>
      </c>
      <c r="G419" s="65" t="s">
        <v>34</v>
      </c>
      <c r="H419" s="94">
        <v>2060000</v>
      </c>
      <c r="I419" s="94">
        <v>2614625</v>
      </c>
      <c r="J419" s="94"/>
      <c r="K419" s="148">
        <v>0.26923543689320389</v>
      </c>
      <c r="L419" s="103" t="s">
        <v>465</v>
      </c>
      <c r="M419" s="62">
        <v>5</v>
      </c>
      <c r="N419" s="149" t="s">
        <v>226</v>
      </c>
      <c r="O419" s="62">
        <v>2</v>
      </c>
      <c r="P419" s="149" t="s">
        <v>457</v>
      </c>
      <c r="Q419" s="62"/>
      <c r="R419" s="63"/>
      <c r="S419" s="62" t="s">
        <v>630</v>
      </c>
      <c r="T419" s="62"/>
      <c r="U419" s="62"/>
      <c r="V419" s="150">
        <v>2060000</v>
      </c>
      <c r="W419" s="150">
        <v>2614625</v>
      </c>
      <c r="X419" s="150">
        <v>-554625</v>
      </c>
    </row>
    <row r="420" spans="3:24" s="52" customFormat="1" x14ac:dyDescent="0.25">
      <c r="C420" s="101">
        <v>2017</v>
      </c>
      <c r="D420" s="62" t="s">
        <v>912</v>
      </c>
      <c r="E420" s="63" t="s">
        <v>935</v>
      </c>
      <c r="F420" s="64">
        <v>42789</v>
      </c>
      <c r="G420" s="65" t="s">
        <v>190</v>
      </c>
      <c r="H420" s="94">
        <v>479900000</v>
      </c>
      <c r="I420" s="94">
        <v>451841280</v>
      </c>
      <c r="J420" s="94" t="s">
        <v>519</v>
      </c>
      <c r="K420" s="148">
        <v>-5.8467847468222547E-2</v>
      </c>
      <c r="L420" s="103" t="s">
        <v>464</v>
      </c>
      <c r="M420" s="62">
        <v>5</v>
      </c>
      <c r="N420" s="149" t="s">
        <v>226</v>
      </c>
      <c r="O420" s="62">
        <v>1</v>
      </c>
      <c r="P420" s="149" t="s">
        <v>457</v>
      </c>
      <c r="Q420" s="62"/>
      <c r="R420" s="63"/>
      <c r="S420" s="62" t="s">
        <v>630</v>
      </c>
      <c r="T420" s="62"/>
      <c r="U420" s="62"/>
      <c r="V420" s="150">
        <v>479900000</v>
      </c>
      <c r="W420" s="150">
        <v>451841280</v>
      </c>
      <c r="X420" s="150">
        <v>28058720</v>
      </c>
    </row>
    <row r="421" spans="3:24" s="52" customFormat="1" x14ac:dyDescent="0.25">
      <c r="C421" s="101">
        <v>2017</v>
      </c>
      <c r="D421" s="62" t="s">
        <v>876</v>
      </c>
      <c r="E421" s="63" t="s">
        <v>877</v>
      </c>
      <c r="F421" s="64">
        <v>42765</v>
      </c>
      <c r="G421" s="65" t="s">
        <v>756</v>
      </c>
      <c r="H421" s="94">
        <v>6500000</v>
      </c>
      <c r="I421" s="94">
        <v>5987000</v>
      </c>
      <c r="J421" s="94" t="s">
        <v>519</v>
      </c>
      <c r="K421" s="148">
        <v>-7.8923076923076929E-2</v>
      </c>
      <c r="L421" s="103" t="s">
        <v>464</v>
      </c>
      <c r="M421" s="62">
        <v>5</v>
      </c>
      <c r="N421" s="149" t="s">
        <v>93</v>
      </c>
      <c r="O421" s="62">
        <v>1</v>
      </c>
      <c r="P421" s="149" t="s">
        <v>458</v>
      </c>
      <c r="Q421" s="62"/>
      <c r="R421" s="63"/>
      <c r="S421" s="62" t="s">
        <v>447</v>
      </c>
      <c r="T421" s="62"/>
      <c r="U421" s="62"/>
      <c r="V421" s="150">
        <v>6500000</v>
      </c>
      <c r="W421" s="150">
        <v>5987000</v>
      </c>
      <c r="X421" s="150">
        <v>513000</v>
      </c>
    </row>
    <row r="422" spans="3:24" s="52" customFormat="1" x14ac:dyDescent="0.25">
      <c r="C422" s="101"/>
      <c r="L422" s="103"/>
      <c r="N422" s="103"/>
    </row>
    <row r="423" spans="3:24" s="52" customFormat="1" x14ac:dyDescent="0.25">
      <c r="C423" s="101"/>
      <c r="L423" s="103"/>
      <c r="N423" s="103"/>
    </row>
    <row r="424" spans="3:24" s="52" customFormat="1" x14ac:dyDescent="0.25">
      <c r="C424" s="101">
        <v>2017</v>
      </c>
      <c r="D424" s="62" t="s">
        <v>1107</v>
      </c>
      <c r="E424" s="63" t="s">
        <v>1109</v>
      </c>
      <c r="F424" s="64">
        <v>43034</v>
      </c>
      <c r="G424" s="65" t="s">
        <v>756</v>
      </c>
      <c r="H424" s="94">
        <v>2194000</v>
      </c>
      <c r="I424" s="94">
        <v>1361078</v>
      </c>
      <c r="J424" s="94"/>
      <c r="K424" s="148">
        <v>-0.3796362807657247</v>
      </c>
      <c r="L424" s="103" t="s">
        <v>465</v>
      </c>
      <c r="M424" s="62">
        <v>6</v>
      </c>
      <c r="N424" s="149" t="s">
        <v>25</v>
      </c>
      <c r="O424" s="62">
        <v>4</v>
      </c>
      <c r="P424" s="149" t="s">
        <v>459</v>
      </c>
      <c r="Q424" s="62"/>
      <c r="R424" s="63"/>
      <c r="S424" s="62" t="s">
        <v>447</v>
      </c>
      <c r="T424" s="62"/>
      <c r="U424" s="62"/>
      <c r="V424" s="150">
        <v>2194000</v>
      </c>
      <c r="W424" s="150">
        <v>1361078</v>
      </c>
      <c r="X424" s="150">
        <v>832922</v>
      </c>
    </row>
    <row r="425" spans="3:24" s="52" customFormat="1" x14ac:dyDescent="0.25">
      <c r="C425" s="101">
        <v>2017</v>
      </c>
      <c r="D425" s="62" t="s">
        <v>1093</v>
      </c>
      <c r="E425" s="63" t="s">
        <v>1094</v>
      </c>
      <c r="F425" s="64">
        <v>43013</v>
      </c>
      <c r="G425" s="65" t="s">
        <v>34</v>
      </c>
      <c r="H425" s="94">
        <v>970000</v>
      </c>
      <c r="I425" s="94">
        <v>1285000</v>
      </c>
      <c r="J425" s="94"/>
      <c r="K425" s="148">
        <v>0.32474226804123713</v>
      </c>
      <c r="L425" s="103" t="s">
        <v>465</v>
      </c>
      <c r="M425" s="62">
        <v>6</v>
      </c>
      <c r="N425" s="149" t="s">
        <v>25</v>
      </c>
      <c r="O425" s="62">
        <v>4</v>
      </c>
      <c r="P425" s="149" t="s">
        <v>458</v>
      </c>
      <c r="Q425" s="62"/>
      <c r="R425" s="63"/>
      <c r="S425" s="62" t="s">
        <v>616</v>
      </c>
      <c r="T425" s="62"/>
      <c r="U425" s="62"/>
      <c r="V425" s="150">
        <v>970000</v>
      </c>
      <c r="W425" s="150">
        <v>1285000</v>
      </c>
      <c r="X425" s="150">
        <v>-315000</v>
      </c>
    </row>
    <row r="426" spans="3:24" s="52" customFormat="1" x14ac:dyDescent="0.25">
      <c r="C426" s="101">
        <v>2017</v>
      </c>
      <c r="D426" s="62" t="s">
        <v>1089</v>
      </c>
      <c r="E426" s="63" t="s">
        <v>1090</v>
      </c>
      <c r="F426" s="64">
        <v>43005</v>
      </c>
      <c r="G426" s="65" t="s">
        <v>34</v>
      </c>
      <c r="H426" s="94">
        <v>1250000</v>
      </c>
      <c r="I426" s="94">
        <v>1068000</v>
      </c>
      <c r="J426" s="94"/>
      <c r="K426" s="148">
        <v>-0.14560000000000001</v>
      </c>
      <c r="L426" s="103" t="s">
        <v>464</v>
      </c>
      <c r="M426" s="62">
        <v>6</v>
      </c>
      <c r="N426" s="149" t="s">
        <v>226</v>
      </c>
      <c r="O426" s="62">
        <v>3</v>
      </c>
      <c r="P426" s="149" t="s">
        <v>457</v>
      </c>
      <c r="Q426" s="62"/>
      <c r="R426" s="63"/>
      <c r="S426" s="62" t="s">
        <v>784</v>
      </c>
      <c r="T426" s="62"/>
      <c r="U426" s="62"/>
      <c r="V426" s="150">
        <v>1250000</v>
      </c>
      <c r="W426" s="150">
        <v>1068000</v>
      </c>
      <c r="X426" s="150">
        <v>182000</v>
      </c>
    </row>
    <row r="427" spans="3:24" s="52" customFormat="1" x14ac:dyDescent="0.25">
      <c r="C427" s="101">
        <v>2017</v>
      </c>
      <c r="D427" s="62" t="s">
        <v>1052</v>
      </c>
      <c r="E427" s="63" t="s">
        <v>1053</v>
      </c>
      <c r="F427" s="64">
        <v>42948</v>
      </c>
      <c r="G427" s="65" t="s">
        <v>34</v>
      </c>
      <c r="H427" s="94">
        <v>1330000</v>
      </c>
      <c r="I427" s="94">
        <v>936000</v>
      </c>
      <c r="J427" s="94"/>
      <c r="K427" s="148">
        <v>-0.29624060150375942</v>
      </c>
      <c r="L427" s="103" t="s">
        <v>464</v>
      </c>
      <c r="M427" s="62">
        <v>6</v>
      </c>
      <c r="N427" s="149" t="s">
        <v>93</v>
      </c>
      <c r="O427" s="62">
        <v>3</v>
      </c>
      <c r="P427" s="149" t="s">
        <v>458</v>
      </c>
      <c r="Q427" s="62"/>
      <c r="R427" s="63"/>
      <c r="S427" s="62" t="s">
        <v>616</v>
      </c>
      <c r="T427" s="62"/>
      <c r="U427" s="62"/>
      <c r="V427" s="150">
        <v>1330000</v>
      </c>
      <c r="W427" s="150">
        <v>936000</v>
      </c>
      <c r="X427" s="150">
        <v>394000</v>
      </c>
    </row>
    <row r="428" spans="3:24" s="52" customFormat="1" x14ac:dyDescent="0.25">
      <c r="C428" s="101">
        <v>2017</v>
      </c>
      <c r="D428" s="62" t="s">
        <v>989</v>
      </c>
      <c r="E428" s="63" t="s">
        <v>879</v>
      </c>
      <c r="F428" s="64">
        <v>42845</v>
      </c>
      <c r="G428" s="65" t="s">
        <v>693</v>
      </c>
      <c r="H428" s="94">
        <v>2625000</v>
      </c>
      <c r="I428" s="94">
        <v>2472675</v>
      </c>
      <c r="J428" s="94"/>
      <c r="K428" s="148">
        <v>-5.8028571428571429E-2</v>
      </c>
      <c r="L428" s="103" t="s">
        <v>464</v>
      </c>
      <c r="M428" s="62">
        <v>6</v>
      </c>
      <c r="N428" s="149" t="s">
        <v>25</v>
      </c>
      <c r="O428" s="62">
        <v>2</v>
      </c>
      <c r="P428" s="149" t="s">
        <v>492</v>
      </c>
      <c r="Q428" s="62"/>
      <c r="R428" s="63"/>
      <c r="S428" s="62" t="s">
        <v>816</v>
      </c>
      <c r="T428" s="62"/>
      <c r="U428" s="62"/>
      <c r="V428" s="150">
        <v>2625000</v>
      </c>
      <c r="W428" s="150">
        <v>2472675</v>
      </c>
      <c r="X428" s="150">
        <v>152325</v>
      </c>
    </row>
    <row r="429" spans="3:24" s="52" customFormat="1" x14ac:dyDescent="0.25">
      <c r="C429" s="101">
        <v>2017</v>
      </c>
      <c r="D429" s="62" t="s">
        <v>956</v>
      </c>
      <c r="E429" s="63" t="s">
        <v>957</v>
      </c>
      <c r="F429" s="64">
        <v>42810</v>
      </c>
      <c r="G429" s="65" t="s">
        <v>693</v>
      </c>
      <c r="H429" s="94">
        <v>1425000</v>
      </c>
      <c r="I429" s="94">
        <v>1087425</v>
      </c>
      <c r="J429" s="94"/>
      <c r="K429" s="148">
        <v>-0.23689473684210527</v>
      </c>
      <c r="L429" s="103" t="s">
        <v>464</v>
      </c>
      <c r="M429" s="62">
        <v>6</v>
      </c>
      <c r="N429" s="149" t="s">
        <v>93</v>
      </c>
      <c r="O429" s="62">
        <v>1</v>
      </c>
      <c r="P429" s="149" t="s">
        <v>492</v>
      </c>
      <c r="Q429" s="62"/>
      <c r="R429" s="63"/>
      <c r="S429" s="62" t="s">
        <v>816</v>
      </c>
      <c r="T429" s="62"/>
      <c r="U429" s="62"/>
      <c r="V429" s="150">
        <v>1425000</v>
      </c>
      <c r="W429" s="150">
        <v>1087425</v>
      </c>
      <c r="X429" s="150">
        <v>337575</v>
      </c>
    </row>
    <row r="430" spans="3:24" s="52" customFormat="1" x14ac:dyDescent="0.25">
      <c r="C430" s="101">
        <v>2017</v>
      </c>
      <c r="D430" s="62" t="s">
        <v>941</v>
      </c>
      <c r="E430" s="63" t="s">
        <v>940</v>
      </c>
      <c r="F430" s="64">
        <v>42789</v>
      </c>
      <c r="G430" s="65" t="s">
        <v>693</v>
      </c>
      <c r="H430" s="94">
        <v>240000</v>
      </c>
      <c r="I430" s="94">
        <v>97300</v>
      </c>
      <c r="J430" s="94"/>
      <c r="K430" s="148">
        <v>-0.59458333333333335</v>
      </c>
      <c r="L430" s="103" t="s">
        <v>465</v>
      </c>
      <c r="M430" s="62">
        <v>6</v>
      </c>
      <c r="N430" s="149" t="s">
        <v>25</v>
      </c>
      <c r="O430" s="62">
        <v>1</v>
      </c>
      <c r="P430" s="149" t="s">
        <v>457</v>
      </c>
      <c r="Q430" s="62"/>
      <c r="R430" s="63"/>
      <c r="S430" s="62" t="s">
        <v>630</v>
      </c>
      <c r="T430" s="62"/>
      <c r="U430" s="62"/>
      <c r="V430" s="150">
        <v>240000</v>
      </c>
      <c r="W430" s="150">
        <v>97300</v>
      </c>
      <c r="X430" s="150">
        <v>142700</v>
      </c>
    </row>
    <row r="431" spans="3:24" s="52" customFormat="1" x14ac:dyDescent="0.25">
      <c r="C431" s="101">
        <v>2017</v>
      </c>
      <c r="D431" s="62" t="s">
        <v>898</v>
      </c>
      <c r="E431" s="63" t="s">
        <v>717</v>
      </c>
      <c r="F431" s="64">
        <v>42773</v>
      </c>
      <c r="G431" s="65" t="s">
        <v>190</v>
      </c>
      <c r="H431" s="94">
        <v>1965000</v>
      </c>
      <c r="I431" s="94">
        <v>1450000</v>
      </c>
      <c r="J431" s="94"/>
      <c r="K431" s="148">
        <v>-0.26208651399491095</v>
      </c>
      <c r="L431" s="103" t="s">
        <v>464</v>
      </c>
      <c r="M431" s="62">
        <v>6</v>
      </c>
      <c r="N431" s="149" t="s">
        <v>226</v>
      </c>
      <c r="O431" s="62">
        <v>1</v>
      </c>
      <c r="P431" s="149" t="s">
        <v>457</v>
      </c>
      <c r="Q431" s="62"/>
      <c r="R431" s="63" t="s">
        <v>900</v>
      </c>
      <c r="S431" s="62" t="s">
        <v>630</v>
      </c>
      <c r="T431" s="62"/>
      <c r="U431" s="62"/>
      <c r="V431" s="150">
        <v>1965000</v>
      </c>
      <c r="W431" s="150">
        <v>1450000</v>
      </c>
      <c r="X431" s="150">
        <v>515000</v>
      </c>
    </row>
    <row r="432" spans="3:24" s="52" customFormat="1" x14ac:dyDescent="0.25">
      <c r="C432" s="101"/>
      <c r="L432" s="103"/>
      <c r="N432" s="103"/>
    </row>
    <row r="433" spans="3:24" s="52" customFormat="1" x14ac:dyDescent="0.25">
      <c r="C433" s="101"/>
      <c r="L433" s="103"/>
      <c r="N433" s="103"/>
    </row>
    <row r="434" spans="3:24" s="52" customFormat="1" x14ac:dyDescent="0.25">
      <c r="C434" s="101">
        <v>2017</v>
      </c>
      <c r="D434" s="102" t="s">
        <v>1129</v>
      </c>
      <c r="E434" s="63" t="s">
        <v>1130</v>
      </c>
      <c r="F434" s="64">
        <v>43068</v>
      </c>
      <c r="G434" s="65" t="s">
        <v>34</v>
      </c>
      <c r="H434" s="94">
        <v>6600000</v>
      </c>
      <c r="I434" s="94">
        <v>5189333</v>
      </c>
      <c r="J434" s="94" t="s">
        <v>519</v>
      </c>
      <c r="K434" s="148">
        <v>-0.21373742424242423</v>
      </c>
      <c r="L434" s="103" t="s">
        <v>464</v>
      </c>
      <c r="M434" s="62">
        <v>7</v>
      </c>
      <c r="N434" s="149" t="s">
        <v>25</v>
      </c>
      <c r="O434" s="62">
        <v>4</v>
      </c>
      <c r="P434" s="149" t="s">
        <v>458</v>
      </c>
      <c r="Q434" s="62"/>
      <c r="R434" s="63"/>
      <c r="S434" s="62" t="s">
        <v>616</v>
      </c>
      <c r="T434" s="62"/>
      <c r="U434" s="62"/>
      <c r="V434" s="150">
        <v>6600000</v>
      </c>
      <c r="W434" s="150">
        <v>5189333</v>
      </c>
      <c r="X434" s="150">
        <v>1410667</v>
      </c>
    </row>
    <row r="435" spans="3:24" s="52" customFormat="1" x14ac:dyDescent="0.25">
      <c r="C435" s="101">
        <v>2017</v>
      </c>
      <c r="D435" s="62" t="s">
        <v>1042</v>
      </c>
      <c r="E435" s="63" t="s">
        <v>1043</v>
      </c>
      <c r="F435" s="64">
        <v>42913</v>
      </c>
      <c r="G435" s="65" t="s">
        <v>190</v>
      </c>
      <c r="H435" s="94">
        <v>1480000</v>
      </c>
      <c r="I435" s="94">
        <v>1483000</v>
      </c>
      <c r="J435" s="94"/>
      <c r="K435" s="148">
        <v>2.0270270270270271E-3</v>
      </c>
      <c r="L435" s="103" t="s">
        <v>464</v>
      </c>
      <c r="M435" s="62">
        <v>7</v>
      </c>
      <c r="N435" s="149" t="s">
        <v>25</v>
      </c>
      <c r="O435" s="62">
        <v>2</v>
      </c>
      <c r="P435" s="149" t="s">
        <v>459</v>
      </c>
      <c r="Q435" s="62"/>
      <c r="R435" s="63"/>
      <c r="S435" s="62" t="s">
        <v>447</v>
      </c>
      <c r="T435" s="62"/>
      <c r="U435" s="62"/>
      <c r="V435" s="150">
        <v>1480000</v>
      </c>
      <c r="W435" s="150">
        <v>1483000</v>
      </c>
      <c r="X435" s="150">
        <v>-3000</v>
      </c>
    </row>
    <row r="436" spans="3:24" s="52" customFormat="1" x14ac:dyDescent="0.25">
      <c r="C436" s="101">
        <v>2017</v>
      </c>
      <c r="D436" s="62" t="s">
        <v>966</v>
      </c>
      <c r="E436" s="63" t="s">
        <v>967</v>
      </c>
      <c r="F436" s="64">
        <v>42823</v>
      </c>
      <c r="G436" s="65" t="s">
        <v>34</v>
      </c>
      <c r="H436" s="94">
        <v>3700000</v>
      </c>
      <c r="I436" s="94">
        <v>2490000</v>
      </c>
      <c r="J436" s="94"/>
      <c r="K436" s="148">
        <v>-0.32702702702702702</v>
      </c>
      <c r="L436" s="103" t="s">
        <v>464</v>
      </c>
      <c r="M436" s="62">
        <v>7</v>
      </c>
      <c r="N436" s="149" t="s">
        <v>93</v>
      </c>
      <c r="O436" s="62">
        <v>1</v>
      </c>
      <c r="P436" s="149" t="s">
        <v>457</v>
      </c>
      <c r="Q436" s="62"/>
      <c r="R436" s="63" t="s">
        <v>976</v>
      </c>
      <c r="S436" s="62" t="s">
        <v>630</v>
      </c>
      <c r="T436" s="62"/>
      <c r="U436" s="62"/>
      <c r="V436" s="150">
        <v>3700000</v>
      </c>
      <c r="W436" s="150">
        <v>2490000</v>
      </c>
      <c r="X436" s="150">
        <v>1210000</v>
      </c>
    </row>
    <row r="437" spans="3:24" s="52" customFormat="1" x14ac:dyDescent="0.25">
      <c r="C437" s="101">
        <v>2017</v>
      </c>
      <c r="D437" s="62" t="s">
        <v>868</v>
      </c>
      <c r="E437" s="63" t="s">
        <v>869</v>
      </c>
      <c r="F437" s="64">
        <v>42761</v>
      </c>
      <c r="G437" s="65" t="s">
        <v>34</v>
      </c>
      <c r="H437" s="94">
        <v>5100000</v>
      </c>
      <c r="I437" s="94">
        <v>4640176</v>
      </c>
      <c r="J437" s="94" t="s">
        <v>519</v>
      </c>
      <c r="K437" s="148">
        <v>-9.0161568627450978E-2</v>
      </c>
      <c r="L437" s="103" t="s">
        <v>464</v>
      </c>
      <c r="M437" s="62">
        <v>7</v>
      </c>
      <c r="N437" s="149" t="s">
        <v>93</v>
      </c>
      <c r="O437" s="62">
        <v>1</v>
      </c>
      <c r="P437" s="149" t="s">
        <v>458</v>
      </c>
      <c r="Q437" s="62"/>
      <c r="R437" s="63"/>
      <c r="S437" s="62" t="s">
        <v>784</v>
      </c>
      <c r="T437" s="62"/>
      <c r="U437" s="62"/>
      <c r="V437" s="150">
        <v>5100000</v>
      </c>
      <c r="W437" s="150">
        <v>4640176</v>
      </c>
      <c r="X437" s="150">
        <v>459824</v>
      </c>
    </row>
    <row r="438" spans="3:24" s="52" customFormat="1" x14ac:dyDescent="0.25">
      <c r="C438" s="101"/>
      <c r="L438" s="103"/>
      <c r="N438" s="103"/>
    </row>
    <row r="439" spans="3:24" s="52" customFormat="1" x14ac:dyDescent="0.25">
      <c r="C439" s="101"/>
      <c r="L439" s="103"/>
      <c r="N439" s="103"/>
    </row>
    <row r="440" spans="3:24" s="52" customFormat="1" x14ac:dyDescent="0.25">
      <c r="C440" s="101">
        <v>2017</v>
      </c>
      <c r="D440" s="102" t="s">
        <v>1159</v>
      </c>
      <c r="E440" s="63" t="s">
        <v>1154</v>
      </c>
      <c r="F440" s="64">
        <v>43088</v>
      </c>
      <c r="G440" s="65" t="s">
        <v>693</v>
      </c>
      <c r="H440" s="94">
        <v>795000</v>
      </c>
      <c r="I440" s="94">
        <v>353700</v>
      </c>
      <c r="J440" s="94"/>
      <c r="K440" s="148">
        <v>-0.55509433962264154</v>
      </c>
      <c r="L440" s="103" t="s">
        <v>464</v>
      </c>
      <c r="M440" s="62">
        <v>8</v>
      </c>
      <c r="N440" s="149" t="s">
        <v>226</v>
      </c>
      <c r="O440" s="62">
        <v>4</v>
      </c>
      <c r="P440" s="149" t="s">
        <v>457</v>
      </c>
      <c r="Q440" s="62"/>
      <c r="R440" s="63"/>
      <c r="S440" s="62" t="s">
        <v>1153</v>
      </c>
      <c r="T440" s="62"/>
      <c r="U440" s="62"/>
      <c r="V440" s="150">
        <v>795000</v>
      </c>
      <c r="W440" s="150">
        <v>353700</v>
      </c>
      <c r="X440" s="150">
        <v>441300</v>
      </c>
    </row>
    <row r="441" spans="3:24" s="52" customFormat="1" x14ac:dyDescent="0.25">
      <c r="C441" s="101">
        <v>2017</v>
      </c>
      <c r="D441" s="62" t="s">
        <v>1118</v>
      </c>
      <c r="E441" s="63" t="s">
        <v>1119</v>
      </c>
      <c r="F441" s="64">
        <v>43048</v>
      </c>
      <c r="G441" s="65" t="s">
        <v>34</v>
      </c>
      <c r="H441" s="94">
        <v>4860000</v>
      </c>
      <c r="I441" s="94">
        <v>3418000</v>
      </c>
      <c r="J441" s="94"/>
      <c r="K441" s="148">
        <v>-0.29670781893004117</v>
      </c>
      <c r="L441" s="103" t="s">
        <v>464</v>
      </c>
      <c r="M441" s="62">
        <v>8</v>
      </c>
      <c r="N441" s="149" t="s">
        <v>25</v>
      </c>
      <c r="O441" s="62">
        <v>4</v>
      </c>
      <c r="P441" s="149" t="s">
        <v>492</v>
      </c>
      <c r="Q441" s="62"/>
      <c r="R441" s="63"/>
      <c r="S441" s="62" t="s">
        <v>816</v>
      </c>
      <c r="T441" s="62"/>
      <c r="U441" s="62"/>
      <c r="V441" s="150">
        <v>4860000</v>
      </c>
      <c r="W441" s="150">
        <v>3418000</v>
      </c>
      <c r="X441" s="150">
        <v>1442000</v>
      </c>
    </row>
    <row r="442" spans="3:24" s="52" customFormat="1" x14ac:dyDescent="0.25">
      <c r="C442" s="101">
        <v>2017</v>
      </c>
      <c r="D442" s="62" t="s">
        <v>1063</v>
      </c>
      <c r="E442" s="63" t="s">
        <v>1064</v>
      </c>
      <c r="F442" s="64">
        <v>42951</v>
      </c>
      <c r="G442" s="65" t="s">
        <v>34</v>
      </c>
      <c r="H442" s="94">
        <v>6040000</v>
      </c>
      <c r="I442" s="94">
        <v>4845475</v>
      </c>
      <c r="J442" s="94" t="s">
        <v>519</v>
      </c>
      <c r="K442" s="148">
        <v>-0.19776903973509935</v>
      </c>
      <c r="L442" s="103" t="s">
        <v>464</v>
      </c>
      <c r="M442" s="62">
        <v>8</v>
      </c>
      <c r="N442" s="149" t="s">
        <v>93</v>
      </c>
      <c r="O442" s="62">
        <v>3</v>
      </c>
      <c r="P442" s="149" t="s">
        <v>458</v>
      </c>
      <c r="Q442" s="62"/>
      <c r="R442" s="63"/>
      <c r="S442" s="62" t="s">
        <v>784</v>
      </c>
      <c r="T442" s="62"/>
      <c r="U442" s="62"/>
      <c r="V442" s="150">
        <v>6040000</v>
      </c>
      <c r="W442" s="150">
        <v>4845475</v>
      </c>
      <c r="X442" s="150">
        <v>1194525</v>
      </c>
    </row>
    <row r="443" spans="3:24" s="52" customFormat="1" x14ac:dyDescent="0.25">
      <c r="C443" s="101"/>
      <c r="L443" s="103"/>
      <c r="N443" s="103"/>
    </row>
    <row r="444" spans="3:24" s="52" customFormat="1" x14ac:dyDescent="0.25">
      <c r="C444" s="101"/>
      <c r="L444" s="103"/>
      <c r="N444" s="103"/>
    </row>
    <row r="445" spans="3:24" s="52" customFormat="1" x14ac:dyDescent="0.25">
      <c r="C445" s="101">
        <v>2017</v>
      </c>
      <c r="D445" s="62" t="s">
        <v>1101</v>
      </c>
      <c r="E445" s="63" t="s">
        <v>1102</v>
      </c>
      <c r="F445" s="64">
        <v>43025</v>
      </c>
      <c r="G445" s="65" t="s">
        <v>34</v>
      </c>
      <c r="H445" s="94">
        <v>2800000</v>
      </c>
      <c r="I445" s="94">
        <v>2847000</v>
      </c>
      <c r="J445" s="94"/>
      <c r="K445" s="148">
        <v>1.6785714285714286E-2</v>
      </c>
      <c r="L445" s="103" t="s">
        <v>464</v>
      </c>
      <c r="M445" s="62">
        <v>9</v>
      </c>
      <c r="N445" s="149" t="s">
        <v>93</v>
      </c>
      <c r="O445" s="62">
        <v>4</v>
      </c>
      <c r="P445" s="149" t="s">
        <v>458</v>
      </c>
      <c r="Q445" s="62"/>
      <c r="R445" s="63"/>
      <c r="S445" s="62" t="s">
        <v>616</v>
      </c>
      <c r="T445" s="62"/>
      <c r="U445" s="62"/>
      <c r="V445" s="150">
        <v>2800000</v>
      </c>
      <c r="W445" s="150">
        <v>2847000</v>
      </c>
      <c r="X445" s="150">
        <v>-47000</v>
      </c>
    </row>
    <row r="446" spans="3:24" s="52" customFormat="1" x14ac:dyDescent="0.25">
      <c r="C446" s="101">
        <v>2017</v>
      </c>
      <c r="D446" s="62" t="s">
        <v>1014</v>
      </c>
      <c r="E446" s="63" t="s">
        <v>1015</v>
      </c>
      <c r="F446" s="64">
        <v>42886</v>
      </c>
      <c r="G446" s="65" t="s">
        <v>34</v>
      </c>
      <c r="H446" s="94">
        <v>1140000</v>
      </c>
      <c r="I446" s="94">
        <v>904780</v>
      </c>
      <c r="J446" s="94"/>
      <c r="K446" s="148">
        <v>-0.20633333333333334</v>
      </c>
      <c r="L446" s="103" t="s">
        <v>464</v>
      </c>
      <c r="M446" s="62">
        <v>9</v>
      </c>
      <c r="N446" s="149" t="s">
        <v>25</v>
      </c>
      <c r="O446" s="62">
        <v>2</v>
      </c>
      <c r="P446" s="149" t="s">
        <v>458</v>
      </c>
      <c r="Q446" s="62"/>
      <c r="R446" s="63"/>
      <c r="S446" s="62" t="s">
        <v>616</v>
      </c>
      <c r="T446" s="62"/>
      <c r="U446" s="62"/>
      <c r="V446" s="150">
        <v>1140000</v>
      </c>
      <c r="W446" s="150">
        <v>904780</v>
      </c>
      <c r="X446" s="150">
        <v>235220</v>
      </c>
    </row>
    <row r="447" spans="3:24" s="52" customFormat="1" x14ac:dyDescent="0.25">
      <c r="C447" s="101">
        <v>2017</v>
      </c>
      <c r="D447" s="62" t="s">
        <v>1001</v>
      </c>
      <c r="E447" s="63" t="s">
        <v>1008</v>
      </c>
      <c r="F447" s="64">
        <v>42872</v>
      </c>
      <c r="G447" s="65" t="s">
        <v>34</v>
      </c>
      <c r="H447" s="94">
        <v>5000000</v>
      </c>
      <c r="I447" s="94">
        <v>5210665</v>
      </c>
      <c r="J447" s="94" t="s">
        <v>519</v>
      </c>
      <c r="K447" s="148">
        <v>4.2132999999999997E-2</v>
      </c>
      <c r="L447" s="103" t="s">
        <v>464</v>
      </c>
      <c r="M447" s="62">
        <v>9</v>
      </c>
      <c r="N447" s="149" t="s">
        <v>226</v>
      </c>
      <c r="O447" s="62">
        <v>2</v>
      </c>
      <c r="P447" s="149" t="s">
        <v>492</v>
      </c>
      <c r="Q447" s="62"/>
      <c r="R447" s="63"/>
      <c r="S447" s="62" t="s">
        <v>816</v>
      </c>
      <c r="T447" s="62"/>
      <c r="U447" s="62"/>
      <c r="V447" s="150">
        <v>5000000</v>
      </c>
      <c r="W447" s="150">
        <v>5210665</v>
      </c>
      <c r="X447" s="150">
        <v>-210665</v>
      </c>
    </row>
    <row r="448" spans="3:24" s="52" customFormat="1" x14ac:dyDescent="0.25">
      <c r="C448" s="101">
        <v>2017</v>
      </c>
      <c r="D448" s="62" t="s">
        <v>901</v>
      </c>
      <c r="E448" s="63" t="s">
        <v>902</v>
      </c>
      <c r="F448" s="64">
        <v>42774</v>
      </c>
      <c r="G448" s="65" t="s">
        <v>34</v>
      </c>
      <c r="H448" s="94">
        <v>970000</v>
      </c>
      <c r="I448" s="94">
        <v>756482</v>
      </c>
      <c r="J448" s="94"/>
      <c r="K448" s="148">
        <v>-0.22012164948453608</v>
      </c>
      <c r="L448" s="103" t="s">
        <v>464</v>
      </c>
      <c r="M448" s="62">
        <v>9</v>
      </c>
      <c r="N448" s="149" t="s">
        <v>25</v>
      </c>
      <c r="O448" s="62">
        <v>1</v>
      </c>
      <c r="P448" s="149" t="s">
        <v>458</v>
      </c>
      <c r="Q448" s="62"/>
      <c r="R448" s="63"/>
      <c r="S448" s="62" t="s">
        <v>616</v>
      </c>
      <c r="T448" s="62"/>
      <c r="U448" s="62"/>
      <c r="V448" s="150">
        <v>970000</v>
      </c>
      <c r="W448" s="150">
        <v>756482</v>
      </c>
      <c r="X448" s="150">
        <v>213518</v>
      </c>
    </row>
    <row r="449" spans="3:24" s="52" customFormat="1" x14ac:dyDescent="0.25">
      <c r="C449" s="101">
        <v>2017</v>
      </c>
      <c r="D449" s="62" t="s">
        <v>862</v>
      </c>
      <c r="E449" s="63" t="s">
        <v>863</v>
      </c>
      <c r="F449" s="64">
        <v>42759</v>
      </c>
      <c r="G449" s="65" t="s">
        <v>190</v>
      </c>
      <c r="H449" s="94">
        <v>69800000</v>
      </c>
      <c r="I449" s="94">
        <v>67107000</v>
      </c>
      <c r="J449" s="94" t="s">
        <v>519</v>
      </c>
      <c r="K449" s="148">
        <v>-3.8581661891117482E-2</v>
      </c>
      <c r="L449" s="103" t="s">
        <v>464</v>
      </c>
      <c r="M449" s="62">
        <v>9</v>
      </c>
      <c r="N449" s="149" t="s">
        <v>25</v>
      </c>
      <c r="O449" s="62">
        <v>1</v>
      </c>
      <c r="P449" s="149" t="s">
        <v>458</v>
      </c>
      <c r="Q449" s="62"/>
      <c r="R449" s="63"/>
      <c r="S449" s="62" t="s">
        <v>616</v>
      </c>
      <c r="T449" s="62"/>
      <c r="U449" s="62"/>
      <c r="V449" s="150">
        <v>69800000</v>
      </c>
      <c r="W449" s="150">
        <v>67107000</v>
      </c>
      <c r="X449" s="150">
        <v>2693000</v>
      </c>
    </row>
    <row r="450" spans="3:24" s="52" customFormat="1" x14ac:dyDescent="0.25">
      <c r="C450" s="101"/>
      <c r="L450" s="103"/>
      <c r="N450" s="103"/>
    </row>
    <row r="451" spans="3:24" s="52" customFormat="1" x14ac:dyDescent="0.25">
      <c r="C451" s="101"/>
      <c r="L451" s="103"/>
      <c r="N451" s="103"/>
    </row>
    <row r="452" spans="3:24" s="52" customFormat="1" x14ac:dyDescent="0.25">
      <c r="C452" s="101">
        <v>2017</v>
      </c>
      <c r="D452" s="62" t="str">
        <f>+'BP-694.510'!$F$4</f>
        <v>BP-694.510</v>
      </c>
      <c r="E452" s="63" t="str">
        <f>+'BP-694.510'!$F$5</f>
        <v>Brooklyn Pier 10 Concrete Girder Repairs</v>
      </c>
      <c r="F452" s="64">
        <f>+'BP-694.510'!$F$6</f>
        <v>42999</v>
      </c>
      <c r="G452" s="65" t="str">
        <f>+'BP-694.510'!$G$7</f>
        <v>Public</v>
      </c>
      <c r="H452" s="94">
        <f>+'BP-694.510'!$F$7</f>
        <v>1250000</v>
      </c>
      <c r="I452" s="94">
        <f>+'BP-694.510'!$F$8</f>
        <v>876947</v>
      </c>
      <c r="J452" s="94"/>
      <c r="K452" s="148">
        <f>+'BP-694.510'!$G$9</f>
        <v>-0.2984424</v>
      </c>
      <c r="L452" s="103" t="str">
        <f>+'BP-694.510'!$F$11</f>
        <v>GOOD</v>
      </c>
      <c r="M452" s="62">
        <f>+'BP-694.510'!$H$12</f>
        <v>13</v>
      </c>
      <c r="N452" s="149" t="s">
        <v>93</v>
      </c>
      <c r="O452" s="62">
        <v>3</v>
      </c>
      <c r="P452" s="149" t="s">
        <v>492</v>
      </c>
      <c r="Q452" s="62"/>
      <c r="R452" s="63"/>
      <c r="S452" s="62" t="str">
        <f>+'BP-694.510'!$J$4</f>
        <v>Ed Minall</v>
      </c>
      <c r="T452" s="62"/>
      <c r="U452" s="62"/>
      <c r="V452" s="150">
        <f t="shared" ref="V452:W456" si="13">+H452</f>
        <v>1250000</v>
      </c>
      <c r="W452" s="150">
        <f t="shared" si="13"/>
        <v>876947</v>
      </c>
      <c r="X452" s="150">
        <f>+V452-W452</f>
        <v>373053</v>
      </c>
    </row>
    <row r="453" spans="3:24" s="52" customFormat="1" x14ac:dyDescent="0.25">
      <c r="C453" s="101">
        <v>2017</v>
      </c>
      <c r="D453" s="62" t="str">
        <f>+'LGA-774.235'!$F$4</f>
        <v>LGA-774.235</v>
      </c>
      <c r="E453" s="63" t="str">
        <f>+'LGA-774.235'!$F$5</f>
        <v>Emergency Generators at Various Locations</v>
      </c>
      <c r="F453" s="64">
        <f>+'LGA-774.235'!$F$6</f>
        <v>42894</v>
      </c>
      <c r="G453" s="65" t="str">
        <f>+'LGA-774.235'!$G$7</f>
        <v>VVP</v>
      </c>
      <c r="H453" s="94">
        <f>+'LGA-774.235'!$F$7</f>
        <v>6445000</v>
      </c>
      <c r="I453" s="94">
        <f>+'LGA-774.235'!$F$8</f>
        <v>7166666</v>
      </c>
      <c r="J453" s="94" t="s">
        <v>519</v>
      </c>
      <c r="K453" s="148">
        <f>+'LGA-774.235'!$G$9</f>
        <v>0.11197300232738557</v>
      </c>
      <c r="L453" s="103" t="str">
        <f>+'LGA-774.235'!$F$11</f>
        <v>FAIL</v>
      </c>
      <c r="M453" s="62">
        <f>+'LGA-774.235'!$H$12</f>
        <v>11</v>
      </c>
      <c r="N453" s="149" t="s">
        <v>93</v>
      </c>
      <c r="O453" s="62">
        <v>2</v>
      </c>
      <c r="P453" s="149" t="s">
        <v>458</v>
      </c>
      <c r="Q453" s="62"/>
      <c r="R453" s="63"/>
      <c r="S453" s="62" t="str">
        <f>+'LGA-774.235'!$J$4</f>
        <v>Joe Lucin</v>
      </c>
      <c r="T453" s="62"/>
      <c r="U453" s="62"/>
      <c r="V453" s="150">
        <f t="shared" si="13"/>
        <v>6445000</v>
      </c>
      <c r="W453" s="150">
        <f t="shared" si="13"/>
        <v>7166666</v>
      </c>
      <c r="X453" s="150">
        <f>+V453-W453</f>
        <v>-721666</v>
      </c>
    </row>
    <row r="454" spans="3:24" s="52" customFormat="1" x14ac:dyDescent="0.25">
      <c r="C454" s="101">
        <v>2017</v>
      </c>
      <c r="D454" s="62" t="str">
        <f>+'JFK-154.019'!$F$4</f>
        <v>JFK-154.019</v>
      </c>
      <c r="E454" s="63" t="str">
        <f>+'JFK-154.019'!$F$5</f>
        <v>Install Gate/Check Valves for Exist Stormwater Outfalls 2-3-4-5-6</v>
      </c>
      <c r="F454" s="64">
        <f>+'JFK-154.019'!$F$6</f>
        <v>42880</v>
      </c>
      <c r="G454" s="65" t="str">
        <f>+'JFK-154.019'!$G$7</f>
        <v>Public</v>
      </c>
      <c r="H454" s="94">
        <f>+'JFK-154.019'!$F$7</f>
        <v>2850000</v>
      </c>
      <c r="I454" s="94">
        <f>+'JFK-154.019'!$F$8</f>
        <v>1808548</v>
      </c>
      <c r="J454" s="94"/>
      <c r="K454" s="148">
        <f>+'JFK-154.019'!$G$9</f>
        <v>-0.36542175438596491</v>
      </c>
      <c r="L454" s="103" t="str">
        <f>+'JFK-154.019'!$F$11</f>
        <v>FAIL</v>
      </c>
      <c r="M454" s="62">
        <f>+'JFK-154.019'!$H$12</f>
        <v>11</v>
      </c>
      <c r="N454" s="149" t="s">
        <v>93</v>
      </c>
      <c r="O454" s="62">
        <v>2</v>
      </c>
      <c r="P454" s="149" t="s">
        <v>458</v>
      </c>
      <c r="Q454" s="62"/>
      <c r="R454" s="63"/>
      <c r="S454" s="62" t="str">
        <f>+'JFK-154.019'!$J$4</f>
        <v>Wen Chang</v>
      </c>
      <c r="T454" s="62"/>
      <c r="U454" s="62"/>
      <c r="V454" s="150">
        <f t="shared" si="13"/>
        <v>2850000</v>
      </c>
      <c r="W454" s="150">
        <f t="shared" si="13"/>
        <v>1808548</v>
      </c>
      <c r="X454" s="150">
        <f>+V454-W454</f>
        <v>1041452</v>
      </c>
    </row>
    <row r="455" spans="3:24" s="52" customFormat="1" x14ac:dyDescent="0.25">
      <c r="C455" s="101">
        <v>2017</v>
      </c>
      <c r="D455" s="62" t="str">
        <f>+'TEB-144.045'!$F$4</f>
        <v>TEB-144.045</v>
      </c>
      <c r="E455" s="63" t="str">
        <f>+'TEB-144.045'!$F$5</f>
        <v>Storm Drainage System Rehab Phase 1</v>
      </c>
      <c r="F455" s="64">
        <f>+'TEB-144.045'!$F$6</f>
        <v>42780</v>
      </c>
      <c r="G455" s="65" t="str">
        <f>+'TEB-144.045'!$G$7</f>
        <v>Public</v>
      </c>
      <c r="H455" s="94">
        <f>+'TEB-144.045'!$F$7</f>
        <v>2580000</v>
      </c>
      <c r="I455" s="94">
        <f>+'TEB-144.045'!$F$8</f>
        <v>1386000</v>
      </c>
      <c r="J455" s="94"/>
      <c r="K455" s="148">
        <f>+'TEB-144.045'!$G$9</f>
        <v>-0.46279069767441861</v>
      </c>
      <c r="L455" s="103" t="str">
        <f>+'TEB-144.045'!$F$11</f>
        <v>GOOD</v>
      </c>
      <c r="M455" s="62">
        <f>+'TEB-144.045'!$H$12</f>
        <v>16</v>
      </c>
      <c r="N455" s="149" t="s">
        <v>25</v>
      </c>
      <c r="O455" s="62">
        <v>1</v>
      </c>
      <c r="P455" s="149" t="s">
        <v>458</v>
      </c>
      <c r="Q455" s="62"/>
      <c r="R455" s="63" t="s">
        <v>1020</v>
      </c>
      <c r="S455" s="62" t="str">
        <f>+'EWR-924.375'!$J$4</f>
        <v>Henry Yu</v>
      </c>
      <c r="T455" s="62"/>
      <c r="U455" s="62"/>
      <c r="V455" s="150">
        <f t="shared" si="13"/>
        <v>2580000</v>
      </c>
      <c r="W455" s="150">
        <f t="shared" si="13"/>
        <v>1386000</v>
      </c>
      <c r="X455" s="150">
        <f>+V455-W455</f>
        <v>1194000</v>
      </c>
    </row>
    <row r="456" spans="3:24" s="52" customFormat="1" x14ac:dyDescent="0.25">
      <c r="C456" s="101">
        <v>2017</v>
      </c>
      <c r="D456" s="62" t="str">
        <f>+'JFK-124.009'!$F$4</f>
        <v>JFK-124.009</v>
      </c>
      <c r="E456" s="63" t="str">
        <f>+'JFK-124.009'!$F$5</f>
        <v>Bldg 14 Roof Replacement, East Wing</v>
      </c>
      <c r="F456" s="64">
        <f>+'JFK-124.009'!$F$6</f>
        <v>42768</v>
      </c>
      <c r="G456" s="65" t="str">
        <f>+'JFK-124.009'!$G$7</f>
        <v>Public</v>
      </c>
      <c r="H456" s="94">
        <f>+'JFK-124.009'!$F$7</f>
        <v>4800000</v>
      </c>
      <c r="I456" s="94">
        <f>+'JFK-124.009'!$F$8</f>
        <v>3901193</v>
      </c>
      <c r="J456" s="94"/>
      <c r="K456" s="148">
        <f>+'JFK-124.009'!$G$9</f>
        <v>-0.18725145833333334</v>
      </c>
      <c r="L456" s="103" t="str">
        <f>+'JFK-124.009'!$F$11</f>
        <v>GOOD</v>
      </c>
      <c r="M456" s="62">
        <f>+'JFK-124.009'!$H$12</f>
        <v>14</v>
      </c>
      <c r="N456" s="149" t="s">
        <v>93</v>
      </c>
      <c r="O456" s="62">
        <v>1</v>
      </c>
      <c r="P456" s="149" t="s">
        <v>458</v>
      </c>
      <c r="Q456" s="62"/>
      <c r="R456" s="63"/>
      <c r="S456" s="62" t="str">
        <f>+'JFK-124.009'!$J$4</f>
        <v>Henry Yu</v>
      </c>
      <c r="T456" s="62"/>
      <c r="U456" s="62"/>
      <c r="V456" s="150">
        <f t="shared" si="13"/>
        <v>4800000</v>
      </c>
      <c r="W456" s="150">
        <f t="shared" si="13"/>
        <v>3901193</v>
      </c>
      <c r="X456" s="150">
        <f>+V456-W456</f>
        <v>898807</v>
      </c>
    </row>
    <row r="457" spans="3:24" s="52" customFormat="1" x14ac:dyDescent="0.25">
      <c r="C457" s="101"/>
      <c r="N457" s="103"/>
    </row>
    <row r="458" spans="3:24" x14ac:dyDescent="0.25">
      <c r="C458" s="39"/>
    </row>
    <row r="459" spans="3:24" x14ac:dyDescent="0.25">
      <c r="C459" s="39"/>
      <c r="K459" s="11"/>
    </row>
    <row r="460" spans="3:24" x14ac:dyDescent="0.25">
      <c r="C460" s="39"/>
    </row>
    <row r="461" spans="3:24" x14ac:dyDescent="0.25">
      <c r="C461" s="39"/>
      <c r="E461" s="153" t="s">
        <v>1194</v>
      </c>
      <c r="F461" s="154" t="s">
        <v>1193</v>
      </c>
      <c r="G461" s="154" t="s">
        <v>39</v>
      </c>
      <c r="H461" s="155" t="s">
        <v>842</v>
      </c>
    </row>
    <row r="462" spans="3:24" x14ac:dyDescent="0.25">
      <c r="C462" s="39"/>
      <c r="E462" s="156" t="s">
        <v>1183</v>
      </c>
      <c r="F462" s="157">
        <f>H462/G462</f>
        <v>0</v>
      </c>
      <c r="G462" s="151">
        <v>1</v>
      </c>
      <c r="H462" s="152">
        <v>0</v>
      </c>
    </row>
    <row r="463" spans="3:24" x14ac:dyDescent="0.25">
      <c r="C463" s="39"/>
      <c r="E463" s="156" t="s">
        <v>1184</v>
      </c>
      <c r="F463" s="157">
        <f t="shared" ref="F463:F471" si="14">H463/G463</f>
        <v>0.5</v>
      </c>
      <c r="G463" s="151">
        <f>COUNTA(L377:L384)</f>
        <v>8</v>
      </c>
      <c r="H463" s="152">
        <v>4</v>
      </c>
    </row>
    <row r="464" spans="3:24" x14ac:dyDescent="0.25">
      <c r="C464" s="39"/>
      <c r="E464" s="156" t="s">
        <v>1185</v>
      </c>
      <c r="F464" s="157">
        <f t="shared" si="14"/>
        <v>0.6428571428571429</v>
      </c>
      <c r="G464" s="151">
        <f>COUNTA(L387:L400)</f>
        <v>14</v>
      </c>
      <c r="H464" s="152">
        <v>9</v>
      </c>
    </row>
    <row r="465" spans="2:24" x14ac:dyDescent="0.25">
      <c r="C465" s="39"/>
      <c r="E465" s="156" t="s">
        <v>1186</v>
      </c>
      <c r="F465" s="157">
        <f t="shared" si="14"/>
        <v>0.625</v>
      </c>
      <c r="G465" s="151">
        <f>COUNTA(L403:L410)</f>
        <v>8</v>
      </c>
      <c r="H465" s="152">
        <v>5</v>
      </c>
    </row>
    <row r="466" spans="2:24" x14ac:dyDescent="0.25">
      <c r="C466" s="39"/>
      <c r="E466" s="156" t="s">
        <v>1187</v>
      </c>
      <c r="F466" s="157">
        <f t="shared" si="14"/>
        <v>0.44444444444444442</v>
      </c>
      <c r="G466" s="151">
        <f>COUNTA(L413:L421)</f>
        <v>9</v>
      </c>
      <c r="H466" s="152">
        <v>4</v>
      </c>
    </row>
    <row r="467" spans="2:24" x14ac:dyDescent="0.25">
      <c r="C467" s="39"/>
      <c r="E467" s="156" t="s">
        <v>1188</v>
      </c>
      <c r="F467" s="157">
        <f t="shared" si="14"/>
        <v>0.625</v>
      </c>
      <c r="G467" s="151">
        <f>COUNTA(L424:L431)</f>
        <v>8</v>
      </c>
      <c r="H467" s="152">
        <v>5</v>
      </c>
    </row>
    <row r="468" spans="2:24" x14ac:dyDescent="0.25">
      <c r="C468" s="39"/>
      <c r="E468" s="156" t="s">
        <v>1189</v>
      </c>
      <c r="F468" s="157">
        <f t="shared" si="14"/>
        <v>1</v>
      </c>
      <c r="G468" s="151">
        <f>COUNTA(L434:L437)</f>
        <v>4</v>
      </c>
      <c r="H468" s="152">
        <v>4</v>
      </c>
    </row>
    <row r="469" spans="2:24" x14ac:dyDescent="0.25">
      <c r="C469" s="39"/>
      <c r="E469" s="156" t="s">
        <v>1190</v>
      </c>
      <c r="F469" s="157">
        <f t="shared" si="14"/>
        <v>1</v>
      </c>
      <c r="G469" s="151">
        <f>COUNTA(L440:L442)</f>
        <v>3</v>
      </c>
      <c r="H469" s="152">
        <v>3</v>
      </c>
    </row>
    <row r="470" spans="2:24" x14ac:dyDescent="0.25">
      <c r="C470" s="39"/>
      <c r="E470" s="156" t="s">
        <v>1191</v>
      </c>
      <c r="F470" s="157">
        <f t="shared" si="14"/>
        <v>1</v>
      </c>
      <c r="G470" s="151">
        <f>COUNTA(L445:L449)</f>
        <v>5</v>
      </c>
      <c r="H470" s="152">
        <v>5</v>
      </c>
    </row>
    <row r="471" spans="2:24" x14ac:dyDescent="0.25">
      <c r="C471" s="39"/>
      <c r="E471" s="156" t="s">
        <v>1192</v>
      </c>
      <c r="F471" s="157">
        <f t="shared" si="14"/>
        <v>0.6</v>
      </c>
      <c r="G471" s="151">
        <f>COUNTA(L452:L456)</f>
        <v>5</v>
      </c>
      <c r="H471" s="152">
        <v>3</v>
      </c>
      <c r="K471" s="52"/>
    </row>
    <row r="472" spans="2:24" x14ac:dyDescent="0.25">
      <c r="C472" s="39"/>
      <c r="K472" s="52"/>
    </row>
    <row r="473" spans="2:24" x14ac:dyDescent="0.25">
      <c r="C473" s="39"/>
      <c r="K473" s="52"/>
    </row>
    <row r="474" spans="2:24" x14ac:dyDescent="0.25">
      <c r="C474" s="39"/>
    </row>
    <row r="475" spans="2:24" x14ac:dyDescent="0.25">
      <c r="C475" s="39"/>
    </row>
    <row r="476" spans="2:24" x14ac:dyDescent="0.25">
      <c r="B476" s="134"/>
      <c r="C476" s="135"/>
      <c r="D476" s="134"/>
      <c r="E476" s="134"/>
      <c r="F476" s="134"/>
      <c r="G476" s="134"/>
      <c r="H476" s="134"/>
      <c r="I476" s="134"/>
      <c r="J476" s="134"/>
      <c r="K476" s="134"/>
      <c r="L476" s="134"/>
      <c r="M476" s="134"/>
      <c r="N476" s="136"/>
      <c r="O476" s="134"/>
      <c r="P476" s="134"/>
      <c r="Q476" s="134"/>
      <c r="R476" s="134"/>
      <c r="S476" s="134"/>
    </row>
    <row r="477" spans="2:24" x14ac:dyDescent="0.25">
      <c r="C477" s="39"/>
    </row>
    <row r="478" spans="2:24" x14ac:dyDescent="0.25">
      <c r="C478" s="39"/>
    </row>
    <row r="479" spans="2:24" x14ac:dyDescent="0.25">
      <c r="C479" s="39"/>
    </row>
    <row r="480" spans="2:24" x14ac:dyDescent="0.25">
      <c r="C480" s="39">
        <v>2017</v>
      </c>
      <c r="D480" s="102" t="s">
        <v>1159</v>
      </c>
      <c r="E480" s="63" t="s">
        <v>1154</v>
      </c>
      <c r="F480" s="64">
        <v>43088</v>
      </c>
      <c r="G480" s="65" t="s">
        <v>693</v>
      </c>
      <c r="H480" s="94">
        <v>795000</v>
      </c>
      <c r="I480" s="27">
        <v>353700</v>
      </c>
      <c r="J480" s="27"/>
      <c r="K480" s="26">
        <v>-0.55509433962264154</v>
      </c>
      <c r="L480" s="11" t="s">
        <v>464</v>
      </c>
      <c r="M480" s="15">
        <v>8</v>
      </c>
      <c r="N480" s="35" t="s">
        <v>226</v>
      </c>
      <c r="O480" s="15">
        <v>4</v>
      </c>
      <c r="P480" s="35" t="s">
        <v>457</v>
      </c>
      <c r="Q480" s="15"/>
      <c r="R480" s="24"/>
      <c r="S480" s="62" t="s">
        <v>1153</v>
      </c>
      <c r="T480" s="15"/>
      <c r="U480" s="15"/>
      <c r="V480" s="54">
        <v>795000</v>
      </c>
      <c r="W480" s="54">
        <v>353700</v>
      </c>
      <c r="X480" s="54">
        <v>441300</v>
      </c>
    </row>
    <row r="481" spans="3:24" x14ac:dyDescent="0.25">
      <c r="C481" s="39">
        <v>2017</v>
      </c>
      <c r="D481" s="102" t="s">
        <v>1150</v>
      </c>
      <c r="E481" s="63" t="s">
        <v>1151</v>
      </c>
      <c r="F481" s="64">
        <v>43083</v>
      </c>
      <c r="G481" s="65" t="s">
        <v>693</v>
      </c>
      <c r="H481" s="94">
        <v>979000</v>
      </c>
      <c r="I481" s="27">
        <v>1168000</v>
      </c>
      <c r="J481" s="27"/>
      <c r="K481" s="26">
        <v>0.1930541368743616</v>
      </c>
      <c r="L481" s="11" t="s">
        <v>465</v>
      </c>
      <c r="M481" s="15">
        <v>2</v>
      </c>
      <c r="N481" s="35" t="s">
        <v>25</v>
      </c>
      <c r="O481" s="15">
        <v>4</v>
      </c>
      <c r="P481" s="35" t="s">
        <v>458</v>
      </c>
      <c r="Q481" s="15"/>
      <c r="R481" s="24"/>
      <c r="S481" s="62" t="s">
        <v>784</v>
      </c>
      <c r="T481" s="15"/>
      <c r="U481" s="15"/>
      <c r="V481" s="54">
        <v>979000</v>
      </c>
      <c r="W481" s="54">
        <v>1168000</v>
      </c>
      <c r="X481" s="54">
        <v>-189000</v>
      </c>
    </row>
    <row r="482" spans="3:24" x14ac:dyDescent="0.25">
      <c r="C482" s="39">
        <v>2017</v>
      </c>
      <c r="D482" s="62" t="s">
        <v>1124</v>
      </c>
      <c r="E482" s="63" t="s">
        <v>1125</v>
      </c>
      <c r="F482" s="64">
        <v>43053</v>
      </c>
      <c r="G482" s="65" t="s">
        <v>693</v>
      </c>
      <c r="H482" s="94">
        <v>820000</v>
      </c>
      <c r="I482" s="27">
        <v>861500</v>
      </c>
      <c r="J482" s="27"/>
      <c r="K482" s="26">
        <v>5.0609756097560979E-2</v>
      </c>
      <c r="L482" s="11" t="s">
        <v>464</v>
      </c>
      <c r="M482" s="15">
        <v>4</v>
      </c>
      <c r="N482" s="35" t="s">
        <v>25</v>
      </c>
      <c r="O482" s="15">
        <v>4</v>
      </c>
      <c r="P482" s="35" t="s">
        <v>458</v>
      </c>
      <c r="Q482" s="15"/>
      <c r="R482" s="24"/>
      <c r="S482" s="62" t="s">
        <v>616</v>
      </c>
      <c r="T482" s="15"/>
      <c r="U482" s="15"/>
      <c r="V482" s="54">
        <v>820000</v>
      </c>
      <c r="W482" s="54">
        <v>861500</v>
      </c>
      <c r="X482" s="54">
        <v>-41500</v>
      </c>
    </row>
    <row r="483" spans="3:24" x14ac:dyDescent="0.25">
      <c r="C483" s="39">
        <v>2017</v>
      </c>
      <c r="D483" s="62" t="s">
        <v>1091</v>
      </c>
      <c r="E483" s="63" t="s">
        <v>1092</v>
      </c>
      <c r="F483" s="64">
        <v>43006</v>
      </c>
      <c r="G483" s="65" t="s">
        <v>693</v>
      </c>
      <c r="H483" s="94">
        <v>609000</v>
      </c>
      <c r="I483" s="27">
        <v>579300</v>
      </c>
      <c r="J483" s="27"/>
      <c r="K483" s="26">
        <v>-4.8768472906403938E-2</v>
      </c>
      <c r="L483" s="11" t="s">
        <v>464</v>
      </c>
      <c r="M483" s="15">
        <v>4</v>
      </c>
      <c r="N483" s="35" t="s">
        <v>226</v>
      </c>
      <c r="O483" s="15">
        <v>3</v>
      </c>
      <c r="P483" s="35" t="s">
        <v>457</v>
      </c>
      <c r="Q483" s="15"/>
      <c r="R483" s="24"/>
      <c r="S483" s="62" t="s">
        <v>962</v>
      </c>
      <c r="T483" s="15"/>
      <c r="U483" s="15"/>
      <c r="V483" s="54">
        <v>609000</v>
      </c>
      <c r="W483" s="54">
        <v>579300</v>
      </c>
      <c r="X483" s="54">
        <v>29700</v>
      </c>
    </row>
    <row r="484" spans="3:24" x14ac:dyDescent="0.25">
      <c r="C484" s="101">
        <v>2017</v>
      </c>
      <c r="D484" s="62" t="s">
        <v>1038</v>
      </c>
      <c r="E484" s="63" t="s">
        <v>1039</v>
      </c>
      <c r="F484" s="64">
        <v>42901</v>
      </c>
      <c r="G484" s="65" t="s">
        <v>693</v>
      </c>
      <c r="H484" s="94">
        <v>850000</v>
      </c>
      <c r="I484" s="27">
        <v>887000</v>
      </c>
      <c r="J484" s="27"/>
      <c r="K484" s="26">
        <v>4.3529411764705879E-2</v>
      </c>
      <c r="L484" s="11" t="s">
        <v>464</v>
      </c>
      <c r="M484" s="15">
        <v>3</v>
      </c>
      <c r="N484" s="35" t="s">
        <v>25</v>
      </c>
      <c r="O484" s="15">
        <v>2</v>
      </c>
      <c r="P484" s="35" t="s">
        <v>458</v>
      </c>
      <c r="Q484" s="15"/>
      <c r="R484" s="24"/>
      <c r="S484" s="62" t="s">
        <v>616</v>
      </c>
      <c r="T484" s="15"/>
      <c r="U484" s="15"/>
      <c r="V484" s="54">
        <v>850000</v>
      </c>
      <c r="W484" s="54">
        <v>887000</v>
      </c>
      <c r="X484" s="54">
        <v>-37000</v>
      </c>
    </row>
    <row r="485" spans="3:24" x14ac:dyDescent="0.25">
      <c r="C485" s="39">
        <v>2017</v>
      </c>
      <c r="D485" s="62" t="s">
        <v>1025</v>
      </c>
      <c r="E485" s="63" t="s">
        <v>1026</v>
      </c>
      <c r="F485" s="64">
        <v>42893</v>
      </c>
      <c r="G485" s="65" t="s">
        <v>693</v>
      </c>
      <c r="H485" s="94">
        <v>650000</v>
      </c>
      <c r="I485" s="27">
        <v>865508</v>
      </c>
      <c r="J485" s="27"/>
      <c r="K485" s="26">
        <v>0.3315507692307692</v>
      </c>
      <c r="L485" s="11" t="s">
        <v>465</v>
      </c>
      <c r="M485" s="15">
        <v>3</v>
      </c>
      <c r="N485" s="35" t="s">
        <v>25</v>
      </c>
      <c r="O485" s="15">
        <v>2</v>
      </c>
      <c r="P485" s="35" t="s">
        <v>458</v>
      </c>
      <c r="Q485" s="15"/>
      <c r="R485" s="24"/>
      <c r="S485" s="62" t="s">
        <v>616</v>
      </c>
      <c r="T485" s="15"/>
      <c r="U485" s="15"/>
      <c r="V485" s="54">
        <v>650000</v>
      </c>
      <c r="W485" s="54">
        <v>865508</v>
      </c>
      <c r="X485" s="54">
        <v>-215508</v>
      </c>
    </row>
    <row r="486" spans="3:24" x14ac:dyDescent="0.25">
      <c r="C486" s="39">
        <v>2017</v>
      </c>
      <c r="D486" s="62" t="s">
        <v>1023</v>
      </c>
      <c r="E486" s="63" t="s">
        <v>1024</v>
      </c>
      <c r="F486" s="64">
        <v>42893</v>
      </c>
      <c r="G486" s="65" t="s">
        <v>693</v>
      </c>
      <c r="H486" s="94">
        <v>1070000</v>
      </c>
      <c r="I486" s="27">
        <v>758000</v>
      </c>
      <c r="J486" s="27"/>
      <c r="K486" s="26">
        <v>-0.29158878504672897</v>
      </c>
      <c r="L486" s="11" t="s">
        <v>465</v>
      </c>
      <c r="M486" s="15">
        <v>5</v>
      </c>
      <c r="N486" s="35" t="s">
        <v>25</v>
      </c>
      <c r="O486" s="15">
        <v>2</v>
      </c>
      <c r="P486" s="35" t="s">
        <v>458</v>
      </c>
      <c r="Q486" s="15"/>
      <c r="R486" s="24"/>
      <c r="S486" s="62" t="s">
        <v>616</v>
      </c>
      <c r="T486" s="15"/>
      <c r="U486" s="15"/>
      <c r="V486" s="54">
        <v>1070000</v>
      </c>
      <c r="W486" s="54">
        <v>758000</v>
      </c>
      <c r="X486" s="54">
        <v>312000</v>
      </c>
    </row>
    <row r="487" spans="3:24" x14ac:dyDescent="0.25">
      <c r="C487" s="39">
        <v>2017</v>
      </c>
      <c r="D487" s="62" t="s">
        <v>989</v>
      </c>
      <c r="E487" s="63" t="s">
        <v>879</v>
      </c>
      <c r="F487" s="64">
        <v>42845</v>
      </c>
      <c r="G487" s="65" t="s">
        <v>693</v>
      </c>
      <c r="H487" s="94">
        <v>2625000</v>
      </c>
      <c r="I487" s="27">
        <v>2472675</v>
      </c>
      <c r="J487" s="27"/>
      <c r="K487" s="26">
        <v>-5.8028571428571429E-2</v>
      </c>
      <c r="L487" s="11" t="s">
        <v>464</v>
      </c>
      <c r="M487" s="15">
        <v>6</v>
      </c>
      <c r="N487" s="35" t="s">
        <v>25</v>
      </c>
      <c r="O487" s="15">
        <v>2</v>
      </c>
      <c r="P487" s="35" t="s">
        <v>492</v>
      </c>
      <c r="Q487" s="15"/>
      <c r="R487" s="24"/>
      <c r="S487" s="62" t="s">
        <v>816</v>
      </c>
      <c r="T487" s="15"/>
      <c r="U487" s="15"/>
      <c r="V487" s="54">
        <v>2625000</v>
      </c>
      <c r="W487" s="54">
        <v>2472675</v>
      </c>
      <c r="X487" s="54">
        <v>152325</v>
      </c>
    </row>
    <row r="488" spans="3:24" x14ac:dyDescent="0.25">
      <c r="C488" s="39">
        <v>2017</v>
      </c>
      <c r="D488" s="62" t="s">
        <v>956</v>
      </c>
      <c r="E488" s="63" t="s">
        <v>957</v>
      </c>
      <c r="F488" s="64">
        <v>42810</v>
      </c>
      <c r="G488" s="65" t="s">
        <v>693</v>
      </c>
      <c r="H488" s="27">
        <v>1425000</v>
      </c>
      <c r="I488" s="27">
        <v>1087425</v>
      </c>
      <c r="J488" s="27"/>
      <c r="K488" s="26">
        <v>-0.23689473684210527</v>
      </c>
      <c r="L488" s="11" t="s">
        <v>464</v>
      </c>
      <c r="M488" s="15">
        <v>6</v>
      </c>
      <c r="N488" s="35" t="s">
        <v>93</v>
      </c>
      <c r="O488" s="15">
        <v>1</v>
      </c>
      <c r="P488" s="35" t="s">
        <v>492</v>
      </c>
      <c r="Q488" s="15"/>
      <c r="R488" s="24"/>
      <c r="S488" s="62" t="s">
        <v>816</v>
      </c>
      <c r="T488" s="15"/>
      <c r="U488" s="15"/>
      <c r="V488" s="54">
        <v>1425000</v>
      </c>
      <c r="W488" s="54">
        <v>1087425</v>
      </c>
      <c r="X488" s="54">
        <v>337575</v>
      </c>
    </row>
    <row r="489" spans="3:24" x14ac:dyDescent="0.25">
      <c r="C489" s="39">
        <v>2017</v>
      </c>
      <c r="D489" s="62" t="s">
        <v>941</v>
      </c>
      <c r="E489" s="63" t="s">
        <v>940</v>
      </c>
      <c r="F489" s="64">
        <v>42789</v>
      </c>
      <c r="G489" s="65" t="s">
        <v>693</v>
      </c>
      <c r="H489" s="27">
        <v>240000</v>
      </c>
      <c r="I489" s="27">
        <v>97300</v>
      </c>
      <c r="J489" s="27"/>
      <c r="K489" s="26">
        <v>-0.59458333333333335</v>
      </c>
      <c r="L489" s="11" t="s">
        <v>465</v>
      </c>
      <c r="M489" s="15">
        <v>6</v>
      </c>
      <c r="N489" s="35" t="s">
        <v>25</v>
      </c>
      <c r="O489" s="15">
        <v>1</v>
      </c>
      <c r="P489" s="35" t="s">
        <v>457</v>
      </c>
      <c r="Q489" s="15"/>
      <c r="R489" s="24"/>
      <c r="S489" s="62" t="s">
        <v>630</v>
      </c>
      <c r="T489" s="15"/>
      <c r="U489" s="15"/>
      <c r="V489" s="54">
        <v>240000</v>
      </c>
      <c r="W489" s="54">
        <v>97300</v>
      </c>
      <c r="X489" s="54">
        <v>142700</v>
      </c>
    </row>
    <row r="490" spans="3:24" x14ac:dyDescent="0.25">
      <c r="C490" s="39">
        <v>2017</v>
      </c>
      <c r="D490" s="62" t="s">
        <v>857</v>
      </c>
      <c r="E490" s="63" t="s">
        <v>858</v>
      </c>
      <c r="F490" s="64">
        <v>42753</v>
      </c>
      <c r="G490" s="65" t="s">
        <v>693</v>
      </c>
      <c r="H490" s="94">
        <v>1410000</v>
      </c>
      <c r="I490" s="27">
        <v>1399756</v>
      </c>
      <c r="J490" s="27"/>
      <c r="K490" s="26">
        <v>-7.2652482269503545E-3</v>
      </c>
      <c r="L490" s="11" t="s">
        <v>464</v>
      </c>
      <c r="M490" s="15">
        <v>3</v>
      </c>
      <c r="N490" s="35" t="s">
        <v>25</v>
      </c>
      <c r="O490" s="15">
        <v>1</v>
      </c>
      <c r="P490" s="35" t="s">
        <v>457</v>
      </c>
      <c r="Q490" s="15"/>
      <c r="R490" s="24"/>
      <c r="S490" s="62" t="s">
        <v>630</v>
      </c>
      <c r="T490" s="15"/>
      <c r="U490" s="15"/>
      <c r="V490" s="54">
        <v>1410000</v>
      </c>
      <c r="W490" s="54">
        <v>1399756</v>
      </c>
      <c r="X490" s="54">
        <v>10244</v>
      </c>
    </row>
    <row r="491" spans="3:24" x14ac:dyDescent="0.25">
      <c r="C491" s="39"/>
    </row>
    <row r="492" spans="3:24" x14ac:dyDescent="0.25">
      <c r="C492" s="39"/>
    </row>
    <row r="493" spans="3:24" x14ac:dyDescent="0.25">
      <c r="C493" s="39"/>
    </row>
    <row r="494" spans="3:24" x14ac:dyDescent="0.25">
      <c r="C494" s="39">
        <v>2017</v>
      </c>
      <c r="D494" s="102" t="s">
        <v>1145</v>
      </c>
      <c r="E494" s="63" t="s">
        <v>1146</v>
      </c>
      <c r="F494" s="64">
        <v>43083</v>
      </c>
      <c r="G494" s="65" t="s">
        <v>190</v>
      </c>
      <c r="H494" s="94">
        <v>4872000</v>
      </c>
      <c r="I494" s="27">
        <v>3997350</v>
      </c>
      <c r="J494" s="27"/>
      <c r="K494" s="26">
        <v>-0.17952586206896551</v>
      </c>
      <c r="L494" s="11" t="s">
        <v>464</v>
      </c>
      <c r="M494" s="15">
        <v>5</v>
      </c>
      <c r="N494" s="35" t="s">
        <v>93</v>
      </c>
      <c r="O494" s="15">
        <v>4</v>
      </c>
      <c r="P494" s="35" t="s">
        <v>458</v>
      </c>
      <c r="Q494" s="15"/>
      <c r="R494" s="24"/>
      <c r="S494" s="62" t="s">
        <v>784</v>
      </c>
      <c r="T494" s="15"/>
      <c r="U494" s="15"/>
      <c r="V494" s="54">
        <v>4872000</v>
      </c>
      <c r="W494" s="54">
        <v>3997350</v>
      </c>
      <c r="X494" s="54">
        <v>874650</v>
      </c>
    </row>
    <row r="495" spans="3:24" x14ac:dyDescent="0.25">
      <c r="C495" s="39">
        <v>2017</v>
      </c>
      <c r="D495" s="62" t="s">
        <v>1116</v>
      </c>
      <c r="E495" s="63" t="s">
        <v>1117</v>
      </c>
      <c r="F495" s="64">
        <v>43047</v>
      </c>
      <c r="G495" s="65" t="s">
        <v>190</v>
      </c>
      <c r="H495" s="94">
        <v>26900000</v>
      </c>
      <c r="I495" s="27">
        <v>26600000</v>
      </c>
      <c r="J495" s="27" t="s">
        <v>519</v>
      </c>
      <c r="K495" s="26">
        <v>-1.1152416356877323E-2</v>
      </c>
      <c r="L495" s="11" t="s">
        <v>464</v>
      </c>
      <c r="M495" s="15">
        <v>3</v>
      </c>
      <c r="N495" s="35" t="s">
        <v>25</v>
      </c>
      <c r="O495" s="15">
        <v>4</v>
      </c>
      <c r="P495" s="35" t="s">
        <v>458</v>
      </c>
      <c r="Q495" s="15"/>
      <c r="R495" s="24"/>
      <c r="S495" s="62" t="s">
        <v>616</v>
      </c>
      <c r="T495" s="15"/>
      <c r="U495" s="15"/>
      <c r="V495" s="54">
        <v>26900000</v>
      </c>
      <c r="W495" s="54">
        <v>26600000</v>
      </c>
      <c r="X495" s="54">
        <v>300000</v>
      </c>
    </row>
    <row r="496" spans="3:24" x14ac:dyDescent="0.25">
      <c r="C496" s="39">
        <v>2017</v>
      </c>
      <c r="D496" s="62" t="s">
        <v>1084</v>
      </c>
      <c r="E496" s="63" t="s">
        <v>1085</v>
      </c>
      <c r="F496" s="64">
        <v>43004</v>
      </c>
      <c r="G496" s="65" t="s">
        <v>190</v>
      </c>
      <c r="H496" s="94">
        <v>189900000</v>
      </c>
      <c r="I496" s="27">
        <v>154487000</v>
      </c>
      <c r="J496" s="27" t="s">
        <v>519</v>
      </c>
      <c r="K496" s="26">
        <v>-0.18648235913638758</v>
      </c>
      <c r="L496" s="11" t="s">
        <v>464</v>
      </c>
      <c r="M496" s="15">
        <v>5</v>
      </c>
      <c r="N496" s="35" t="s">
        <v>93</v>
      </c>
      <c r="O496" s="15">
        <v>3</v>
      </c>
      <c r="P496" s="35" t="s">
        <v>457</v>
      </c>
      <c r="Q496" s="15"/>
      <c r="R496" s="24"/>
      <c r="S496" s="62" t="s">
        <v>816</v>
      </c>
      <c r="T496" s="15"/>
      <c r="U496" s="15"/>
      <c r="V496" s="54">
        <v>189900000</v>
      </c>
      <c r="W496" s="54">
        <v>154487000</v>
      </c>
      <c r="X496" s="54">
        <v>35413000</v>
      </c>
    </row>
    <row r="497" spans="3:24" x14ac:dyDescent="0.25">
      <c r="C497" s="39">
        <v>2017</v>
      </c>
      <c r="D497" s="62" t="s">
        <v>1068</v>
      </c>
      <c r="E497" s="63" t="s">
        <v>1069</v>
      </c>
      <c r="F497" s="64">
        <v>42964</v>
      </c>
      <c r="G497" s="65" t="s">
        <v>190</v>
      </c>
      <c r="H497" s="94">
        <v>8500000</v>
      </c>
      <c r="I497" s="27">
        <v>5682000</v>
      </c>
      <c r="J497" s="104" t="s">
        <v>519</v>
      </c>
      <c r="K497" s="26">
        <v>-0.33152941176470591</v>
      </c>
      <c r="L497" s="11" t="s">
        <v>465</v>
      </c>
      <c r="M497" s="15">
        <v>3</v>
      </c>
      <c r="N497" s="35" t="s">
        <v>25</v>
      </c>
      <c r="O497" s="15">
        <v>3</v>
      </c>
      <c r="P497" s="35" t="s">
        <v>458</v>
      </c>
      <c r="Q497" s="15"/>
      <c r="R497" s="24"/>
      <c r="S497" s="62" t="s">
        <v>616</v>
      </c>
      <c r="T497" s="15"/>
      <c r="U497" s="15"/>
      <c r="V497" s="54">
        <v>8500000</v>
      </c>
      <c r="W497" s="54">
        <v>5682000</v>
      </c>
      <c r="X497" s="54">
        <v>2818000</v>
      </c>
    </row>
    <row r="498" spans="3:24" x14ac:dyDescent="0.25">
      <c r="C498" s="39">
        <v>2017</v>
      </c>
      <c r="D498" s="62" t="s">
        <v>1060</v>
      </c>
      <c r="E498" s="63" t="s">
        <v>1061</v>
      </c>
      <c r="F498" s="64">
        <v>42950</v>
      </c>
      <c r="G498" s="65" t="s">
        <v>190</v>
      </c>
      <c r="H498" s="94">
        <v>13720000</v>
      </c>
      <c r="I498" s="27">
        <v>11539200</v>
      </c>
      <c r="J498" s="27" t="s">
        <v>519</v>
      </c>
      <c r="K498" s="26">
        <v>-0.15895043731778424</v>
      </c>
      <c r="L498" s="11" t="s">
        <v>464</v>
      </c>
      <c r="M498" s="15">
        <v>4</v>
      </c>
      <c r="N498" s="35" t="s">
        <v>25</v>
      </c>
      <c r="O498" s="15">
        <v>3</v>
      </c>
      <c r="P498" s="35" t="s">
        <v>492</v>
      </c>
      <c r="Q498" s="15"/>
      <c r="R498" s="24"/>
      <c r="S498" s="62" t="s">
        <v>816</v>
      </c>
      <c r="T498" s="15"/>
      <c r="U498" s="15"/>
      <c r="V498" s="54">
        <v>13720000</v>
      </c>
      <c r="W498" s="54">
        <v>11539200</v>
      </c>
      <c r="X498" s="54">
        <v>2180800</v>
      </c>
    </row>
    <row r="499" spans="3:24" x14ac:dyDescent="0.25">
      <c r="C499" s="101">
        <v>2017</v>
      </c>
      <c r="D499" s="62" t="s">
        <v>1042</v>
      </c>
      <c r="E499" s="63" t="s">
        <v>1043</v>
      </c>
      <c r="F499" s="64">
        <v>42913</v>
      </c>
      <c r="G499" s="65" t="s">
        <v>190</v>
      </c>
      <c r="H499" s="94">
        <v>1480000</v>
      </c>
      <c r="I499" s="27">
        <v>1483000</v>
      </c>
      <c r="J499" s="27"/>
      <c r="K499" s="26">
        <v>2.0270270270270271E-3</v>
      </c>
      <c r="L499" s="11" t="s">
        <v>464</v>
      </c>
      <c r="M499" s="15">
        <v>7</v>
      </c>
      <c r="N499" s="35" t="s">
        <v>25</v>
      </c>
      <c r="O499" s="15">
        <v>2</v>
      </c>
      <c r="P499" s="35" t="s">
        <v>459</v>
      </c>
      <c r="Q499" s="15"/>
      <c r="R499" s="24"/>
      <c r="S499" s="62" t="s">
        <v>447</v>
      </c>
      <c r="T499" s="15"/>
      <c r="U499" s="15"/>
      <c r="V499" s="54">
        <v>1480000</v>
      </c>
      <c r="W499" s="54">
        <v>1483000</v>
      </c>
      <c r="X499" s="54">
        <v>-3000</v>
      </c>
    </row>
    <row r="500" spans="3:24" x14ac:dyDescent="0.25">
      <c r="C500" s="39">
        <v>2017</v>
      </c>
      <c r="D500" s="62" t="s">
        <v>995</v>
      </c>
      <c r="E500" s="63" t="s">
        <v>632</v>
      </c>
      <c r="F500" s="64">
        <v>42851</v>
      </c>
      <c r="G500" s="65" t="s">
        <v>190</v>
      </c>
      <c r="H500" s="94">
        <v>3589000</v>
      </c>
      <c r="I500" s="27">
        <v>3875045</v>
      </c>
      <c r="J500" s="27"/>
      <c r="K500" s="26">
        <v>7.9700473669545829E-2</v>
      </c>
      <c r="L500" s="11" t="s">
        <v>464</v>
      </c>
      <c r="M500" s="15">
        <v>3</v>
      </c>
      <c r="N500" s="35" t="s">
        <v>93</v>
      </c>
      <c r="O500" s="15">
        <v>2</v>
      </c>
      <c r="P500" s="35" t="s">
        <v>457</v>
      </c>
      <c r="Q500" s="15"/>
      <c r="R500" s="24"/>
      <c r="S500" s="62" t="s">
        <v>447</v>
      </c>
      <c r="T500" s="15"/>
      <c r="U500" s="15"/>
      <c r="V500" s="54">
        <v>3589000</v>
      </c>
      <c r="W500" s="54">
        <v>3875045</v>
      </c>
      <c r="X500" s="54">
        <v>-286045</v>
      </c>
    </row>
    <row r="501" spans="3:24" x14ac:dyDescent="0.25">
      <c r="C501" s="39">
        <v>2017</v>
      </c>
      <c r="D501" s="62" t="s">
        <v>986</v>
      </c>
      <c r="E501" s="63" t="s">
        <v>982</v>
      </c>
      <c r="F501" s="64">
        <v>42845</v>
      </c>
      <c r="G501" s="65" t="s">
        <v>190</v>
      </c>
      <c r="H501" s="94">
        <v>12630000</v>
      </c>
      <c r="I501" s="27">
        <v>10849023</v>
      </c>
      <c r="J501" s="27" t="s">
        <v>519</v>
      </c>
      <c r="K501" s="26">
        <v>-0.14101163895486934</v>
      </c>
      <c r="L501" s="11" t="s">
        <v>464</v>
      </c>
      <c r="M501" s="15">
        <v>2</v>
      </c>
      <c r="N501" s="35" t="s">
        <v>25</v>
      </c>
      <c r="O501" s="15">
        <v>2</v>
      </c>
      <c r="P501" s="35" t="s">
        <v>458</v>
      </c>
      <c r="Q501" s="15"/>
      <c r="R501" s="24"/>
      <c r="S501" s="62" t="s">
        <v>616</v>
      </c>
      <c r="T501" s="15"/>
      <c r="U501" s="15"/>
      <c r="V501" s="54">
        <v>12630000</v>
      </c>
      <c r="W501" s="54">
        <v>10849023</v>
      </c>
      <c r="X501" s="54">
        <v>1780977</v>
      </c>
    </row>
    <row r="502" spans="3:24" x14ac:dyDescent="0.25">
      <c r="C502" s="39">
        <v>2017</v>
      </c>
      <c r="D502" s="62" t="s">
        <v>983</v>
      </c>
      <c r="E502" s="63" t="s">
        <v>985</v>
      </c>
      <c r="F502" s="64">
        <v>42844</v>
      </c>
      <c r="G502" s="65" t="s">
        <v>190</v>
      </c>
      <c r="H502" s="94">
        <v>30360000</v>
      </c>
      <c r="I502" s="27">
        <v>32920674</v>
      </c>
      <c r="J502" s="27" t="s">
        <v>519</v>
      </c>
      <c r="K502" s="26">
        <v>8.4343675889328062E-2</v>
      </c>
      <c r="L502" s="11" t="s">
        <v>464</v>
      </c>
      <c r="M502" s="15">
        <v>3</v>
      </c>
      <c r="N502" s="35" t="s">
        <v>25</v>
      </c>
      <c r="O502" s="15">
        <v>2</v>
      </c>
      <c r="P502" s="35" t="s">
        <v>459</v>
      </c>
      <c r="Q502" s="15"/>
      <c r="R502" s="24"/>
      <c r="S502" s="62" t="s">
        <v>447</v>
      </c>
      <c r="T502" s="15"/>
      <c r="U502" s="15"/>
      <c r="V502" s="54">
        <v>30360000</v>
      </c>
      <c r="W502" s="54">
        <v>32920674</v>
      </c>
      <c r="X502" s="54">
        <v>-2560674</v>
      </c>
    </row>
    <row r="503" spans="3:24" x14ac:dyDescent="0.25">
      <c r="C503" s="39">
        <v>2017</v>
      </c>
      <c r="D503" s="62" t="s">
        <v>981</v>
      </c>
      <c r="E503" s="63" t="s">
        <v>982</v>
      </c>
      <c r="F503" s="64">
        <v>42844</v>
      </c>
      <c r="G503" s="65" t="s">
        <v>190</v>
      </c>
      <c r="H503" s="94">
        <v>18870000</v>
      </c>
      <c r="I503" s="27">
        <v>19910000</v>
      </c>
      <c r="J503" s="27" t="s">
        <v>519</v>
      </c>
      <c r="K503" s="26">
        <v>5.5113937466878642E-2</v>
      </c>
      <c r="L503" s="11" t="s">
        <v>464</v>
      </c>
      <c r="M503" s="15">
        <v>3</v>
      </c>
      <c r="N503" s="35" t="s">
        <v>25</v>
      </c>
      <c r="O503" s="15">
        <v>2</v>
      </c>
      <c r="P503" s="35" t="s">
        <v>458</v>
      </c>
      <c r="Q503" s="15"/>
      <c r="R503" s="24"/>
      <c r="S503" s="62" t="s">
        <v>616</v>
      </c>
      <c r="T503" s="15"/>
      <c r="U503" s="15"/>
      <c r="V503" s="54">
        <v>18870000</v>
      </c>
      <c r="W503" s="54">
        <v>19910000</v>
      </c>
      <c r="X503" s="54">
        <v>-1040000</v>
      </c>
    </row>
    <row r="504" spans="3:24" x14ac:dyDescent="0.25">
      <c r="C504" s="39">
        <v>2017</v>
      </c>
      <c r="D504" s="62" t="s">
        <v>964</v>
      </c>
      <c r="E504" s="63" t="s">
        <v>965</v>
      </c>
      <c r="F504" s="64">
        <v>42815</v>
      </c>
      <c r="G504" s="65" t="s">
        <v>190</v>
      </c>
      <c r="H504" s="27">
        <v>3750000</v>
      </c>
      <c r="I504" s="27">
        <v>2468147</v>
      </c>
      <c r="J504" s="27"/>
      <c r="K504" s="26">
        <v>-0.34182746666666669</v>
      </c>
      <c r="L504" s="11" t="s">
        <v>465</v>
      </c>
      <c r="M504" s="15">
        <v>3</v>
      </c>
      <c r="N504" s="35" t="s">
        <v>93</v>
      </c>
      <c r="O504" s="15">
        <v>1</v>
      </c>
      <c r="P504" s="35" t="s">
        <v>458</v>
      </c>
      <c r="Q504" s="15"/>
      <c r="R504" s="24"/>
      <c r="S504" s="62" t="s">
        <v>784</v>
      </c>
      <c r="T504" s="15"/>
      <c r="U504" s="15"/>
      <c r="V504" s="54">
        <v>3750000</v>
      </c>
      <c r="W504" s="54">
        <v>2468147</v>
      </c>
      <c r="X504" s="54">
        <v>1281853</v>
      </c>
    </row>
    <row r="505" spans="3:24" x14ac:dyDescent="0.25">
      <c r="C505" s="39">
        <v>2017</v>
      </c>
      <c r="D505" s="62" t="s">
        <v>912</v>
      </c>
      <c r="E505" s="63" t="s">
        <v>935</v>
      </c>
      <c r="F505" s="64">
        <v>42789</v>
      </c>
      <c r="G505" s="65" t="s">
        <v>190</v>
      </c>
      <c r="H505" s="94">
        <v>479900000</v>
      </c>
      <c r="I505" s="27">
        <v>451841280</v>
      </c>
      <c r="J505" s="27" t="s">
        <v>519</v>
      </c>
      <c r="K505" s="26">
        <v>-5.8467847468222547E-2</v>
      </c>
      <c r="L505" s="11" t="s">
        <v>464</v>
      </c>
      <c r="M505" s="15">
        <v>5</v>
      </c>
      <c r="N505" s="35" t="s">
        <v>226</v>
      </c>
      <c r="O505" s="15">
        <v>1</v>
      </c>
      <c r="P505" s="35" t="s">
        <v>457</v>
      </c>
      <c r="Q505" s="15"/>
      <c r="R505" s="24"/>
      <c r="S505" s="62" t="s">
        <v>630</v>
      </c>
      <c r="T505" s="15"/>
      <c r="U505" s="15"/>
      <c r="V505" s="54">
        <v>479900000</v>
      </c>
      <c r="W505" s="54">
        <v>451841280</v>
      </c>
      <c r="X505" s="54">
        <v>28058720</v>
      </c>
    </row>
    <row r="506" spans="3:24" x14ac:dyDescent="0.25">
      <c r="C506" s="39">
        <v>2017</v>
      </c>
      <c r="D506" s="62" t="s">
        <v>914</v>
      </c>
      <c r="E506" s="63" t="s">
        <v>933</v>
      </c>
      <c r="F506" s="64">
        <v>42787</v>
      </c>
      <c r="G506" s="65" t="s">
        <v>190</v>
      </c>
      <c r="H506" s="94">
        <v>10393000</v>
      </c>
      <c r="I506" s="27">
        <v>7903950</v>
      </c>
      <c r="J506" s="104" t="s">
        <v>519</v>
      </c>
      <c r="K506" s="26">
        <v>-0.2394929279322621</v>
      </c>
      <c r="L506" s="11" t="s">
        <v>465</v>
      </c>
      <c r="M506" s="15">
        <v>3</v>
      </c>
      <c r="N506" s="35" t="s">
        <v>93</v>
      </c>
      <c r="O506" s="15">
        <v>1</v>
      </c>
      <c r="P506" s="35" t="s">
        <v>458</v>
      </c>
      <c r="Q506" s="15"/>
      <c r="R506" s="24" t="s">
        <v>932</v>
      </c>
      <c r="S506" s="62" t="s">
        <v>784</v>
      </c>
      <c r="T506" s="15"/>
      <c r="U506" s="15"/>
      <c r="V506" s="54">
        <v>10393000</v>
      </c>
      <c r="W506" s="54">
        <v>7903950</v>
      </c>
      <c r="X506" s="54">
        <v>2489050</v>
      </c>
    </row>
    <row r="507" spans="3:24" x14ac:dyDescent="0.25">
      <c r="C507" s="39">
        <v>2017</v>
      </c>
      <c r="D507" s="62" t="s">
        <v>898</v>
      </c>
      <c r="E507" s="63" t="s">
        <v>717</v>
      </c>
      <c r="F507" s="64">
        <v>42773</v>
      </c>
      <c r="G507" s="65" t="s">
        <v>190</v>
      </c>
      <c r="H507" s="94">
        <v>1965000</v>
      </c>
      <c r="I507" s="27">
        <v>1450000</v>
      </c>
      <c r="J507" s="27"/>
      <c r="K507" s="26">
        <v>-0.26208651399491095</v>
      </c>
      <c r="L507" s="11" t="s">
        <v>464</v>
      </c>
      <c r="M507" s="15">
        <v>6</v>
      </c>
      <c r="N507" s="35" t="s">
        <v>226</v>
      </c>
      <c r="O507" s="15">
        <v>1</v>
      </c>
      <c r="P507" s="35" t="s">
        <v>457</v>
      </c>
      <c r="Q507" s="15"/>
      <c r="R507" s="24" t="s">
        <v>900</v>
      </c>
      <c r="S507" s="62" t="s">
        <v>630</v>
      </c>
      <c r="T507" s="15"/>
      <c r="U507" s="15"/>
      <c r="V507" s="54">
        <v>1965000</v>
      </c>
      <c r="W507" s="54">
        <v>1450000</v>
      </c>
      <c r="X507" s="54">
        <v>515000</v>
      </c>
    </row>
    <row r="508" spans="3:24" x14ac:dyDescent="0.25">
      <c r="C508" s="39">
        <v>2017</v>
      </c>
      <c r="D508" s="62" t="s">
        <v>862</v>
      </c>
      <c r="E508" s="63" t="s">
        <v>863</v>
      </c>
      <c r="F508" s="64">
        <v>42759</v>
      </c>
      <c r="G508" s="65" t="s">
        <v>190</v>
      </c>
      <c r="H508" s="94">
        <v>69800000</v>
      </c>
      <c r="I508" s="27">
        <v>67107000</v>
      </c>
      <c r="J508" s="27" t="s">
        <v>519</v>
      </c>
      <c r="K508" s="26">
        <v>-3.8581661891117482E-2</v>
      </c>
      <c r="L508" s="11" t="s">
        <v>464</v>
      </c>
      <c r="M508" s="15">
        <v>9</v>
      </c>
      <c r="N508" s="35" t="s">
        <v>25</v>
      </c>
      <c r="O508" s="15">
        <v>1</v>
      </c>
      <c r="P508" s="35" t="s">
        <v>458</v>
      </c>
      <c r="Q508" s="15"/>
      <c r="R508" s="24"/>
      <c r="S508" s="62" t="s">
        <v>616</v>
      </c>
      <c r="T508" s="15"/>
      <c r="U508" s="15"/>
      <c r="V508" s="54">
        <v>69800000</v>
      </c>
      <c r="W508" s="54">
        <v>67107000</v>
      </c>
      <c r="X508" s="54">
        <v>2693000</v>
      </c>
    </row>
    <row r="509" spans="3:24" x14ac:dyDescent="0.25">
      <c r="C509" s="39">
        <v>2017</v>
      </c>
      <c r="D509" s="62" t="s">
        <v>830</v>
      </c>
      <c r="E509" s="63" t="s">
        <v>831</v>
      </c>
      <c r="F509" s="64">
        <v>42746</v>
      </c>
      <c r="G509" s="65" t="s">
        <v>190</v>
      </c>
      <c r="H509" s="94">
        <v>12071025</v>
      </c>
      <c r="I509" s="27">
        <v>9977777</v>
      </c>
      <c r="J509" s="104" t="s">
        <v>519</v>
      </c>
      <c r="K509" s="26">
        <v>-0.17341095723022693</v>
      </c>
      <c r="L509" s="11" t="s">
        <v>465</v>
      </c>
      <c r="M509" s="15">
        <v>3</v>
      </c>
      <c r="N509" s="35" t="s">
        <v>93</v>
      </c>
      <c r="O509" s="15">
        <v>1</v>
      </c>
      <c r="P509" s="35" t="s">
        <v>458</v>
      </c>
      <c r="Q509" s="15"/>
      <c r="R509" s="24"/>
      <c r="S509" s="62" t="s">
        <v>616</v>
      </c>
      <c r="T509" s="15"/>
      <c r="U509" s="15"/>
      <c r="V509" s="54">
        <v>12071025</v>
      </c>
      <c r="W509" s="54">
        <v>9977777</v>
      </c>
      <c r="X509" s="54">
        <v>2093248</v>
      </c>
    </row>
    <row r="510" spans="3:24" x14ac:dyDescent="0.25">
      <c r="C510" s="39">
        <v>2017</v>
      </c>
      <c r="D510" s="62" t="s">
        <v>828</v>
      </c>
      <c r="E510" s="63" t="s">
        <v>829</v>
      </c>
      <c r="F510" s="64">
        <v>42739</v>
      </c>
      <c r="G510" s="65" t="s">
        <v>190</v>
      </c>
      <c r="H510" s="94">
        <v>28695000</v>
      </c>
      <c r="I510" s="27">
        <v>31768035</v>
      </c>
      <c r="J510" s="27" t="s">
        <v>519</v>
      </c>
      <c r="K510" s="26">
        <v>0.10709304756926294</v>
      </c>
      <c r="L510" s="11" t="s">
        <v>464</v>
      </c>
      <c r="M510" s="15">
        <v>2</v>
      </c>
      <c r="N510" s="35" t="s">
        <v>93</v>
      </c>
      <c r="O510" s="15">
        <v>1</v>
      </c>
      <c r="P510" s="35" t="s">
        <v>458</v>
      </c>
      <c r="Q510" s="15"/>
      <c r="R510" s="24"/>
      <c r="S510" s="62" t="s">
        <v>616</v>
      </c>
      <c r="T510" s="15"/>
      <c r="U510" s="15"/>
      <c r="V510" s="54">
        <v>28695000</v>
      </c>
      <c r="W510" s="54">
        <v>31768035</v>
      </c>
      <c r="X510" s="54">
        <v>-3073035</v>
      </c>
    </row>
    <row r="511" spans="3:24" x14ac:dyDescent="0.25">
      <c r="C511" s="39"/>
    </row>
    <row r="512" spans="3:24" x14ac:dyDescent="0.25">
      <c r="C512" s="39"/>
    </row>
    <row r="513" spans="3:24" x14ac:dyDescent="0.25">
      <c r="C513" s="39"/>
    </row>
    <row r="514" spans="3:24" x14ac:dyDescent="0.25">
      <c r="C514" s="39">
        <v>2017</v>
      </c>
      <c r="D514" s="102" t="s">
        <v>1127</v>
      </c>
      <c r="E514" s="63" t="s">
        <v>1128</v>
      </c>
      <c r="F514" s="64">
        <v>43053</v>
      </c>
      <c r="G514" s="65" t="s">
        <v>756</v>
      </c>
      <c r="H514" s="94">
        <v>17250000</v>
      </c>
      <c r="I514" s="27">
        <v>22616488</v>
      </c>
      <c r="J514" s="104" t="s">
        <v>519</v>
      </c>
      <c r="K514" s="26">
        <v>0.3111007536231884</v>
      </c>
      <c r="L514" s="11" t="s">
        <v>465</v>
      </c>
      <c r="M514" s="15">
        <v>4</v>
      </c>
      <c r="N514" s="35" t="s">
        <v>93</v>
      </c>
      <c r="O514" s="15">
        <v>4</v>
      </c>
      <c r="P514" s="35" t="s">
        <v>457</v>
      </c>
      <c r="Q514" s="15"/>
      <c r="R514" s="24"/>
      <c r="S514" s="62" t="s">
        <v>447</v>
      </c>
      <c r="T514" s="15"/>
      <c r="U514" s="15"/>
      <c r="V514" s="54">
        <v>17250000</v>
      </c>
      <c r="W514" s="54">
        <v>22616488</v>
      </c>
      <c r="X514" s="54">
        <v>-5366488</v>
      </c>
    </row>
    <row r="515" spans="3:24" x14ac:dyDescent="0.25">
      <c r="C515" s="39">
        <v>2017</v>
      </c>
      <c r="D515" s="62" t="s">
        <v>1107</v>
      </c>
      <c r="E515" s="63" t="s">
        <v>1109</v>
      </c>
      <c r="F515" s="64">
        <v>43034</v>
      </c>
      <c r="G515" s="65" t="s">
        <v>756</v>
      </c>
      <c r="H515" s="94">
        <v>2194000</v>
      </c>
      <c r="I515" s="27">
        <v>1361078</v>
      </c>
      <c r="J515" s="27"/>
      <c r="K515" s="26">
        <v>-0.3796362807657247</v>
      </c>
      <c r="L515" s="11" t="s">
        <v>465</v>
      </c>
      <c r="M515" s="15">
        <v>6</v>
      </c>
      <c r="N515" s="35" t="s">
        <v>25</v>
      </c>
      <c r="O515" s="15">
        <v>4</v>
      </c>
      <c r="P515" s="35" t="s">
        <v>459</v>
      </c>
      <c r="Q515" s="15"/>
      <c r="R515" s="24"/>
      <c r="S515" s="62" t="s">
        <v>447</v>
      </c>
      <c r="T515" s="15"/>
      <c r="U515" s="15"/>
      <c r="V515" s="54">
        <v>2194000</v>
      </c>
      <c r="W515" s="54">
        <v>1361078</v>
      </c>
      <c r="X515" s="54">
        <v>832922</v>
      </c>
    </row>
    <row r="516" spans="3:24" x14ac:dyDescent="0.25">
      <c r="C516" s="39">
        <v>2017</v>
      </c>
      <c r="D516" s="62" t="s">
        <v>1035</v>
      </c>
      <c r="E516" s="63" t="s">
        <v>1036</v>
      </c>
      <c r="F516" s="64">
        <v>42900</v>
      </c>
      <c r="G516" s="65" t="s">
        <v>756</v>
      </c>
      <c r="H516" s="94">
        <v>2900000</v>
      </c>
      <c r="I516" s="27">
        <v>1157000</v>
      </c>
      <c r="J516" s="27"/>
      <c r="K516" s="26">
        <v>-0.6010344827586207</v>
      </c>
      <c r="L516" s="11" t="s">
        <v>465</v>
      </c>
      <c r="M516" s="15">
        <v>5</v>
      </c>
      <c r="N516" s="35" t="s">
        <v>25</v>
      </c>
      <c r="O516" s="15">
        <v>2</v>
      </c>
      <c r="P516" s="35" t="s">
        <v>458</v>
      </c>
      <c r="Q516" s="15"/>
      <c r="R516" s="24"/>
      <c r="S516" s="62" t="s">
        <v>447</v>
      </c>
      <c r="T516" s="15"/>
      <c r="U516" s="15"/>
      <c r="V516" s="54">
        <v>2900000</v>
      </c>
      <c r="W516" s="54">
        <v>1157000</v>
      </c>
      <c r="X516" s="54">
        <v>1743000</v>
      </c>
    </row>
    <row r="517" spans="3:24" x14ac:dyDescent="0.25">
      <c r="C517" s="39">
        <v>2017</v>
      </c>
      <c r="D517" s="62" t="s">
        <v>1028</v>
      </c>
      <c r="E517" s="63" t="s">
        <v>1029</v>
      </c>
      <c r="F517" s="64">
        <v>42894</v>
      </c>
      <c r="G517" s="65" t="s">
        <v>756</v>
      </c>
      <c r="H517" s="94">
        <v>6445000</v>
      </c>
      <c r="I517" s="27">
        <v>7166666</v>
      </c>
      <c r="J517" s="104" t="s">
        <v>519</v>
      </c>
      <c r="K517" s="26">
        <v>0.11197300232738557</v>
      </c>
      <c r="L517" s="11" t="s">
        <v>465</v>
      </c>
      <c r="M517" s="15">
        <v>11</v>
      </c>
      <c r="N517" s="35" t="s">
        <v>93</v>
      </c>
      <c r="O517" s="15">
        <v>2</v>
      </c>
      <c r="P517" s="35" t="s">
        <v>458</v>
      </c>
      <c r="Q517" s="15"/>
      <c r="R517" s="24"/>
      <c r="S517" s="62" t="s">
        <v>784</v>
      </c>
      <c r="T517" s="15"/>
      <c r="U517" s="15"/>
      <c r="V517" s="54">
        <v>6445000</v>
      </c>
      <c r="W517" s="54">
        <v>7166666</v>
      </c>
      <c r="X517" s="54">
        <v>-721666</v>
      </c>
    </row>
    <row r="518" spans="3:24" x14ac:dyDescent="0.25">
      <c r="C518" s="39">
        <v>2017</v>
      </c>
      <c r="D518" s="62" t="s">
        <v>1018</v>
      </c>
      <c r="E518" s="63" t="s">
        <v>1019</v>
      </c>
      <c r="F518" s="64">
        <v>42873</v>
      </c>
      <c r="G518" s="65" t="s">
        <v>756</v>
      </c>
      <c r="H518" s="94">
        <v>29400000</v>
      </c>
      <c r="I518" s="27">
        <v>40981000</v>
      </c>
      <c r="J518" s="104" t="s">
        <v>519</v>
      </c>
      <c r="K518" s="26">
        <v>0.39391156462585036</v>
      </c>
      <c r="L518" s="11" t="s">
        <v>465</v>
      </c>
      <c r="M518" s="15">
        <v>2</v>
      </c>
      <c r="N518" s="35" t="s">
        <v>25</v>
      </c>
      <c r="O518" s="15">
        <v>2</v>
      </c>
      <c r="P518" s="35" t="s">
        <v>459</v>
      </c>
      <c r="Q518" s="15"/>
      <c r="R518" s="24"/>
      <c r="S518" s="62" t="s">
        <v>447</v>
      </c>
      <c r="T518" s="15"/>
      <c r="U518" s="15"/>
      <c r="V518" s="54">
        <v>29400000</v>
      </c>
      <c r="W518" s="54">
        <v>40981000</v>
      </c>
      <c r="X518" s="54">
        <v>-11581000</v>
      </c>
    </row>
    <row r="519" spans="3:24" x14ac:dyDescent="0.25">
      <c r="C519" s="39">
        <v>2017</v>
      </c>
      <c r="D519" s="62" t="s">
        <v>876</v>
      </c>
      <c r="E519" s="63" t="s">
        <v>877</v>
      </c>
      <c r="F519" s="64">
        <v>42765</v>
      </c>
      <c r="G519" s="65" t="s">
        <v>756</v>
      </c>
      <c r="H519" s="94">
        <v>6500000</v>
      </c>
      <c r="I519" s="27">
        <v>5987000</v>
      </c>
      <c r="J519" s="27" t="s">
        <v>519</v>
      </c>
      <c r="K519" s="26">
        <v>-7.8923076923076929E-2</v>
      </c>
      <c r="L519" s="11" t="s">
        <v>464</v>
      </c>
      <c r="M519" s="15">
        <v>5</v>
      </c>
      <c r="N519" s="35" t="s">
        <v>93</v>
      </c>
      <c r="O519" s="15">
        <v>1</v>
      </c>
      <c r="P519" s="35" t="s">
        <v>458</v>
      </c>
      <c r="Q519" s="15"/>
      <c r="R519" s="24"/>
      <c r="S519" s="62" t="s">
        <v>447</v>
      </c>
      <c r="T519" s="15"/>
      <c r="U519" s="15"/>
      <c r="V519" s="54">
        <v>6500000</v>
      </c>
      <c r="W519" s="54">
        <v>5987000</v>
      </c>
      <c r="X519" s="54">
        <v>513000</v>
      </c>
    </row>
    <row r="520" spans="3:24" x14ac:dyDescent="0.25">
      <c r="C520" s="39"/>
    </row>
    <row r="521" spans="3:24" x14ac:dyDescent="0.25">
      <c r="C521" s="39"/>
    </row>
    <row r="522" spans="3:24" x14ac:dyDescent="0.25">
      <c r="C522" s="39"/>
    </row>
    <row r="523" spans="3:24" x14ac:dyDescent="0.25">
      <c r="C523" s="39">
        <v>2017</v>
      </c>
      <c r="D523" s="102" t="s">
        <v>1147</v>
      </c>
      <c r="E523" s="63" t="s">
        <v>1148</v>
      </c>
      <c r="F523" s="64">
        <v>43083</v>
      </c>
      <c r="G523" s="65"/>
      <c r="H523" s="94"/>
      <c r="I523" s="27"/>
      <c r="J523" s="27"/>
      <c r="K523" s="26"/>
      <c r="L523" s="11"/>
      <c r="M523" s="15"/>
      <c r="N523" s="35"/>
      <c r="O523" s="15"/>
      <c r="P523" s="35"/>
      <c r="Q523" s="15"/>
      <c r="R523" s="24" t="s">
        <v>227</v>
      </c>
      <c r="S523" s="62" t="s">
        <v>816</v>
      </c>
      <c r="T523" s="15"/>
      <c r="U523" s="15"/>
      <c r="V523" s="54">
        <v>1765000</v>
      </c>
      <c r="W523" s="54">
        <v>2248420</v>
      </c>
      <c r="X523" s="54">
        <v>-483420</v>
      </c>
    </row>
    <row r="524" spans="3:24" x14ac:dyDescent="0.25">
      <c r="C524" s="39">
        <v>2017</v>
      </c>
      <c r="D524" s="102" t="s">
        <v>1136</v>
      </c>
      <c r="E524" s="63" t="s">
        <v>1137</v>
      </c>
      <c r="F524" s="64">
        <v>43074</v>
      </c>
      <c r="G524" s="65" t="s">
        <v>34</v>
      </c>
      <c r="H524" s="94">
        <v>1530000</v>
      </c>
      <c r="I524" s="27">
        <v>1189000</v>
      </c>
      <c r="J524" s="27"/>
      <c r="K524" s="26">
        <v>-0.22287581699346407</v>
      </c>
      <c r="L524" s="11" t="s">
        <v>464</v>
      </c>
      <c r="M524" s="15">
        <v>3</v>
      </c>
      <c r="N524" s="35" t="s">
        <v>25</v>
      </c>
      <c r="O524" s="15">
        <v>4</v>
      </c>
      <c r="P524" s="35" t="s">
        <v>458</v>
      </c>
      <c r="Q524" s="15"/>
      <c r="R524" s="24"/>
      <c r="S524" s="62" t="s">
        <v>616</v>
      </c>
      <c r="T524" s="15"/>
      <c r="U524" s="15"/>
      <c r="V524" s="54">
        <v>1530000</v>
      </c>
      <c r="W524" s="54">
        <v>1189000</v>
      </c>
      <c r="X524" s="54">
        <v>341000</v>
      </c>
    </row>
    <row r="525" spans="3:24" x14ac:dyDescent="0.25">
      <c r="C525" s="39">
        <v>2017</v>
      </c>
      <c r="D525" s="102" t="s">
        <v>1135</v>
      </c>
      <c r="E525" s="63" t="s">
        <v>982</v>
      </c>
      <c r="F525" s="64">
        <v>43074</v>
      </c>
      <c r="G525" s="65" t="s">
        <v>34</v>
      </c>
      <c r="H525" s="94">
        <v>38000000</v>
      </c>
      <c r="I525" s="27">
        <v>19988800</v>
      </c>
      <c r="J525" s="104" t="s">
        <v>519</v>
      </c>
      <c r="K525" s="26">
        <v>-0.47397894736842106</v>
      </c>
      <c r="L525" s="11" t="s">
        <v>465</v>
      </c>
      <c r="M525" s="15">
        <v>5</v>
      </c>
      <c r="N525" s="35" t="s">
        <v>93</v>
      </c>
      <c r="O525" s="15">
        <v>4</v>
      </c>
      <c r="P525" s="35" t="s">
        <v>458</v>
      </c>
      <c r="Q525" s="15"/>
      <c r="R525" s="24"/>
      <c r="S525" s="62" t="s">
        <v>616</v>
      </c>
      <c r="T525" s="15"/>
      <c r="U525" s="15"/>
      <c r="V525" s="54">
        <v>38000000</v>
      </c>
      <c r="W525" s="54">
        <v>19988800</v>
      </c>
      <c r="X525" s="54">
        <v>18011200</v>
      </c>
    </row>
    <row r="526" spans="3:24" x14ac:dyDescent="0.25">
      <c r="C526" s="39">
        <v>2017</v>
      </c>
      <c r="D526" s="102" t="s">
        <v>1129</v>
      </c>
      <c r="E526" s="63" t="s">
        <v>1130</v>
      </c>
      <c r="F526" s="64">
        <v>43068</v>
      </c>
      <c r="G526" s="65" t="s">
        <v>34</v>
      </c>
      <c r="H526" s="94">
        <v>6600000</v>
      </c>
      <c r="I526" s="27">
        <v>5189333</v>
      </c>
      <c r="J526" s="27" t="s">
        <v>519</v>
      </c>
      <c r="K526" s="26">
        <v>-0.21373742424242423</v>
      </c>
      <c r="L526" s="11" t="s">
        <v>464</v>
      </c>
      <c r="M526" s="15">
        <v>7</v>
      </c>
      <c r="N526" s="35" t="s">
        <v>25</v>
      </c>
      <c r="O526" s="15">
        <v>4</v>
      </c>
      <c r="P526" s="35" t="s">
        <v>458</v>
      </c>
      <c r="Q526" s="15"/>
      <c r="R526" s="24"/>
      <c r="S526" s="62" t="s">
        <v>616</v>
      </c>
      <c r="T526" s="15"/>
      <c r="U526" s="15"/>
      <c r="V526" s="54">
        <v>6600000</v>
      </c>
      <c r="W526" s="54">
        <v>5189333</v>
      </c>
      <c r="X526" s="54">
        <v>1410667</v>
      </c>
    </row>
    <row r="527" spans="3:24" x14ac:dyDescent="0.25">
      <c r="C527" s="39">
        <v>2017</v>
      </c>
      <c r="D527" s="102" t="s">
        <v>1139</v>
      </c>
      <c r="E527" s="63" t="s">
        <v>1140</v>
      </c>
      <c r="F527" s="64">
        <v>43054</v>
      </c>
      <c r="G527" s="65" t="s">
        <v>34</v>
      </c>
      <c r="H527" s="94">
        <v>1350000</v>
      </c>
      <c r="I527" s="27">
        <v>2629000</v>
      </c>
      <c r="J527" s="27"/>
      <c r="K527" s="26">
        <v>0.94740740740740736</v>
      </c>
      <c r="L527" s="11" t="s">
        <v>465</v>
      </c>
      <c r="M527" s="15">
        <v>1</v>
      </c>
      <c r="N527" s="35" t="s">
        <v>226</v>
      </c>
      <c r="O527" s="15">
        <v>4</v>
      </c>
      <c r="P527" s="35" t="s">
        <v>457</v>
      </c>
      <c r="Q527" s="15"/>
      <c r="R527" s="24" t="s">
        <v>782</v>
      </c>
      <c r="S527" s="62" t="s">
        <v>784</v>
      </c>
      <c r="T527" s="15"/>
      <c r="U527" s="15"/>
      <c r="V527" s="54">
        <v>1350000</v>
      </c>
      <c r="W527" s="54">
        <v>2629000</v>
      </c>
      <c r="X527" s="54">
        <v>-1279000</v>
      </c>
    </row>
    <row r="528" spans="3:24" x14ac:dyDescent="0.25">
      <c r="C528" s="39">
        <v>2017</v>
      </c>
      <c r="D528" s="62" t="s">
        <v>1118</v>
      </c>
      <c r="E528" s="63" t="s">
        <v>1119</v>
      </c>
      <c r="F528" s="64">
        <v>43048</v>
      </c>
      <c r="G528" s="65" t="s">
        <v>34</v>
      </c>
      <c r="H528" s="94">
        <v>4860000</v>
      </c>
      <c r="I528" s="27">
        <v>3418000</v>
      </c>
      <c r="J528" s="27"/>
      <c r="K528" s="26">
        <v>-0.29670781893004117</v>
      </c>
      <c r="L528" s="11" t="s">
        <v>464</v>
      </c>
      <c r="M528" s="15">
        <v>8</v>
      </c>
      <c r="N528" s="35" t="s">
        <v>25</v>
      </c>
      <c r="O528" s="15">
        <v>4</v>
      </c>
      <c r="P528" s="35" t="s">
        <v>492</v>
      </c>
      <c r="Q528" s="15"/>
      <c r="R528" s="24"/>
      <c r="S528" s="62" t="s">
        <v>816</v>
      </c>
      <c r="T528" s="15"/>
      <c r="U528" s="15"/>
      <c r="V528" s="54">
        <v>4860000</v>
      </c>
      <c r="W528" s="54">
        <v>3418000</v>
      </c>
      <c r="X528" s="54">
        <v>1442000</v>
      </c>
    </row>
    <row r="529" spans="3:24" x14ac:dyDescent="0.25">
      <c r="C529" s="39">
        <v>2017</v>
      </c>
      <c r="D529" s="62" t="s">
        <v>1110</v>
      </c>
      <c r="E529" s="63" t="s">
        <v>1111</v>
      </c>
      <c r="F529" s="64">
        <v>43047</v>
      </c>
      <c r="G529" s="65" t="s">
        <v>34</v>
      </c>
      <c r="H529" s="94">
        <v>1650000</v>
      </c>
      <c r="I529" s="27">
        <v>2278990</v>
      </c>
      <c r="J529" s="27"/>
      <c r="K529" s="26">
        <v>0.3812060606060606</v>
      </c>
      <c r="L529" s="11" t="s">
        <v>465</v>
      </c>
      <c r="M529" s="15">
        <v>5</v>
      </c>
      <c r="N529" s="35" t="s">
        <v>226</v>
      </c>
      <c r="O529" s="15">
        <v>4</v>
      </c>
      <c r="P529" s="35" t="s">
        <v>457</v>
      </c>
      <c r="Q529" s="15"/>
      <c r="R529" s="24"/>
      <c r="S529" s="62" t="s">
        <v>784</v>
      </c>
      <c r="T529" s="15"/>
      <c r="U529" s="15"/>
      <c r="V529" s="54">
        <v>1650000</v>
      </c>
      <c r="W529" s="54">
        <v>2278990</v>
      </c>
      <c r="X529" s="54">
        <v>-628990</v>
      </c>
    </row>
    <row r="530" spans="3:24" x14ac:dyDescent="0.25">
      <c r="C530" s="39">
        <v>2017</v>
      </c>
      <c r="D530" s="62" t="s">
        <v>1101</v>
      </c>
      <c r="E530" s="63" t="s">
        <v>1102</v>
      </c>
      <c r="F530" s="64">
        <v>43025</v>
      </c>
      <c r="G530" s="65" t="s">
        <v>34</v>
      </c>
      <c r="H530" s="94">
        <v>2800000</v>
      </c>
      <c r="I530" s="27">
        <v>2847000</v>
      </c>
      <c r="J530" s="27"/>
      <c r="K530" s="26">
        <v>1.6785714285714286E-2</v>
      </c>
      <c r="L530" s="11" t="s">
        <v>464</v>
      </c>
      <c r="M530" s="15">
        <v>9</v>
      </c>
      <c r="N530" s="35" t="s">
        <v>93</v>
      </c>
      <c r="O530" s="15">
        <v>4</v>
      </c>
      <c r="P530" s="35" t="s">
        <v>458</v>
      </c>
      <c r="Q530" s="15"/>
      <c r="R530" s="24"/>
      <c r="S530" s="62" t="s">
        <v>616</v>
      </c>
      <c r="T530" s="15"/>
      <c r="U530" s="15"/>
      <c r="V530" s="54">
        <v>2800000</v>
      </c>
      <c r="W530" s="54">
        <v>2847000</v>
      </c>
      <c r="X530" s="54">
        <v>-47000</v>
      </c>
    </row>
    <row r="531" spans="3:24" x14ac:dyDescent="0.25">
      <c r="C531" s="39">
        <v>2017</v>
      </c>
      <c r="D531" s="62" t="s">
        <v>1099</v>
      </c>
      <c r="E531" s="63" t="s">
        <v>1100</v>
      </c>
      <c r="F531" s="64">
        <v>43025</v>
      </c>
      <c r="G531" s="65" t="s">
        <v>34</v>
      </c>
      <c r="H531" s="94">
        <v>3000000</v>
      </c>
      <c r="I531" s="27">
        <v>2812500</v>
      </c>
      <c r="J531" s="27"/>
      <c r="K531" s="26">
        <v>-6.25E-2</v>
      </c>
      <c r="L531" s="11" t="s">
        <v>464</v>
      </c>
      <c r="M531" s="15">
        <v>2</v>
      </c>
      <c r="N531" s="35" t="s">
        <v>25</v>
      </c>
      <c r="O531" s="15">
        <v>4</v>
      </c>
      <c r="P531" s="35" t="s">
        <v>458</v>
      </c>
      <c r="Q531" s="15"/>
      <c r="R531" s="24"/>
      <c r="S531" s="62" t="s">
        <v>616</v>
      </c>
      <c r="T531" s="15"/>
      <c r="U531" s="15"/>
      <c r="V531" s="54">
        <v>3000000</v>
      </c>
      <c r="W531" s="54">
        <v>2812500</v>
      </c>
      <c r="X531" s="54">
        <v>187500</v>
      </c>
    </row>
    <row r="532" spans="3:24" x14ac:dyDescent="0.25">
      <c r="C532" s="39">
        <v>2017</v>
      </c>
      <c r="D532" s="62" t="s">
        <v>1093</v>
      </c>
      <c r="E532" s="63" t="s">
        <v>1094</v>
      </c>
      <c r="F532" s="64">
        <v>43013</v>
      </c>
      <c r="G532" s="65" t="s">
        <v>34</v>
      </c>
      <c r="H532" s="94">
        <v>970000</v>
      </c>
      <c r="I532" s="27">
        <v>1285000</v>
      </c>
      <c r="J532" s="27"/>
      <c r="K532" s="26">
        <v>0.32474226804123713</v>
      </c>
      <c r="L532" s="11" t="s">
        <v>465</v>
      </c>
      <c r="M532" s="15">
        <v>6</v>
      </c>
      <c r="N532" s="35" t="s">
        <v>25</v>
      </c>
      <c r="O532" s="15">
        <v>4</v>
      </c>
      <c r="P532" s="35" t="s">
        <v>458</v>
      </c>
      <c r="Q532" s="15"/>
      <c r="R532" s="24"/>
      <c r="S532" s="62" t="s">
        <v>616</v>
      </c>
      <c r="T532" s="15"/>
      <c r="U532" s="15"/>
      <c r="V532" s="54">
        <v>970000</v>
      </c>
      <c r="W532" s="54">
        <v>1285000</v>
      </c>
      <c r="X532" s="54">
        <v>-315000</v>
      </c>
    </row>
    <row r="533" spans="3:24" x14ac:dyDescent="0.25">
      <c r="C533" s="39">
        <v>2017</v>
      </c>
      <c r="D533" s="62" t="s">
        <v>1089</v>
      </c>
      <c r="E533" s="63" t="s">
        <v>1090</v>
      </c>
      <c r="F533" s="64">
        <v>43005</v>
      </c>
      <c r="G533" s="65" t="s">
        <v>34</v>
      </c>
      <c r="H533" s="94">
        <v>1250000</v>
      </c>
      <c r="I533" s="27">
        <v>1068000</v>
      </c>
      <c r="J533" s="27"/>
      <c r="K533" s="26">
        <v>-0.14560000000000001</v>
      </c>
      <c r="L533" s="11" t="s">
        <v>464</v>
      </c>
      <c r="M533" s="15">
        <v>6</v>
      </c>
      <c r="N533" s="35" t="s">
        <v>226</v>
      </c>
      <c r="O533" s="15">
        <v>3</v>
      </c>
      <c r="P533" s="35" t="s">
        <v>457</v>
      </c>
      <c r="Q533" s="15"/>
      <c r="R533" s="24"/>
      <c r="S533" s="62" t="s">
        <v>784</v>
      </c>
      <c r="T533" s="15"/>
      <c r="U533" s="15"/>
      <c r="V533" s="54">
        <v>1250000</v>
      </c>
      <c r="W533" s="54">
        <v>1068000</v>
      </c>
      <c r="X533" s="54">
        <v>182000</v>
      </c>
    </row>
    <row r="534" spans="3:24" x14ac:dyDescent="0.25">
      <c r="C534" s="39">
        <v>2017</v>
      </c>
      <c r="D534" s="62" t="s">
        <v>1075</v>
      </c>
      <c r="E534" s="63" t="s">
        <v>1076</v>
      </c>
      <c r="F534" s="64">
        <v>42999</v>
      </c>
      <c r="G534" s="65" t="s">
        <v>34</v>
      </c>
      <c r="H534" s="94">
        <v>1250000</v>
      </c>
      <c r="I534" s="27">
        <v>876947</v>
      </c>
      <c r="J534" s="27"/>
      <c r="K534" s="26">
        <v>-0.2984424</v>
      </c>
      <c r="L534" s="11" t="s">
        <v>464</v>
      </c>
      <c r="M534" s="15">
        <v>13</v>
      </c>
      <c r="N534" s="35" t="s">
        <v>93</v>
      </c>
      <c r="O534" s="15">
        <v>3</v>
      </c>
      <c r="P534" s="35" t="s">
        <v>492</v>
      </c>
      <c r="Q534" s="15"/>
      <c r="R534" s="24"/>
      <c r="S534" s="62" t="s">
        <v>816</v>
      </c>
      <c r="T534" s="15"/>
      <c r="U534" s="15"/>
      <c r="V534" s="54">
        <v>1250000</v>
      </c>
      <c r="W534" s="54">
        <v>876947</v>
      </c>
      <c r="X534" s="54">
        <v>373053</v>
      </c>
    </row>
    <row r="535" spans="3:24" x14ac:dyDescent="0.25">
      <c r="C535" s="39">
        <v>2017</v>
      </c>
      <c r="D535" s="62" t="s">
        <v>1070</v>
      </c>
      <c r="E535" s="63" t="s">
        <v>1071</v>
      </c>
      <c r="F535" s="64">
        <v>42997</v>
      </c>
      <c r="G535" s="65" t="s">
        <v>34</v>
      </c>
      <c r="H535" s="94">
        <v>1326000</v>
      </c>
      <c r="I535" s="27">
        <v>1976491</v>
      </c>
      <c r="J535" s="27"/>
      <c r="K535" s="26">
        <v>0.49056636500754147</v>
      </c>
      <c r="L535" s="11" t="s">
        <v>465</v>
      </c>
      <c r="M535" s="15">
        <v>4</v>
      </c>
      <c r="N535" s="35" t="s">
        <v>25</v>
      </c>
      <c r="O535" s="15">
        <v>3</v>
      </c>
      <c r="P535" s="35" t="s">
        <v>457</v>
      </c>
      <c r="Q535" s="15"/>
      <c r="R535" s="24"/>
      <c r="S535" s="62" t="s">
        <v>784</v>
      </c>
      <c r="T535" s="15"/>
      <c r="U535" s="15"/>
      <c r="V535" s="54">
        <v>1326000</v>
      </c>
      <c r="W535" s="54">
        <v>1976491</v>
      </c>
      <c r="X535" s="54">
        <v>-650491</v>
      </c>
    </row>
    <row r="536" spans="3:24" x14ac:dyDescent="0.25">
      <c r="C536" s="39">
        <v>2017</v>
      </c>
      <c r="D536" s="62" t="s">
        <v>1063</v>
      </c>
      <c r="E536" s="63" t="s">
        <v>1064</v>
      </c>
      <c r="F536" s="64">
        <v>42951</v>
      </c>
      <c r="G536" s="65" t="s">
        <v>34</v>
      </c>
      <c r="H536" s="94">
        <v>6040000</v>
      </c>
      <c r="I536" s="27">
        <v>4845475</v>
      </c>
      <c r="J536" s="27" t="s">
        <v>519</v>
      </c>
      <c r="K536" s="26">
        <v>-0.19776903973509935</v>
      </c>
      <c r="L536" s="11" t="s">
        <v>464</v>
      </c>
      <c r="M536" s="15">
        <v>8</v>
      </c>
      <c r="N536" s="35" t="s">
        <v>93</v>
      </c>
      <c r="O536" s="15">
        <v>3</v>
      </c>
      <c r="P536" s="35" t="s">
        <v>458</v>
      </c>
      <c r="Q536" s="15"/>
      <c r="R536" s="24"/>
      <c r="S536" s="62" t="s">
        <v>784</v>
      </c>
      <c r="T536" s="15"/>
      <c r="U536" s="15"/>
      <c r="V536" s="54">
        <v>6040000</v>
      </c>
      <c r="W536" s="54">
        <v>4845475</v>
      </c>
      <c r="X536" s="54">
        <v>1194525</v>
      </c>
    </row>
    <row r="537" spans="3:24" x14ac:dyDescent="0.25">
      <c r="C537" s="39">
        <v>2017</v>
      </c>
      <c r="D537" s="62" t="s">
        <v>1057</v>
      </c>
      <c r="E537" s="63" t="s">
        <v>1058</v>
      </c>
      <c r="F537" s="64">
        <v>42949</v>
      </c>
      <c r="G537" s="65" t="s">
        <v>34</v>
      </c>
      <c r="H537" s="94">
        <v>1650000</v>
      </c>
      <c r="I537" s="27">
        <v>1320718</v>
      </c>
      <c r="J537" s="27"/>
      <c r="K537" s="26">
        <v>-0.19956484848484848</v>
      </c>
      <c r="L537" s="11" t="s">
        <v>464</v>
      </c>
      <c r="M537" s="15">
        <v>4</v>
      </c>
      <c r="N537" s="35" t="s">
        <v>93</v>
      </c>
      <c r="O537" s="15">
        <v>3</v>
      </c>
      <c r="P537" s="35" t="s">
        <v>458</v>
      </c>
      <c r="Q537" s="15"/>
      <c r="R537" s="24"/>
      <c r="S537" s="62" t="s">
        <v>616</v>
      </c>
      <c r="T537" s="15"/>
      <c r="U537" s="15"/>
      <c r="V537" s="54">
        <v>1650000</v>
      </c>
      <c r="W537" s="54">
        <v>1320718</v>
      </c>
      <c r="X537" s="54">
        <v>329282</v>
      </c>
    </row>
    <row r="538" spans="3:24" x14ac:dyDescent="0.25">
      <c r="C538" s="39">
        <v>2017</v>
      </c>
      <c r="D538" s="62" t="s">
        <v>1052</v>
      </c>
      <c r="E538" s="63" t="s">
        <v>1053</v>
      </c>
      <c r="F538" s="64">
        <v>42948</v>
      </c>
      <c r="G538" s="65" t="s">
        <v>34</v>
      </c>
      <c r="H538" s="94">
        <v>1330000</v>
      </c>
      <c r="I538" s="27">
        <v>936000</v>
      </c>
      <c r="J538" s="27"/>
      <c r="K538" s="26">
        <v>-0.29624060150375942</v>
      </c>
      <c r="L538" s="11" t="s">
        <v>464</v>
      </c>
      <c r="M538" s="15">
        <v>6</v>
      </c>
      <c r="N538" s="35" t="s">
        <v>93</v>
      </c>
      <c r="O538" s="15">
        <v>3</v>
      </c>
      <c r="P538" s="35" t="s">
        <v>458</v>
      </c>
      <c r="Q538" s="15"/>
      <c r="R538" s="24"/>
      <c r="S538" s="62" t="s">
        <v>616</v>
      </c>
      <c r="T538" s="15"/>
      <c r="U538" s="15"/>
      <c r="V538" s="54">
        <v>1330000</v>
      </c>
      <c r="W538" s="54">
        <v>936000</v>
      </c>
      <c r="X538" s="54">
        <v>394000</v>
      </c>
    </row>
    <row r="539" spans="3:24" x14ac:dyDescent="0.25">
      <c r="C539" s="39">
        <v>2017</v>
      </c>
      <c r="D539" s="62" t="s">
        <v>1049</v>
      </c>
      <c r="E539" s="63" t="s">
        <v>1050</v>
      </c>
      <c r="F539" s="64">
        <v>42942</v>
      </c>
      <c r="G539" s="65" t="s">
        <v>34</v>
      </c>
      <c r="H539" s="94">
        <v>700000</v>
      </c>
      <c r="I539" s="27">
        <v>614770</v>
      </c>
      <c r="J539" s="27"/>
      <c r="K539" s="26">
        <v>-0.12175714285714286</v>
      </c>
      <c r="L539" s="11" t="s">
        <v>464</v>
      </c>
      <c r="M539" s="15">
        <v>2</v>
      </c>
      <c r="N539" s="35" t="s">
        <v>93</v>
      </c>
      <c r="O539" s="15">
        <v>3</v>
      </c>
      <c r="P539" s="35" t="s">
        <v>457</v>
      </c>
      <c r="Q539" s="15"/>
      <c r="R539" s="24"/>
      <c r="S539" s="62" t="s">
        <v>536</v>
      </c>
      <c r="T539" s="15"/>
      <c r="U539" s="15"/>
      <c r="V539" s="54">
        <v>700000</v>
      </c>
      <c r="W539" s="54">
        <v>614770</v>
      </c>
      <c r="X539" s="54">
        <v>85230</v>
      </c>
    </row>
    <row r="540" spans="3:24" x14ac:dyDescent="0.25">
      <c r="C540" s="39">
        <v>2017</v>
      </c>
      <c r="D540" s="62" t="s">
        <v>1047</v>
      </c>
      <c r="E540" s="63" t="s">
        <v>982</v>
      </c>
      <c r="F540" s="64">
        <v>42941</v>
      </c>
      <c r="G540" s="65" t="s">
        <v>34</v>
      </c>
      <c r="H540" s="94">
        <v>7200000</v>
      </c>
      <c r="I540" s="27">
        <v>1936000</v>
      </c>
      <c r="J540" s="104" t="s">
        <v>519</v>
      </c>
      <c r="K540" s="26">
        <v>-0.73111111111111116</v>
      </c>
      <c r="L540" s="11" t="s">
        <v>465</v>
      </c>
      <c r="M540" s="15">
        <v>4</v>
      </c>
      <c r="N540" s="35" t="s">
        <v>93</v>
      </c>
      <c r="O540" s="15">
        <v>3</v>
      </c>
      <c r="P540" s="35" t="s">
        <v>458</v>
      </c>
      <c r="Q540" s="15"/>
      <c r="R540" s="24"/>
      <c r="S540" s="62" t="s">
        <v>616</v>
      </c>
      <c r="T540" s="15"/>
      <c r="U540" s="15"/>
      <c r="V540" s="54">
        <v>7200000</v>
      </c>
      <c r="W540" s="54">
        <v>1936000</v>
      </c>
      <c r="X540" s="54">
        <v>5264000</v>
      </c>
    </row>
    <row r="541" spans="3:24" x14ac:dyDescent="0.25">
      <c r="C541" s="39">
        <v>2017</v>
      </c>
      <c r="D541" s="62" t="s">
        <v>1021</v>
      </c>
      <c r="E541" s="63" t="s">
        <v>1022</v>
      </c>
      <c r="F541" s="64">
        <v>42892</v>
      </c>
      <c r="G541" s="65" t="s">
        <v>34</v>
      </c>
      <c r="H541" s="94">
        <v>771000</v>
      </c>
      <c r="I541" s="27">
        <v>946600</v>
      </c>
      <c r="J541" s="27"/>
      <c r="K541" s="26">
        <v>0.22775616083009079</v>
      </c>
      <c r="L541" s="11" t="s">
        <v>465</v>
      </c>
      <c r="M541" s="15">
        <v>2</v>
      </c>
      <c r="N541" s="35" t="s">
        <v>25</v>
      </c>
      <c r="O541" s="15">
        <v>2</v>
      </c>
      <c r="P541" s="35" t="s">
        <v>457</v>
      </c>
      <c r="Q541" s="15"/>
      <c r="R541" s="24"/>
      <c r="S541" s="62" t="s">
        <v>630</v>
      </c>
      <c r="T541" s="15"/>
      <c r="U541" s="15"/>
      <c r="V541" s="54">
        <v>771000</v>
      </c>
      <c r="W541" s="54">
        <v>946600</v>
      </c>
      <c r="X541" s="54">
        <v>-175600</v>
      </c>
    </row>
    <row r="542" spans="3:24" x14ac:dyDescent="0.25">
      <c r="C542" s="39">
        <v>2017</v>
      </c>
      <c r="D542" s="62" t="s">
        <v>1014</v>
      </c>
      <c r="E542" s="63" t="s">
        <v>1015</v>
      </c>
      <c r="F542" s="64">
        <v>42886</v>
      </c>
      <c r="G542" s="65" t="s">
        <v>34</v>
      </c>
      <c r="H542" s="94">
        <v>1140000</v>
      </c>
      <c r="I542" s="27">
        <v>904780</v>
      </c>
      <c r="J542" s="27"/>
      <c r="K542" s="26">
        <v>-0.20633333333333334</v>
      </c>
      <c r="L542" s="11" t="s">
        <v>464</v>
      </c>
      <c r="M542" s="15">
        <v>9</v>
      </c>
      <c r="N542" s="35" t="s">
        <v>25</v>
      </c>
      <c r="O542" s="15">
        <v>2</v>
      </c>
      <c r="P542" s="35" t="s">
        <v>458</v>
      </c>
      <c r="Q542" s="15"/>
      <c r="R542" s="24"/>
      <c r="S542" s="62" t="s">
        <v>616</v>
      </c>
      <c r="T542" s="15"/>
      <c r="U542" s="15"/>
      <c r="V542" s="54">
        <v>1140000</v>
      </c>
      <c r="W542" s="54">
        <v>904780</v>
      </c>
      <c r="X542" s="54">
        <v>235220</v>
      </c>
    </row>
    <row r="543" spans="3:24" x14ac:dyDescent="0.25">
      <c r="C543" s="39">
        <v>2017</v>
      </c>
      <c r="D543" s="62" t="s">
        <v>1009</v>
      </c>
      <c r="E543" s="63" t="s">
        <v>1010</v>
      </c>
      <c r="F543" s="64">
        <v>42880</v>
      </c>
      <c r="G543" s="65" t="s">
        <v>34</v>
      </c>
      <c r="H543" s="94">
        <v>2850000</v>
      </c>
      <c r="I543" s="27">
        <v>1808548</v>
      </c>
      <c r="J543" s="27"/>
      <c r="K543" s="26">
        <v>-0.36542175438596491</v>
      </c>
      <c r="L543" s="11" t="s">
        <v>465</v>
      </c>
      <c r="M543" s="15">
        <v>11</v>
      </c>
      <c r="N543" s="35" t="s">
        <v>93</v>
      </c>
      <c r="O543" s="15">
        <v>2</v>
      </c>
      <c r="P543" s="35" t="s">
        <v>458</v>
      </c>
      <c r="Q543" s="15"/>
      <c r="R543" s="24"/>
      <c r="S543" s="62" t="s">
        <v>442</v>
      </c>
      <c r="T543" s="15"/>
      <c r="U543" s="15"/>
      <c r="V543" s="54">
        <v>2850000</v>
      </c>
      <c r="W543" s="54">
        <v>1808548</v>
      </c>
      <c r="X543" s="54">
        <v>1041452</v>
      </c>
    </row>
    <row r="544" spans="3:24" x14ac:dyDescent="0.25">
      <c r="C544" s="39">
        <v>2017</v>
      </c>
      <c r="D544" s="62" t="s">
        <v>1001</v>
      </c>
      <c r="E544" s="63" t="s">
        <v>1008</v>
      </c>
      <c r="F544" s="64">
        <v>42872</v>
      </c>
      <c r="G544" s="65" t="s">
        <v>34</v>
      </c>
      <c r="H544" s="94">
        <v>5000000</v>
      </c>
      <c r="I544" s="27">
        <v>5210665</v>
      </c>
      <c r="J544" s="27" t="s">
        <v>519</v>
      </c>
      <c r="K544" s="26">
        <v>4.2132999999999997E-2</v>
      </c>
      <c r="L544" s="11" t="s">
        <v>464</v>
      </c>
      <c r="M544" s="15">
        <v>9</v>
      </c>
      <c r="N544" s="35" t="s">
        <v>226</v>
      </c>
      <c r="O544" s="15">
        <v>2</v>
      </c>
      <c r="P544" s="35" t="s">
        <v>492</v>
      </c>
      <c r="Q544" s="15"/>
      <c r="R544" s="24"/>
      <c r="S544" s="62" t="s">
        <v>816</v>
      </c>
      <c r="T544" s="15"/>
      <c r="U544" s="15"/>
      <c r="V544" s="54">
        <v>5000000</v>
      </c>
      <c r="W544" s="54">
        <v>5210665</v>
      </c>
      <c r="X544" s="54">
        <v>-210665</v>
      </c>
    </row>
    <row r="545" spans="3:24" x14ac:dyDescent="0.25">
      <c r="C545" s="39">
        <v>2017</v>
      </c>
      <c r="D545" s="62" t="s">
        <v>999</v>
      </c>
      <c r="E545" s="63" t="s">
        <v>1000</v>
      </c>
      <c r="F545" s="64">
        <v>42871</v>
      </c>
      <c r="G545" s="65" t="s">
        <v>34</v>
      </c>
      <c r="H545" s="94">
        <v>9000000</v>
      </c>
      <c r="I545" s="27">
        <v>10805265</v>
      </c>
      <c r="J545" s="104" t="s">
        <v>519</v>
      </c>
      <c r="K545" s="26">
        <v>0.20058500000000001</v>
      </c>
      <c r="L545" s="11" t="s">
        <v>465</v>
      </c>
      <c r="M545" s="15">
        <v>2</v>
      </c>
      <c r="N545" s="35" t="s">
        <v>25</v>
      </c>
      <c r="O545" s="15">
        <v>2</v>
      </c>
      <c r="P545" s="35" t="s">
        <v>492</v>
      </c>
      <c r="Q545" s="15"/>
      <c r="R545" s="24"/>
      <c r="S545" s="62" t="s">
        <v>816</v>
      </c>
      <c r="T545" s="15"/>
      <c r="U545" s="15"/>
      <c r="V545" s="54">
        <v>9000000</v>
      </c>
      <c r="W545" s="54">
        <v>10805265</v>
      </c>
      <c r="X545" s="54">
        <v>-1805265</v>
      </c>
    </row>
    <row r="546" spans="3:24" x14ac:dyDescent="0.25">
      <c r="C546" s="39">
        <v>2017</v>
      </c>
      <c r="D546" s="62" t="s">
        <v>991</v>
      </c>
      <c r="E546" s="63" t="s">
        <v>992</v>
      </c>
      <c r="F546" s="64">
        <v>42846</v>
      </c>
      <c r="G546" s="65" t="s">
        <v>34</v>
      </c>
      <c r="H546" s="94">
        <v>2060000</v>
      </c>
      <c r="I546" s="27">
        <v>2614625</v>
      </c>
      <c r="J546" s="27"/>
      <c r="K546" s="26">
        <v>0.26923543689320389</v>
      </c>
      <c r="L546" s="11" t="s">
        <v>465</v>
      </c>
      <c r="M546" s="15">
        <v>5</v>
      </c>
      <c r="N546" s="35" t="s">
        <v>226</v>
      </c>
      <c r="O546" s="15">
        <v>2</v>
      </c>
      <c r="P546" s="35" t="s">
        <v>457</v>
      </c>
      <c r="Q546" s="15"/>
      <c r="R546" s="24"/>
      <c r="S546" s="62" t="s">
        <v>630</v>
      </c>
      <c r="T546" s="15"/>
      <c r="U546" s="15"/>
      <c r="V546" s="54">
        <v>2060000</v>
      </c>
      <c r="W546" s="54">
        <v>2614625</v>
      </c>
      <c r="X546" s="54">
        <v>-554625</v>
      </c>
    </row>
    <row r="547" spans="3:24" x14ac:dyDescent="0.25">
      <c r="C547" s="39">
        <v>2017</v>
      </c>
      <c r="D547" s="62" t="s">
        <v>987</v>
      </c>
      <c r="E547" s="63" t="s">
        <v>988</v>
      </c>
      <c r="F547" s="64">
        <v>42845</v>
      </c>
      <c r="G547" s="65" t="s">
        <v>34</v>
      </c>
      <c r="H547" s="94">
        <v>1520000</v>
      </c>
      <c r="I547" s="27">
        <v>994200</v>
      </c>
      <c r="J547" s="27"/>
      <c r="K547" s="26">
        <v>-0.34592105263157896</v>
      </c>
      <c r="L547" s="11" t="s">
        <v>464</v>
      </c>
      <c r="M547" s="15">
        <v>4</v>
      </c>
      <c r="N547" s="35" t="s">
        <v>25</v>
      </c>
      <c r="O547" s="15">
        <v>2</v>
      </c>
      <c r="P547" s="35" t="s">
        <v>492</v>
      </c>
      <c r="Q547" s="15"/>
      <c r="R547" s="24"/>
      <c r="S547" s="62" t="s">
        <v>816</v>
      </c>
      <c r="T547" s="15"/>
      <c r="U547" s="15"/>
      <c r="V547" s="54">
        <v>1520000</v>
      </c>
      <c r="W547" s="54">
        <v>994200</v>
      </c>
      <c r="X547" s="54">
        <v>525800</v>
      </c>
    </row>
    <row r="548" spans="3:24" x14ac:dyDescent="0.25">
      <c r="C548" s="39">
        <v>2017</v>
      </c>
      <c r="D548" s="62" t="s">
        <v>977</v>
      </c>
      <c r="E548" s="63" t="s">
        <v>978</v>
      </c>
      <c r="F548" s="64">
        <v>42831</v>
      </c>
      <c r="G548" s="65" t="s">
        <v>34</v>
      </c>
      <c r="H548" s="94">
        <v>1655000</v>
      </c>
      <c r="I548" s="27">
        <v>1398667</v>
      </c>
      <c r="J548" s="27"/>
      <c r="K548" s="26">
        <v>-0.15488398791540786</v>
      </c>
      <c r="L548" s="11" t="s">
        <v>464</v>
      </c>
      <c r="M548" s="15">
        <v>3</v>
      </c>
      <c r="N548" s="35" t="s">
        <v>93</v>
      </c>
      <c r="O548" s="15">
        <v>2</v>
      </c>
      <c r="P548" s="35" t="s">
        <v>492</v>
      </c>
      <c r="Q548" s="15"/>
      <c r="R548" s="24"/>
      <c r="S548" s="62" t="s">
        <v>816</v>
      </c>
      <c r="T548" s="15"/>
      <c r="U548" s="15"/>
      <c r="V548" s="54">
        <v>1655000</v>
      </c>
      <c r="W548" s="54">
        <v>1398667</v>
      </c>
      <c r="X548" s="54">
        <v>256333</v>
      </c>
    </row>
    <row r="549" spans="3:24" x14ac:dyDescent="0.25">
      <c r="C549" s="39">
        <v>2017</v>
      </c>
      <c r="D549" s="62" t="s">
        <v>966</v>
      </c>
      <c r="E549" s="63" t="s">
        <v>967</v>
      </c>
      <c r="F549" s="64">
        <v>42823</v>
      </c>
      <c r="G549" s="65" t="s">
        <v>34</v>
      </c>
      <c r="H549" s="27">
        <v>3700000</v>
      </c>
      <c r="I549" s="27">
        <v>2490000</v>
      </c>
      <c r="J549" s="27">
        <v>3185240</v>
      </c>
      <c r="K549" s="26">
        <v>-0.32702702702702702</v>
      </c>
      <c r="L549" s="11" t="s">
        <v>464</v>
      </c>
      <c r="M549" s="15">
        <v>7</v>
      </c>
      <c r="N549" s="35" t="s">
        <v>93</v>
      </c>
      <c r="O549" s="15">
        <v>1</v>
      </c>
      <c r="P549" s="35" t="s">
        <v>457</v>
      </c>
      <c r="Q549" s="15"/>
      <c r="R549" s="24" t="s">
        <v>976</v>
      </c>
      <c r="S549" s="62" t="s">
        <v>630</v>
      </c>
      <c r="T549" s="15"/>
      <c r="U549" s="15"/>
      <c r="V549" s="54">
        <v>3700000</v>
      </c>
      <c r="W549" s="54">
        <v>2490000</v>
      </c>
      <c r="X549" s="54">
        <v>1210000</v>
      </c>
    </row>
    <row r="550" spans="3:24" x14ac:dyDescent="0.25">
      <c r="C550" s="39">
        <v>2017</v>
      </c>
      <c r="D550" s="62" t="s">
        <v>916</v>
      </c>
      <c r="E550" s="63" t="s">
        <v>917</v>
      </c>
      <c r="F550" s="64">
        <v>42780</v>
      </c>
      <c r="G550" s="65" t="s">
        <v>34</v>
      </c>
      <c r="H550" s="94">
        <v>2580000</v>
      </c>
      <c r="I550" s="27">
        <v>1386000</v>
      </c>
      <c r="J550" s="27"/>
      <c r="K550" s="26">
        <v>-0.46279069767441861</v>
      </c>
      <c r="L550" s="11" t="s">
        <v>464</v>
      </c>
      <c r="M550" s="15">
        <v>16</v>
      </c>
      <c r="N550" s="35" t="s">
        <v>25</v>
      </c>
      <c r="O550" s="15">
        <v>1</v>
      </c>
      <c r="P550" s="35" t="s">
        <v>458</v>
      </c>
      <c r="Q550" s="15"/>
      <c r="R550" s="24" t="s">
        <v>1020</v>
      </c>
      <c r="S550" s="62" t="s">
        <v>616</v>
      </c>
      <c r="T550" s="15"/>
      <c r="U550" s="15"/>
      <c r="V550" s="54">
        <v>2580000</v>
      </c>
      <c r="W550" s="54">
        <v>1386000</v>
      </c>
      <c r="X550" s="54">
        <v>1194000</v>
      </c>
    </row>
    <row r="551" spans="3:24" x14ac:dyDescent="0.25">
      <c r="C551" s="39">
        <v>2017</v>
      </c>
      <c r="D551" s="62" t="s">
        <v>901</v>
      </c>
      <c r="E551" s="63" t="s">
        <v>902</v>
      </c>
      <c r="F551" s="64">
        <v>42774</v>
      </c>
      <c r="G551" s="65" t="s">
        <v>34</v>
      </c>
      <c r="H551" s="94">
        <v>970000</v>
      </c>
      <c r="I551" s="27">
        <v>756482</v>
      </c>
      <c r="J551" s="27"/>
      <c r="K551" s="26">
        <v>-0.22012164948453608</v>
      </c>
      <c r="L551" s="11" t="s">
        <v>464</v>
      </c>
      <c r="M551" s="15">
        <v>9</v>
      </c>
      <c r="N551" s="35" t="s">
        <v>25</v>
      </c>
      <c r="O551" s="15">
        <v>1</v>
      </c>
      <c r="P551" s="35" t="s">
        <v>458</v>
      </c>
      <c r="Q551" s="15"/>
      <c r="R551" s="24"/>
      <c r="S551" s="62" t="s">
        <v>616</v>
      </c>
      <c r="T551" s="15"/>
      <c r="U551" s="15"/>
      <c r="V551" s="54">
        <v>970000</v>
      </c>
      <c r="W551" s="54">
        <v>756482</v>
      </c>
      <c r="X551" s="54">
        <v>213518</v>
      </c>
    </row>
    <row r="552" spans="3:24" x14ac:dyDescent="0.25">
      <c r="C552" s="39">
        <v>2017</v>
      </c>
      <c r="D552" s="62" t="s">
        <v>880</v>
      </c>
      <c r="E552" s="63" t="s">
        <v>881</v>
      </c>
      <c r="F552" s="64">
        <v>42768</v>
      </c>
      <c r="G552" s="65" t="s">
        <v>34</v>
      </c>
      <c r="H552" s="94">
        <v>4800000</v>
      </c>
      <c r="I552" s="27">
        <v>3901193</v>
      </c>
      <c r="J552" s="27"/>
      <c r="K552" s="26">
        <v>-0.18725145833333334</v>
      </c>
      <c r="L552" s="11" t="s">
        <v>464</v>
      </c>
      <c r="M552" s="15">
        <v>14</v>
      </c>
      <c r="N552" s="35" t="s">
        <v>93</v>
      </c>
      <c r="O552" s="15">
        <v>1</v>
      </c>
      <c r="P552" s="35" t="s">
        <v>458</v>
      </c>
      <c r="Q552" s="15"/>
      <c r="R552" s="24"/>
      <c r="S552" s="62" t="s">
        <v>616</v>
      </c>
      <c r="T552" s="15"/>
      <c r="U552" s="15"/>
      <c r="V552" s="54">
        <v>4800000</v>
      </c>
      <c r="W552" s="54">
        <v>3901193</v>
      </c>
      <c r="X552" s="54">
        <v>898807</v>
      </c>
    </row>
    <row r="553" spans="3:24" x14ac:dyDescent="0.25">
      <c r="C553" s="39">
        <v>2017</v>
      </c>
      <c r="D553" s="62" t="s">
        <v>868</v>
      </c>
      <c r="E553" s="63" t="s">
        <v>869</v>
      </c>
      <c r="F553" s="64">
        <v>42761</v>
      </c>
      <c r="G553" s="65" t="s">
        <v>34</v>
      </c>
      <c r="H553" s="94">
        <v>5100000</v>
      </c>
      <c r="I553" s="27">
        <v>4640176</v>
      </c>
      <c r="J553" s="27" t="s">
        <v>519</v>
      </c>
      <c r="K553" s="26">
        <v>-9.0161568627450978E-2</v>
      </c>
      <c r="L553" s="11" t="s">
        <v>464</v>
      </c>
      <c r="M553" s="15">
        <v>7</v>
      </c>
      <c r="N553" s="35" t="s">
        <v>93</v>
      </c>
      <c r="O553" s="15">
        <v>1</v>
      </c>
      <c r="P553" s="35" t="s">
        <v>458</v>
      </c>
      <c r="Q553" s="15"/>
      <c r="R553" s="24"/>
      <c r="S553" s="62" t="s">
        <v>784</v>
      </c>
      <c r="T553" s="15"/>
      <c r="U553" s="15"/>
      <c r="V553" s="54">
        <v>5100000</v>
      </c>
      <c r="W553" s="54">
        <v>4640176</v>
      </c>
      <c r="X553" s="54">
        <v>459824</v>
      </c>
    </row>
    <row r="554" spans="3:24" x14ac:dyDescent="0.25">
      <c r="C554" s="39">
        <v>2017</v>
      </c>
      <c r="D554" s="62" t="s">
        <v>832</v>
      </c>
      <c r="E554" s="63" t="s">
        <v>833</v>
      </c>
      <c r="F554" s="64">
        <v>42752</v>
      </c>
      <c r="G554" s="65" t="s">
        <v>34</v>
      </c>
      <c r="H554" s="94">
        <v>4200000</v>
      </c>
      <c r="I554" s="27">
        <v>3987114</v>
      </c>
      <c r="J554" s="27"/>
      <c r="K554" s="26">
        <v>-5.0687142857142854E-2</v>
      </c>
      <c r="L554" s="11" t="s">
        <v>464</v>
      </c>
      <c r="M554" s="15">
        <v>3</v>
      </c>
      <c r="N554" s="35" t="s">
        <v>25</v>
      </c>
      <c r="O554" s="15">
        <v>1</v>
      </c>
      <c r="P554" s="35" t="s">
        <v>492</v>
      </c>
      <c r="Q554" s="15"/>
      <c r="R554" s="24"/>
      <c r="S554" s="62" t="s">
        <v>816</v>
      </c>
      <c r="T554" s="15"/>
      <c r="U554" s="15"/>
      <c r="V554" s="54">
        <v>4200000</v>
      </c>
      <c r="W554" s="54">
        <v>3987114</v>
      </c>
      <c r="X554" s="54">
        <v>212886</v>
      </c>
    </row>
    <row r="555" spans="3:24" x14ac:dyDescent="0.25">
      <c r="C555" s="39"/>
    </row>
    <row r="556" spans="3:24" x14ac:dyDescent="0.25">
      <c r="C556" s="39"/>
      <c r="K556" s="266" t="s">
        <v>1182</v>
      </c>
      <c r="L556" s="266"/>
    </row>
    <row r="557" spans="3:24" x14ac:dyDescent="0.25">
      <c r="C557" s="39"/>
      <c r="K557" s="137" t="s">
        <v>693</v>
      </c>
      <c r="L557" s="138">
        <f>+M557/N557</f>
        <v>0.63636363636363635</v>
      </c>
      <c r="M557" s="15">
        <v>7</v>
      </c>
      <c r="N557" s="11">
        <v>11</v>
      </c>
      <c r="P557">
        <v>4.5</v>
      </c>
    </row>
    <row r="558" spans="3:24" x14ac:dyDescent="0.25">
      <c r="C558" s="39"/>
      <c r="K558" s="137" t="s">
        <v>190</v>
      </c>
      <c r="L558" s="138">
        <f>+M558/N558</f>
        <v>0.76470588235294112</v>
      </c>
      <c r="M558" s="15">
        <v>13</v>
      </c>
      <c r="N558" s="11">
        <v>17</v>
      </c>
      <c r="P558">
        <v>4</v>
      </c>
    </row>
    <row r="559" spans="3:24" x14ac:dyDescent="0.25">
      <c r="C559" s="39"/>
      <c r="K559" s="137" t="s">
        <v>756</v>
      </c>
      <c r="L559" s="138">
        <f>+M559/N559</f>
        <v>0.16666666666666666</v>
      </c>
      <c r="M559" s="15">
        <v>1</v>
      </c>
      <c r="N559" s="11">
        <v>6</v>
      </c>
      <c r="P559">
        <v>5.5</v>
      </c>
    </row>
    <row r="560" spans="3:24" x14ac:dyDescent="0.25">
      <c r="C560" s="39"/>
      <c r="K560" s="137" t="s">
        <v>34</v>
      </c>
      <c r="L560" s="138">
        <f>+M560/N560</f>
        <v>0.67741935483870963</v>
      </c>
      <c r="M560" s="15">
        <v>21</v>
      </c>
      <c r="N560" s="11">
        <v>31</v>
      </c>
      <c r="P560">
        <v>6.1</v>
      </c>
    </row>
    <row r="561" spans="2:19" x14ac:dyDescent="0.25">
      <c r="C561" s="39"/>
    </row>
    <row r="562" spans="2:19" x14ac:dyDescent="0.25">
      <c r="C562" s="39"/>
    </row>
    <row r="563" spans="2:19" x14ac:dyDescent="0.25">
      <c r="C563" s="39"/>
    </row>
    <row r="564" spans="2:19" x14ac:dyDescent="0.25">
      <c r="C564" s="39"/>
    </row>
    <row r="565" spans="2:19" x14ac:dyDescent="0.25">
      <c r="C565" s="39"/>
    </row>
    <row r="566" spans="2:19" x14ac:dyDescent="0.25">
      <c r="B566" s="139"/>
      <c r="C566" s="140"/>
      <c r="D566" s="139"/>
      <c r="E566" s="139"/>
      <c r="F566" s="139"/>
      <c r="G566" s="139"/>
      <c r="H566" s="139"/>
      <c r="I566" s="139"/>
      <c r="J566" s="139"/>
      <c r="K566" s="139"/>
      <c r="L566" s="139"/>
      <c r="M566" s="139"/>
      <c r="N566" s="141"/>
      <c r="O566" s="139"/>
      <c r="P566" s="139"/>
      <c r="Q566" s="139"/>
      <c r="R566" s="139"/>
      <c r="S566" s="139"/>
    </row>
    <row r="567" spans="2:19" x14ac:dyDescent="0.25">
      <c r="C567" s="39"/>
    </row>
    <row r="568" spans="2:19" x14ac:dyDescent="0.25">
      <c r="C568" s="39"/>
    </row>
    <row r="569" spans="2:19" x14ac:dyDescent="0.25">
      <c r="C569" s="39"/>
      <c r="D569" t="s">
        <v>1173</v>
      </c>
    </row>
    <row r="570" spans="2:19" x14ac:dyDescent="0.25">
      <c r="C570" s="39"/>
      <c r="D570" t="s">
        <v>1176</v>
      </c>
      <c r="F570" t="s">
        <v>1174</v>
      </c>
      <c r="G570" t="s">
        <v>1175</v>
      </c>
    </row>
    <row r="571" spans="2:19" x14ac:dyDescent="0.25">
      <c r="C571" s="39"/>
      <c r="F571">
        <v>14</v>
      </c>
      <c r="G571">
        <v>5</v>
      </c>
      <c r="H571" s="66">
        <f>+F571/(G571+F571)</f>
        <v>0.73684210526315785</v>
      </c>
    </row>
    <row r="572" spans="2:19" x14ac:dyDescent="0.25">
      <c r="C572" s="39"/>
    </row>
    <row r="573" spans="2:19" x14ac:dyDescent="0.25">
      <c r="C573" s="39"/>
    </row>
    <row r="574" spans="2:19" x14ac:dyDescent="0.25">
      <c r="B574" s="142"/>
      <c r="C574" s="143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4"/>
      <c r="O574" s="142"/>
      <c r="P574" s="142"/>
      <c r="Q574" s="142"/>
      <c r="R574" s="142"/>
      <c r="S574" s="142"/>
    </row>
    <row r="575" spans="2:19" x14ac:dyDescent="0.25">
      <c r="C575" s="39"/>
    </row>
    <row r="576" spans="2:19" x14ac:dyDescent="0.25">
      <c r="C576" s="39"/>
      <c r="R576">
        <f>+H597+H625+H652+H675</f>
        <v>34</v>
      </c>
    </row>
    <row r="577" spans="3:24" x14ac:dyDescent="0.25">
      <c r="C577" s="39"/>
    </row>
    <row r="578" spans="3:24" x14ac:dyDescent="0.25">
      <c r="C578" s="39"/>
    </row>
    <row r="579" spans="3:24" x14ac:dyDescent="0.25">
      <c r="C579" s="39">
        <v>2017</v>
      </c>
      <c r="D579" s="102" t="s">
        <v>1136</v>
      </c>
      <c r="E579" s="63" t="s">
        <v>1137</v>
      </c>
      <c r="F579" s="64">
        <v>43074</v>
      </c>
      <c r="G579" s="65" t="s">
        <v>34</v>
      </c>
      <c r="H579" s="94">
        <v>1530000</v>
      </c>
      <c r="I579" s="27">
        <v>1189000</v>
      </c>
      <c r="J579" s="27"/>
      <c r="K579" s="26">
        <v>-0.22287581699346407</v>
      </c>
      <c r="L579" s="11" t="s">
        <v>464</v>
      </c>
      <c r="M579" s="15">
        <v>3</v>
      </c>
      <c r="N579" s="35" t="s">
        <v>25</v>
      </c>
      <c r="O579" s="15">
        <v>4</v>
      </c>
      <c r="P579" s="35" t="s">
        <v>458</v>
      </c>
      <c r="Q579" s="15"/>
      <c r="R579" s="24"/>
      <c r="S579" s="62" t="s">
        <v>616</v>
      </c>
      <c r="T579" s="15"/>
      <c r="U579" s="15"/>
      <c r="V579" s="54">
        <v>1530000</v>
      </c>
      <c r="W579" s="54">
        <v>1189000</v>
      </c>
      <c r="X579" s="54">
        <v>341000</v>
      </c>
    </row>
    <row r="580" spans="3:24" x14ac:dyDescent="0.25">
      <c r="C580" s="39">
        <v>2017</v>
      </c>
      <c r="D580" s="102" t="s">
        <v>1129</v>
      </c>
      <c r="E580" s="63" t="s">
        <v>1130</v>
      </c>
      <c r="F580" s="64">
        <v>43068</v>
      </c>
      <c r="G580" s="65" t="s">
        <v>34</v>
      </c>
      <c r="H580" s="94">
        <v>6600000</v>
      </c>
      <c r="I580" s="27">
        <v>5189333</v>
      </c>
      <c r="J580" s="27" t="s">
        <v>519</v>
      </c>
      <c r="K580" s="26">
        <v>-0.21373742424242423</v>
      </c>
      <c r="L580" s="11" t="s">
        <v>464</v>
      </c>
      <c r="M580" s="15">
        <v>7</v>
      </c>
      <c r="N580" s="35" t="s">
        <v>25</v>
      </c>
      <c r="O580" s="15">
        <v>4</v>
      </c>
      <c r="P580" s="35" t="s">
        <v>458</v>
      </c>
      <c r="Q580" s="15"/>
      <c r="R580" s="24"/>
      <c r="S580" s="62" t="s">
        <v>616</v>
      </c>
      <c r="T580" s="15"/>
      <c r="U580" s="15"/>
      <c r="V580" s="54">
        <v>6600000</v>
      </c>
      <c r="W580" s="54">
        <v>5189333</v>
      </c>
      <c r="X580" s="54">
        <v>1410667</v>
      </c>
    </row>
    <row r="581" spans="3:24" x14ac:dyDescent="0.25">
      <c r="C581" s="39">
        <v>2017</v>
      </c>
      <c r="D581" s="62" t="s">
        <v>1124</v>
      </c>
      <c r="E581" s="63" t="s">
        <v>1125</v>
      </c>
      <c r="F581" s="64">
        <v>43053</v>
      </c>
      <c r="G581" s="65" t="s">
        <v>693</v>
      </c>
      <c r="H581" s="94">
        <v>820000</v>
      </c>
      <c r="I581" s="27">
        <v>861500</v>
      </c>
      <c r="J581" s="27"/>
      <c r="K581" s="26">
        <v>5.0609756097560979E-2</v>
      </c>
      <c r="L581" s="11" t="s">
        <v>464</v>
      </c>
      <c r="M581" s="15">
        <v>4</v>
      </c>
      <c r="N581" s="35" t="s">
        <v>25</v>
      </c>
      <c r="O581" s="15">
        <v>4</v>
      </c>
      <c r="P581" s="35" t="s">
        <v>458</v>
      </c>
      <c r="Q581" s="15"/>
      <c r="R581" s="24"/>
      <c r="S581" s="62" t="s">
        <v>616</v>
      </c>
      <c r="T581" s="15"/>
      <c r="U581" s="15"/>
      <c r="V581" s="54">
        <v>820000</v>
      </c>
      <c r="W581" s="54">
        <v>861500</v>
      </c>
      <c r="X581" s="54">
        <v>-41500</v>
      </c>
    </row>
    <row r="582" spans="3:24" x14ac:dyDescent="0.25">
      <c r="C582" s="39">
        <v>2017</v>
      </c>
      <c r="D582" s="62" t="s">
        <v>1116</v>
      </c>
      <c r="E582" s="63" t="s">
        <v>1117</v>
      </c>
      <c r="F582" s="64">
        <v>43047</v>
      </c>
      <c r="G582" s="65" t="s">
        <v>190</v>
      </c>
      <c r="H582" s="94">
        <v>26900000</v>
      </c>
      <c r="I582" s="27">
        <v>26600000</v>
      </c>
      <c r="J582" s="27" t="s">
        <v>519</v>
      </c>
      <c r="K582" s="26">
        <v>-1.1152416356877323E-2</v>
      </c>
      <c r="L582" s="11" t="s">
        <v>464</v>
      </c>
      <c r="M582" s="15">
        <v>3</v>
      </c>
      <c r="N582" s="35" t="s">
        <v>25</v>
      </c>
      <c r="O582" s="15">
        <v>4</v>
      </c>
      <c r="P582" s="35" t="s">
        <v>458</v>
      </c>
      <c r="Q582" s="15"/>
      <c r="R582" s="24"/>
      <c r="S582" s="62" t="s">
        <v>616</v>
      </c>
      <c r="T582" s="15"/>
      <c r="U582" s="15"/>
      <c r="V582" s="54">
        <v>26900000</v>
      </c>
      <c r="W582" s="54">
        <v>26600000</v>
      </c>
      <c r="X582" s="54">
        <v>300000</v>
      </c>
    </row>
    <row r="583" spans="3:24" x14ac:dyDescent="0.25">
      <c r="C583" s="39">
        <v>2017</v>
      </c>
      <c r="D583" s="62" t="s">
        <v>1099</v>
      </c>
      <c r="E583" s="63" t="s">
        <v>1100</v>
      </c>
      <c r="F583" s="64">
        <v>43025</v>
      </c>
      <c r="G583" s="65" t="s">
        <v>34</v>
      </c>
      <c r="H583" s="94">
        <v>3000000</v>
      </c>
      <c r="I583" s="27">
        <v>2812500</v>
      </c>
      <c r="J583" s="27"/>
      <c r="K583" s="26">
        <v>-6.25E-2</v>
      </c>
      <c r="L583" s="11" t="s">
        <v>464</v>
      </c>
      <c r="M583" s="15">
        <v>2</v>
      </c>
      <c r="N583" s="35" t="s">
        <v>25</v>
      </c>
      <c r="O583" s="15">
        <v>4</v>
      </c>
      <c r="P583" s="35" t="s">
        <v>458</v>
      </c>
      <c r="Q583" s="15"/>
      <c r="R583" s="24"/>
      <c r="S583" s="62" t="s">
        <v>616</v>
      </c>
      <c r="T583" s="15"/>
      <c r="U583" s="15"/>
      <c r="V583" s="54">
        <v>3000000</v>
      </c>
      <c r="W583" s="54">
        <v>2812500</v>
      </c>
      <c r="X583" s="54">
        <v>187500</v>
      </c>
    </row>
    <row r="584" spans="3:24" x14ac:dyDescent="0.25">
      <c r="C584" s="39">
        <v>2017</v>
      </c>
      <c r="D584" s="62" t="s">
        <v>1093</v>
      </c>
      <c r="E584" s="63" t="s">
        <v>1094</v>
      </c>
      <c r="F584" s="64">
        <v>43013</v>
      </c>
      <c r="G584" s="65" t="s">
        <v>34</v>
      </c>
      <c r="H584" s="94">
        <v>970000</v>
      </c>
      <c r="I584" s="27">
        <v>1285000</v>
      </c>
      <c r="J584" s="27"/>
      <c r="K584" s="26">
        <v>0.32474226804123713</v>
      </c>
      <c r="L584" s="11" t="s">
        <v>465</v>
      </c>
      <c r="M584" s="15">
        <v>6</v>
      </c>
      <c r="N584" s="35" t="s">
        <v>25</v>
      </c>
      <c r="O584" s="15">
        <v>4</v>
      </c>
      <c r="P584" s="35" t="s">
        <v>458</v>
      </c>
      <c r="Q584" s="15"/>
      <c r="R584" s="24"/>
      <c r="S584" s="62" t="s">
        <v>616</v>
      </c>
      <c r="T584" s="15"/>
      <c r="U584" s="15"/>
      <c r="V584" s="54">
        <v>970000</v>
      </c>
      <c r="W584" s="54">
        <v>1285000</v>
      </c>
      <c r="X584" s="54">
        <v>-315000</v>
      </c>
    </row>
    <row r="585" spans="3:24" x14ac:dyDescent="0.25">
      <c r="C585" s="39">
        <v>2017</v>
      </c>
      <c r="D585" s="62" t="s">
        <v>1068</v>
      </c>
      <c r="E585" s="63" t="s">
        <v>1069</v>
      </c>
      <c r="F585" s="64">
        <v>42964</v>
      </c>
      <c r="G585" s="65" t="s">
        <v>190</v>
      </c>
      <c r="H585" s="94">
        <v>8500000</v>
      </c>
      <c r="I585" s="27">
        <v>5682000</v>
      </c>
      <c r="J585" s="104" t="s">
        <v>519</v>
      </c>
      <c r="K585" s="26">
        <v>-0.33152941176470591</v>
      </c>
      <c r="L585" s="11" t="s">
        <v>465</v>
      </c>
      <c r="M585" s="15">
        <v>3</v>
      </c>
      <c r="N585" s="35" t="s">
        <v>25</v>
      </c>
      <c r="O585" s="15">
        <v>3</v>
      </c>
      <c r="P585" s="35" t="s">
        <v>458</v>
      </c>
      <c r="Q585" s="15"/>
      <c r="R585" s="24"/>
      <c r="S585" s="62" t="s">
        <v>616</v>
      </c>
      <c r="T585" s="15"/>
      <c r="U585" s="15"/>
      <c r="V585" s="54">
        <v>8500000</v>
      </c>
      <c r="W585" s="54">
        <v>5682000</v>
      </c>
      <c r="X585" s="54">
        <v>2818000</v>
      </c>
    </row>
    <row r="586" spans="3:24" x14ac:dyDescent="0.25">
      <c r="C586" s="101">
        <v>2017</v>
      </c>
      <c r="D586" s="62" t="s">
        <v>1038</v>
      </c>
      <c r="E586" s="63" t="s">
        <v>1039</v>
      </c>
      <c r="F586" s="64">
        <v>42901</v>
      </c>
      <c r="G586" s="65" t="s">
        <v>693</v>
      </c>
      <c r="H586" s="94">
        <v>850000</v>
      </c>
      <c r="I586" s="27">
        <v>887000</v>
      </c>
      <c r="J586" s="27"/>
      <c r="K586" s="26">
        <v>4.3529411764705879E-2</v>
      </c>
      <c r="L586" s="11" t="s">
        <v>464</v>
      </c>
      <c r="M586" s="15">
        <v>3</v>
      </c>
      <c r="N586" s="35" t="s">
        <v>25</v>
      </c>
      <c r="O586" s="15">
        <v>2</v>
      </c>
      <c r="P586" s="35" t="s">
        <v>458</v>
      </c>
      <c r="Q586" s="15"/>
      <c r="R586" s="24"/>
      <c r="S586" s="62" t="s">
        <v>616</v>
      </c>
      <c r="T586" s="15"/>
      <c r="U586" s="15"/>
      <c r="V586" s="54">
        <v>850000</v>
      </c>
      <c r="W586" s="54">
        <v>887000</v>
      </c>
      <c r="X586" s="54">
        <v>-37000</v>
      </c>
    </row>
    <row r="587" spans="3:24" x14ac:dyDescent="0.25">
      <c r="C587" s="39">
        <v>2017</v>
      </c>
      <c r="D587" s="62" t="s">
        <v>1035</v>
      </c>
      <c r="E587" s="63" t="s">
        <v>1036</v>
      </c>
      <c r="F587" s="64">
        <v>42900</v>
      </c>
      <c r="G587" s="65" t="s">
        <v>756</v>
      </c>
      <c r="H587" s="94">
        <v>2900000</v>
      </c>
      <c r="I587" s="27">
        <v>1157000</v>
      </c>
      <c r="J587" s="27"/>
      <c r="K587" s="26">
        <v>-0.6010344827586207</v>
      </c>
      <c r="L587" s="11" t="s">
        <v>465</v>
      </c>
      <c r="M587" s="15">
        <v>5</v>
      </c>
      <c r="N587" s="35" t="s">
        <v>25</v>
      </c>
      <c r="O587" s="15">
        <v>2</v>
      </c>
      <c r="P587" s="35" t="s">
        <v>458</v>
      </c>
      <c r="Q587" s="15"/>
      <c r="R587" s="24"/>
      <c r="S587" s="62" t="s">
        <v>447</v>
      </c>
      <c r="T587" s="15"/>
      <c r="U587" s="15"/>
      <c r="V587" s="54">
        <v>2900000</v>
      </c>
      <c r="W587" s="54">
        <v>1157000</v>
      </c>
      <c r="X587" s="54">
        <v>1743000</v>
      </c>
    </row>
    <row r="588" spans="3:24" x14ac:dyDescent="0.25">
      <c r="C588" s="39">
        <v>2017</v>
      </c>
      <c r="D588" s="62" t="s">
        <v>1025</v>
      </c>
      <c r="E588" s="63" t="s">
        <v>1026</v>
      </c>
      <c r="F588" s="64">
        <v>42893</v>
      </c>
      <c r="G588" s="65" t="s">
        <v>693</v>
      </c>
      <c r="H588" s="94">
        <v>650000</v>
      </c>
      <c r="I588" s="27">
        <v>865508</v>
      </c>
      <c r="J588" s="27"/>
      <c r="K588" s="26">
        <v>0.3315507692307692</v>
      </c>
      <c r="L588" s="11" t="s">
        <v>465</v>
      </c>
      <c r="M588" s="15">
        <v>3</v>
      </c>
      <c r="N588" s="35" t="s">
        <v>25</v>
      </c>
      <c r="O588" s="15">
        <v>2</v>
      </c>
      <c r="P588" s="35" t="s">
        <v>458</v>
      </c>
      <c r="Q588" s="15"/>
      <c r="R588" s="24"/>
      <c r="S588" s="62" t="s">
        <v>616</v>
      </c>
      <c r="T588" s="15"/>
      <c r="U588" s="15"/>
      <c r="V588" s="54">
        <v>650000</v>
      </c>
      <c r="W588" s="54">
        <v>865508</v>
      </c>
      <c r="X588" s="54">
        <v>-215508</v>
      </c>
    </row>
    <row r="589" spans="3:24" x14ac:dyDescent="0.25">
      <c r="C589" s="39">
        <v>2017</v>
      </c>
      <c r="D589" s="62" t="s">
        <v>1023</v>
      </c>
      <c r="E589" s="63" t="s">
        <v>1024</v>
      </c>
      <c r="F589" s="64">
        <v>42893</v>
      </c>
      <c r="G589" s="65" t="s">
        <v>693</v>
      </c>
      <c r="H589" s="94">
        <v>1070000</v>
      </c>
      <c r="I589" s="27">
        <v>758000</v>
      </c>
      <c r="J589" s="27"/>
      <c r="K589" s="26">
        <v>-0.29158878504672897</v>
      </c>
      <c r="L589" s="11" t="s">
        <v>465</v>
      </c>
      <c r="M589" s="15">
        <v>5</v>
      </c>
      <c r="N589" s="35" t="s">
        <v>25</v>
      </c>
      <c r="O589" s="15">
        <v>2</v>
      </c>
      <c r="P589" s="35" t="s">
        <v>458</v>
      </c>
      <c r="Q589" s="15"/>
      <c r="R589" s="24"/>
      <c r="S589" s="62" t="s">
        <v>616</v>
      </c>
      <c r="T589" s="15"/>
      <c r="U589" s="15"/>
      <c r="V589" s="54">
        <v>1070000</v>
      </c>
      <c r="W589" s="54">
        <v>758000</v>
      </c>
      <c r="X589" s="54">
        <v>312000</v>
      </c>
    </row>
    <row r="590" spans="3:24" x14ac:dyDescent="0.25">
      <c r="C590" s="39">
        <v>2017</v>
      </c>
      <c r="D590" s="62" t="s">
        <v>1014</v>
      </c>
      <c r="E590" s="63" t="s">
        <v>1015</v>
      </c>
      <c r="F590" s="64">
        <v>42886</v>
      </c>
      <c r="G590" s="65" t="s">
        <v>34</v>
      </c>
      <c r="H590" s="94">
        <v>1140000</v>
      </c>
      <c r="I590" s="27">
        <v>904780</v>
      </c>
      <c r="J590" s="27"/>
      <c r="K590" s="26">
        <v>-0.20633333333333334</v>
      </c>
      <c r="L590" s="11" t="s">
        <v>464</v>
      </c>
      <c r="M590" s="15">
        <v>9</v>
      </c>
      <c r="N590" s="35" t="s">
        <v>25</v>
      </c>
      <c r="O590" s="15">
        <v>2</v>
      </c>
      <c r="P590" s="35" t="s">
        <v>458</v>
      </c>
      <c r="Q590" s="15"/>
      <c r="R590" s="24"/>
      <c r="S590" s="62" t="s">
        <v>616</v>
      </c>
      <c r="T590" s="15"/>
      <c r="U590" s="15"/>
      <c r="V590" s="54">
        <v>1140000</v>
      </c>
      <c r="W590" s="54">
        <v>904780</v>
      </c>
      <c r="X590" s="54">
        <v>235220</v>
      </c>
    </row>
    <row r="591" spans="3:24" x14ac:dyDescent="0.25">
      <c r="C591" s="39">
        <v>2017</v>
      </c>
      <c r="D591" s="62" t="s">
        <v>981</v>
      </c>
      <c r="E591" s="63" t="s">
        <v>982</v>
      </c>
      <c r="F591" s="64">
        <v>42844</v>
      </c>
      <c r="G591" s="65" t="s">
        <v>190</v>
      </c>
      <c r="H591" s="94">
        <v>18870000</v>
      </c>
      <c r="I591" s="27">
        <v>19910000</v>
      </c>
      <c r="J591" s="27" t="s">
        <v>519</v>
      </c>
      <c r="K591" s="26">
        <v>5.5113937466878642E-2</v>
      </c>
      <c r="L591" s="11" t="s">
        <v>464</v>
      </c>
      <c r="M591" s="15">
        <v>3</v>
      </c>
      <c r="N591" s="35" t="s">
        <v>25</v>
      </c>
      <c r="O591" s="15">
        <v>2</v>
      </c>
      <c r="P591" s="35" t="s">
        <v>458</v>
      </c>
      <c r="Q591" s="15"/>
      <c r="R591" s="24"/>
      <c r="S591" s="62" t="s">
        <v>616</v>
      </c>
      <c r="T591" s="15"/>
      <c r="U591" s="15"/>
      <c r="V591" s="54">
        <v>18870000</v>
      </c>
      <c r="W591" s="54">
        <v>19910000</v>
      </c>
      <c r="X591" s="54">
        <v>-1040000</v>
      </c>
    </row>
    <row r="592" spans="3:24" x14ac:dyDescent="0.25">
      <c r="C592" s="39">
        <v>2017</v>
      </c>
      <c r="D592" s="62" t="s">
        <v>901</v>
      </c>
      <c r="E592" s="63" t="s">
        <v>902</v>
      </c>
      <c r="F592" s="64">
        <v>42774</v>
      </c>
      <c r="G592" s="65" t="s">
        <v>34</v>
      </c>
      <c r="H592" s="94">
        <v>970000</v>
      </c>
      <c r="I592" s="27">
        <v>756482</v>
      </c>
      <c r="J592" s="27"/>
      <c r="K592" s="26">
        <v>-0.22012164948453608</v>
      </c>
      <c r="L592" s="11" t="s">
        <v>464</v>
      </c>
      <c r="M592" s="15">
        <v>9</v>
      </c>
      <c r="N592" s="35" t="s">
        <v>25</v>
      </c>
      <c r="O592" s="15">
        <v>1</v>
      </c>
      <c r="P592" s="35" t="s">
        <v>458</v>
      </c>
      <c r="Q592" s="15"/>
      <c r="R592" s="24"/>
      <c r="S592" s="62" t="s">
        <v>616</v>
      </c>
      <c r="T592" s="15"/>
      <c r="U592" s="15"/>
      <c r="V592" s="54">
        <v>970000</v>
      </c>
      <c r="W592" s="54">
        <v>756482</v>
      </c>
      <c r="X592" s="54">
        <v>213518</v>
      </c>
    </row>
    <row r="593" spans="3:24" x14ac:dyDescent="0.25">
      <c r="C593" s="39">
        <v>2017</v>
      </c>
      <c r="D593" s="62" t="s">
        <v>862</v>
      </c>
      <c r="E593" s="63" t="s">
        <v>863</v>
      </c>
      <c r="F593" s="64">
        <v>42759</v>
      </c>
      <c r="G593" s="65" t="s">
        <v>190</v>
      </c>
      <c r="H593" s="94">
        <v>69800000</v>
      </c>
      <c r="I593" s="27">
        <v>67107000</v>
      </c>
      <c r="J593" s="27" t="s">
        <v>519</v>
      </c>
      <c r="K593" s="26">
        <v>-3.8581661891117482E-2</v>
      </c>
      <c r="L593" s="11" t="s">
        <v>464</v>
      </c>
      <c r="M593" s="15">
        <v>9</v>
      </c>
      <c r="N593" s="35" t="s">
        <v>25</v>
      </c>
      <c r="O593" s="15">
        <v>1</v>
      </c>
      <c r="P593" s="35" t="s">
        <v>458</v>
      </c>
      <c r="Q593" s="15"/>
      <c r="R593" s="24"/>
      <c r="S593" s="62" t="s">
        <v>616</v>
      </c>
      <c r="T593" s="15"/>
      <c r="U593" s="15"/>
      <c r="V593" s="54">
        <v>69800000</v>
      </c>
      <c r="W593" s="54">
        <v>67107000</v>
      </c>
      <c r="X593" s="54">
        <v>2693000</v>
      </c>
    </row>
    <row r="594" spans="3:24" x14ac:dyDescent="0.25">
      <c r="C594" s="39"/>
      <c r="E594" s="85"/>
      <c r="F594" s="85"/>
      <c r="G594" s="85"/>
      <c r="H594" s="86">
        <f>SUM(H579:H593)</f>
        <v>144570000</v>
      </c>
      <c r="I594" s="86">
        <f>SUM(I579:I593)</f>
        <v>135965103</v>
      </c>
      <c r="J594" s="85"/>
      <c r="K594" s="87">
        <f>+I594/H594</f>
        <v>0.94047937331396558</v>
      </c>
      <c r="L594" s="85">
        <f>COUNTA(L579:L593)</f>
        <v>15</v>
      </c>
      <c r="M594" s="88">
        <f>SUM(M579:M593)/L594</f>
        <v>4.9333333333333336</v>
      </c>
      <c r="N594" s="89"/>
      <c r="O594" s="85"/>
      <c r="P594" s="114"/>
      <c r="Q594" s="85"/>
    </row>
    <row r="595" spans="3:24" x14ac:dyDescent="0.25">
      <c r="C595" s="39"/>
    </row>
    <row r="596" spans="3:24" x14ac:dyDescent="0.25">
      <c r="C596" s="39"/>
      <c r="E596" s="145" t="s">
        <v>1178</v>
      </c>
      <c r="F596" s="70"/>
      <c r="G596" s="70"/>
      <c r="H596" s="116" t="str">
        <f>"'17 final"</f>
        <v>'17 final</v>
      </c>
      <c r="P596" s="11"/>
    </row>
    <row r="597" spans="3:24" x14ac:dyDescent="0.25">
      <c r="C597" s="39"/>
      <c r="E597" s="71" t="s">
        <v>800</v>
      </c>
      <c r="F597" s="11"/>
      <c r="G597" s="11"/>
      <c r="H597" s="103">
        <f>+L594</f>
        <v>15</v>
      </c>
      <c r="P597" s="11"/>
    </row>
    <row r="598" spans="3:24" x14ac:dyDescent="0.25">
      <c r="C598" s="39"/>
      <c r="E598" s="72" t="s">
        <v>801</v>
      </c>
      <c r="F598" s="11"/>
      <c r="G598" s="11"/>
      <c r="H598" s="103">
        <f>+H597-H599</f>
        <v>10</v>
      </c>
      <c r="P598" s="11"/>
    </row>
    <row r="599" spans="3:24" x14ac:dyDescent="0.25">
      <c r="C599" s="39"/>
      <c r="E599" s="72" t="s">
        <v>802</v>
      </c>
      <c r="F599" s="11"/>
      <c r="G599" s="11"/>
      <c r="H599" s="103">
        <v>5</v>
      </c>
      <c r="P599" s="11"/>
    </row>
    <row r="600" spans="3:24" x14ac:dyDescent="0.25">
      <c r="C600" s="39"/>
      <c r="E600" s="72"/>
      <c r="F600" s="11"/>
      <c r="G600" s="11"/>
      <c r="H600" s="103"/>
      <c r="P600" s="11"/>
    </row>
    <row r="601" spans="3:24" x14ac:dyDescent="0.25">
      <c r="C601" s="39"/>
      <c r="E601" s="72" t="s">
        <v>1144</v>
      </c>
      <c r="F601" s="78"/>
      <c r="G601" s="78"/>
      <c r="H601" s="117">
        <f>+I594/1000000</f>
        <v>135.965103</v>
      </c>
      <c r="I601" s="52"/>
      <c r="P601" s="11"/>
    </row>
    <row r="602" spans="3:24" x14ac:dyDescent="0.25">
      <c r="C602" s="39"/>
      <c r="E602" s="72" t="s">
        <v>806</v>
      </c>
      <c r="F602" s="75"/>
      <c r="G602" s="75"/>
      <c r="H602" s="118">
        <f>+M594</f>
        <v>4.9333333333333336</v>
      </c>
      <c r="P602" s="11"/>
    </row>
    <row r="603" spans="3:24" x14ac:dyDescent="0.25">
      <c r="C603" s="39"/>
      <c r="E603" s="72" t="s">
        <v>807</v>
      </c>
      <c r="F603" s="74"/>
      <c r="G603" s="74"/>
      <c r="H603" s="119">
        <f>+I594/H594</f>
        <v>0.94047937331396558</v>
      </c>
      <c r="P603" s="11"/>
    </row>
    <row r="604" spans="3:24" x14ac:dyDescent="0.25">
      <c r="C604" s="39"/>
      <c r="E604" s="72"/>
      <c r="F604" s="11"/>
      <c r="G604" s="11"/>
      <c r="H604" s="103"/>
      <c r="P604" s="11"/>
    </row>
    <row r="605" spans="3:24" x14ac:dyDescent="0.25">
      <c r="C605" s="39"/>
      <c r="E605" s="72" t="s">
        <v>803</v>
      </c>
      <c r="F605" s="74"/>
      <c r="G605" s="74"/>
      <c r="H605" s="107">
        <f>10/15</f>
        <v>0.66666666666666663</v>
      </c>
      <c r="P605" s="11"/>
    </row>
    <row r="606" spans="3:24" x14ac:dyDescent="0.25">
      <c r="C606" s="106"/>
      <c r="D606" s="52"/>
      <c r="E606" s="72" t="s">
        <v>804</v>
      </c>
      <c r="F606" s="74"/>
      <c r="G606" s="74"/>
      <c r="H606" s="107">
        <f>6/H598</f>
        <v>0.6</v>
      </c>
      <c r="P606" s="11"/>
    </row>
    <row r="607" spans="3:24" x14ac:dyDescent="0.25">
      <c r="C607" s="106"/>
      <c r="D607" s="52"/>
      <c r="E607" s="72" t="s">
        <v>805</v>
      </c>
      <c r="F607" s="74"/>
      <c r="G607" s="74"/>
      <c r="H607" s="107">
        <f>4/H599</f>
        <v>0.8</v>
      </c>
      <c r="P607" s="11"/>
    </row>
    <row r="608" spans="3:24" x14ac:dyDescent="0.25">
      <c r="C608" s="39"/>
      <c r="E608" s="72"/>
      <c r="F608" s="11"/>
      <c r="G608" s="11"/>
      <c r="H608" s="103"/>
      <c r="P608" s="11"/>
    </row>
    <row r="609" spans="3:24" x14ac:dyDescent="0.25">
      <c r="C609" s="39"/>
      <c r="E609" s="72" t="s">
        <v>1141</v>
      </c>
      <c r="F609" s="11"/>
      <c r="G609" s="11"/>
      <c r="H609" s="103">
        <v>7</v>
      </c>
    </row>
    <row r="610" spans="3:24" x14ac:dyDescent="0.25">
      <c r="E610" s="105" t="s">
        <v>1143</v>
      </c>
      <c r="F610" s="107"/>
      <c r="G610" s="107"/>
      <c r="H610" s="107">
        <f>+H609/H597</f>
        <v>0.46666666666666667</v>
      </c>
    </row>
    <row r="611" spans="3:24" x14ac:dyDescent="0.25">
      <c r="C611" s="39"/>
    </row>
    <row r="612" spans="3:24" x14ac:dyDescent="0.25">
      <c r="C612" s="39"/>
    </row>
    <row r="613" spans="3:24" x14ac:dyDescent="0.25">
      <c r="C613" s="39">
        <v>2017</v>
      </c>
      <c r="D613" s="102" t="s">
        <v>1135</v>
      </c>
      <c r="E613" s="63" t="s">
        <v>982</v>
      </c>
      <c r="F613" s="64">
        <v>43074</v>
      </c>
      <c r="G613" s="65" t="s">
        <v>34</v>
      </c>
      <c r="H613" s="94">
        <v>38000000</v>
      </c>
      <c r="I613" s="27">
        <v>19988800</v>
      </c>
      <c r="J613" s="104" t="s">
        <v>519</v>
      </c>
      <c r="K613" s="26">
        <v>-0.47397894736842106</v>
      </c>
      <c r="L613" s="11" t="s">
        <v>465</v>
      </c>
      <c r="M613" s="15">
        <v>5</v>
      </c>
      <c r="N613" s="35" t="s">
        <v>93</v>
      </c>
      <c r="O613" s="15">
        <v>4</v>
      </c>
      <c r="P613" s="35" t="s">
        <v>458</v>
      </c>
      <c r="Q613" s="15"/>
      <c r="R613" s="24"/>
      <c r="S613" s="62" t="s">
        <v>616</v>
      </c>
      <c r="T613" s="15"/>
      <c r="U613" s="15"/>
      <c r="V613" s="54">
        <v>38000000</v>
      </c>
      <c r="W613" s="54">
        <v>19988800</v>
      </c>
      <c r="X613" s="54">
        <v>18011200</v>
      </c>
    </row>
    <row r="614" spans="3:24" x14ac:dyDescent="0.25">
      <c r="C614" s="39">
        <v>2017</v>
      </c>
      <c r="D614" s="62" t="s">
        <v>1101</v>
      </c>
      <c r="E614" s="63" t="s">
        <v>1102</v>
      </c>
      <c r="F614" s="64">
        <v>43025</v>
      </c>
      <c r="G614" s="65" t="s">
        <v>34</v>
      </c>
      <c r="H614" s="94">
        <v>2800000</v>
      </c>
      <c r="I614" s="27">
        <v>2847000</v>
      </c>
      <c r="J614" s="27"/>
      <c r="K614" s="26">
        <v>1.6785714285714286E-2</v>
      </c>
      <c r="L614" s="11" t="s">
        <v>464</v>
      </c>
      <c r="M614" s="15">
        <v>9</v>
      </c>
      <c r="N614" s="35" t="s">
        <v>93</v>
      </c>
      <c r="O614" s="15">
        <v>4</v>
      </c>
      <c r="P614" s="35" t="s">
        <v>458</v>
      </c>
      <c r="Q614" s="15"/>
      <c r="R614" s="24"/>
      <c r="S614" s="62" t="s">
        <v>616</v>
      </c>
      <c r="T614" s="15"/>
      <c r="U614" s="15"/>
      <c r="V614" s="54">
        <v>2800000</v>
      </c>
      <c r="W614" s="54">
        <v>2847000</v>
      </c>
      <c r="X614" s="54">
        <v>-47000</v>
      </c>
    </row>
    <row r="615" spans="3:24" x14ac:dyDescent="0.25">
      <c r="C615" s="39">
        <v>2017</v>
      </c>
      <c r="D615" s="62" t="s">
        <v>1057</v>
      </c>
      <c r="E615" s="63" t="s">
        <v>1058</v>
      </c>
      <c r="F615" s="64">
        <v>42949</v>
      </c>
      <c r="G615" s="65" t="s">
        <v>34</v>
      </c>
      <c r="H615" s="94">
        <v>1650000</v>
      </c>
      <c r="I615" s="27">
        <v>1320718</v>
      </c>
      <c r="J615" s="27"/>
      <c r="K615" s="26">
        <v>-0.19956484848484848</v>
      </c>
      <c r="L615" s="11" t="s">
        <v>464</v>
      </c>
      <c r="M615" s="15">
        <v>4</v>
      </c>
      <c r="N615" s="35" t="s">
        <v>93</v>
      </c>
      <c r="O615" s="15">
        <v>3</v>
      </c>
      <c r="P615" s="35" t="s">
        <v>458</v>
      </c>
      <c r="Q615" s="15"/>
      <c r="R615" s="24"/>
      <c r="S615" s="62" t="s">
        <v>616</v>
      </c>
      <c r="T615" s="15"/>
      <c r="U615" s="15"/>
      <c r="V615" s="54">
        <v>1650000</v>
      </c>
      <c r="W615" s="54">
        <v>1320718</v>
      </c>
      <c r="X615" s="54">
        <v>329282</v>
      </c>
    </row>
    <row r="616" spans="3:24" x14ac:dyDescent="0.25">
      <c r="C616" s="39">
        <v>2017</v>
      </c>
      <c r="D616" s="62" t="s">
        <v>1052</v>
      </c>
      <c r="E616" s="63" t="s">
        <v>1053</v>
      </c>
      <c r="F616" s="64">
        <v>42948</v>
      </c>
      <c r="G616" s="65" t="s">
        <v>34</v>
      </c>
      <c r="H616" s="94">
        <v>1330000</v>
      </c>
      <c r="I616" s="27">
        <v>936000</v>
      </c>
      <c r="J616" s="27"/>
      <c r="K616" s="26">
        <v>-0.29624060150375942</v>
      </c>
      <c r="L616" s="11" t="s">
        <v>464</v>
      </c>
      <c r="M616" s="15">
        <v>6</v>
      </c>
      <c r="N616" s="35" t="s">
        <v>93</v>
      </c>
      <c r="O616" s="15">
        <v>3</v>
      </c>
      <c r="P616" s="35" t="s">
        <v>458</v>
      </c>
      <c r="Q616" s="15"/>
      <c r="R616" s="24"/>
      <c r="S616" s="62" t="s">
        <v>616</v>
      </c>
      <c r="T616" s="15"/>
      <c r="U616" s="15"/>
      <c r="V616" s="54">
        <v>1330000</v>
      </c>
      <c r="W616" s="54">
        <v>936000</v>
      </c>
      <c r="X616" s="54">
        <v>394000</v>
      </c>
    </row>
    <row r="617" spans="3:24" x14ac:dyDescent="0.25">
      <c r="C617" s="39">
        <v>2017</v>
      </c>
      <c r="D617" s="62" t="s">
        <v>1009</v>
      </c>
      <c r="E617" s="63" t="s">
        <v>1010</v>
      </c>
      <c r="F617" s="64">
        <v>42880</v>
      </c>
      <c r="G617" s="65" t="s">
        <v>34</v>
      </c>
      <c r="H617" s="94">
        <v>2850000</v>
      </c>
      <c r="I617" s="27">
        <v>1808548</v>
      </c>
      <c r="J617" s="27"/>
      <c r="K617" s="26">
        <v>-0.36542175438596491</v>
      </c>
      <c r="L617" s="11" t="s">
        <v>465</v>
      </c>
      <c r="M617" s="15">
        <v>11</v>
      </c>
      <c r="N617" s="35" t="s">
        <v>93</v>
      </c>
      <c r="O617" s="15">
        <v>2</v>
      </c>
      <c r="P617" s="35" t="s">
        <v>458</v>
      </c>
      <c r="Q617" s="15"/>
      <c r="R617" s="24"/>
      <c r="S617" s="62" t="s">
        <v>442</v>
      </c>
      <c r="T617" s="15"/>
      <c r="U617" s="15"/>
      <c r="V617" s="54">
        <v>2850000</v>
      </c>
      <c r="W617" s="54">
        <v>1808548</v>
      </c>
      <c r="X617" s="54">
        <v>1041452</v>
      </c>
    </row>
    <row r="618" spans="3:24" x14ac:dyDescent="0.25">
      <c r="C618" s="39">
        <v>2017</v>
      </c>
      <c r="D618" s="62" t="s">
        <v>880</v>
      </c>
      <c r="E618" s="63" t="s">
        <v>881</v>
      </c>
      <c r="F618" s="64">
        <v>42768</v>
      </c>
      <c r="G618" s="65" t="s">
        <v>34</v>
      </c>
      <c r="H618" s="94">
        <v>4800000</v>
      </c>
      <c r="I618" s="27">
        <v>3901193</v>
      </c>
      <c r="J618" s="27"/>
      <c r="K618" s="26">
        <v>-0.18725145833333334</v>
      </c>
      <c r="L618" s="11" t="s">
        <v>464</v>
      </c>
      <c r="M618" s="15">
        <v>14</v>
      </c>
      <c r="N618" s="35" t="s">
        <v>93</v>
      </c>
      <c r="O618" s="15">
        <v>1</v>
      </c>
      <c r="P618" s="35" t="s">
        <v>458</v>
      </c>
      <c r="Q618" s="15"/>
      <c r="R618" s="24"/>
      <c r="S618" s="62" t="s">
        <v>616</v>
      </c>
      <c r="T618" s="15"/>
      <c r="U618" s="15"/>
      <c r="V618" s="54">
        <v>4800000</v>
      </c>
      <c r="W618" s="54">
        <v>3901193</v>
      </c>
      <c r="X618" s="54">
        <v>898807</v>
      </c>
    </row>
    <row r="619" spans="3:24" x14ac:dyDescent="0.25">
      <c r="C619" s="39">
        <v>2017</v>
      </c>
      <c r="D619" s="62" t="s">
        <v>876</v>
      </c>
      <c r="E619" s="63" t="s">
        <v>877</v>
      </c>
      <c r="F619" s="64">
        <v>42765</v>
      </c>
      <c r="G619" s="65" t="s">
        <v>756</v>
      </c>
      <c r="H619" s="94">
        <v>6500000</v>
      </c>
      <c r="I619" s="27">
        <v>5987000</v>
      </c>
      <c r="J619" s="27" t="s">
        <v>519</v>
      </c>
      <c r="K619" s="26">
        <v>-7.8923076923076929E-2</v>
      </c>
      <c r="L619" s="11" t="s">
        <v>464</v>
      </c>
      <c r="M619" s="15">
        <v>5</v>
      </c>
      <c r="N619" s="35" t="s">
        <v>93</v>
      </c>
      <c r="O619" s="15">
        <v>1</v>
      </c>
      <c r="P619" s="35" t="s">
        <v>458</v>
      </c>
      <c r="Q619" s="15"/>
      <c r="R619" s="24"/>
      <c r="S619" s="62" t="s">
        <v>447</v>
      </c>
      <c r="T619" s="15"/>
      <c r="U619" s="15"/>
      <c r="V619" s="54">
        <v>6500000</v>
      </c>
      <c r="W619" s="54">
        <v>5987000</v>
      </c>
      <c r="X619" s="54">
        <v>513000</v>
      </c>
    </row>
    <row r="620" spans="3:24" x14ac:dyDescent="0.25">
      <c r="C620" s="39">
        <v>2017</v>
      </c>
      <c r="D620" s="62" t="s">
        <v>830</v>
      </c>
      <c r="E620" s="63" t="s">
        <v>831</v>
      </c>
      <c r="F620" s="64">
        <v>42746</v>
      </c>
      <c r="G620" s="65" t="s">
        <v>190</v>
      </c>
      <c r="H620" s="94">
        <v>12071025</v>
      </c>
      <c r="I620" s="27">
        <v>9977777</v>
      </c>
      <c r="J620" s="104" t="s">
        <v>519</v>
      </c>
      <c r="K620" s="26">
        <v>-0.17341095723022693</v>
      </c>
      <c r="L620" s="11" t="s">
        <v>465</v>
      </c>
      <c r="M620" s="15">
        <v>3</v>
      </c>
      <c r="N620" s="35" t="s">
        <v>93</v>
      </c>
      <c r="O620" s="15">
        <v>1</v>
      </c>
      <c r="P620" s="35" t="s">
        <v>458</v>
      </c>
      <c r="Q620" s="15"/>
      <c r="R620" s="24"/>
      <c r="S620" s="62" t="s">
        <v>616</v>
      </c>
      <c r="T620" s="15"/>
      <c r="U620" s="15"/>
      <c r="V620" s="54">
        <v>12071025</v>
      </c>
      <c r="W620" s="54">
        <v>9977777</v>
      </c>
      <c r="X620" s="54">
        <v>2093248</v>
      </c>
    </row>
    <row r="621" spans="3:24" x14ac:dyDescent="0.25">
      <c r="C621" s="39">
        <v>2017</v>
      </c>
      <c r="D621" s="62" t="s">
        <v>828</v>
      </c>
      <c r="E621" s="63" t="s">
        <v>829</v>
      </c>
      <c r="F621" s="64">
        <v>42739</v>
      </c>
      <c r="G621" s="65" t="s">
        <v>190</v>
      </c>
      <c r="H621" s="94">
        <v>28695000</v>
      </c>
      <c r="I621" s="27">
        <v>31768035</v>
      </c>
      <c r="J621" s="27" t="s">
        <v>519</v>
      </c>
      <c r="K621" s="26">
        <v>0.10709304756926294</v>
      </c>
      <c r="L621" s="11" t="s">
        <v>464</v>
      </c>
      <c r="M621" s="15">
        <v>2</v>
      </c>
      <c r="N621" s="35" t="s">
        <v>93</v>
      </c>
      <c r="O621" s="15">
        <v>1</v>
      </c>
      <c r="P621" s="35" t="s">
        <v>458</v>
      </c>
      <c r="Q621" s="15"/>
      <c r="R621" s="24"/>
      <c r="S621" s="62" t="s">
        <v>616</v>
      </c>
      <c r="T621" s="15"/>
      <c r="U621" s="15"/>
      <c r="V621" s="54">
        <v>28695000</v>
      </c>
      <c r="W621" s="54">
        <v>31768035</v>
      </c>
      <c r="X621" s="54">
        <v>-3073035</v>
      </c>
    </row>
    <row r="622" spans="3:24" x14ac:dyDescent="0.25">
      <c r="C622" s="39"/>
      <c r="E622" s="85"/>
      <c r="F622" s="85"/>
      <c r="G622" s="85"/>
      <c r="H622" s="86">
        <f>SUM(H613:H621)</f>
        <v>98696025</v>
      </c>
      <c r="I622" s="86">
        <f>SUM(I613:I621)</f>
        <v>78535071</v>
      </c>
      <c r="J622" s="85"/>
      <c r="K622" s="87">
        <f>+I622/H622</f>
        <v>0.7957267883888941</v>
      </c>
      <c r="L622" s="85">
        <f>COUNTA(L613:L621)</f>
        <v>9</v>
      </c>
      <c r="M622" s="88">
        <f>SUM(M613:M621)/L622</f>
        <v>6.5555555555555554</v>
      </c>
      <c r="N622" s="89"/>
      <c r="O622" s="85"/>
      <c r="P622" s="114">
        <f>22/L622</f>
        <v>2.4444444444444446</v>
      </c>
      <c r="Q622" s="85"/>
    </row>
    <row r="623" spans="3:24" x14ac:dyDescent="0.25">
      <c r="C623" s="39"/>
    </row>
    <row r="624" spans="3:24" x14ac:dyDescent="0.25">
      <c r="C624" s="39"/>
      <c r="E624" s="145" t="s">
        <v>1179</v>
      </c>
      <c r="F624" s="70"/>
      <c r="G624" s="70"/>
      <c r="H624" s="116" t="str">
        <f>"'17 final"</f>
        <v>'17 final</v>
      </c>
      <c r="P624" s="11"/>
    </row>
    <row r="625" spans="3:16" x14ac:dyDescent="0.25">
      <c r="C625" s="39"/>
      <c r="E625" s="71" t="s">
        <v>800</v>
      </c>
      <c r="F625" s="11"/>
      <c r="G625" s="11"/>
      <c r="H625" s="103">
        <f>+L622</f>
        <v>9</v>
      </c>
      <c r="P625" s="11"/>
    </row>
    <row r="626" spans="3:16" x14ac:dyDescent="0.25">
      <c r="C626" s="39"/>
      <c r="E626" s="72" t="s">
        <v>801</v>
      </c>
      <c r="F626" s="11"/>
      <c r="G626" s="11"/>
      <c r="H626" s="103">
        <f>+H625-H627</f>
        <v>5</v>
      </c>
      <c r="P626" s="11"/>
    </row>
    <row r="627" spans="3:16" x14ac:dyDescent="0.25">
      <c r="C627" s="39"/>
      <c r="E627" s="72" t="s">
        <v>802</v>
      </c>
      <c r="F627" s="11"/>
      <c r="G627" s="11"/>
      <c r="H627" s="103">
        <v>4</v>
      </c>
      <c r="P627" s="11"/>
    </row>
    <row r="628" spans="3:16" x14ac:dyDescent="0.25">
      <c r="C628" s="39"/>
      <c r="E628" s="72"/>
      <c r="F628" s="11"/>
      <c r="G628" s="11"/>
      <c r="H628" s="103"/>
      <c r="P628" s="11"/>
    </row>
    <row r="629" spans="3:16" x14ac:dyDescent="0.25">
      <c r="C629" s="39"/>
      <c r="E629" s="72" t="s">
        <v>1144</v>
      </c>
      <c r="F629" s="78"/>
      <c r="G629" s="78"/>
      <c r="H629" s="117">
        <f>+I622/1000000</f>
        <v>78.535071000000002</v>
      </c>
      <c r="I629" s="52"/>
      <c r="P629" s="11"/>
    </row>
    <row r="630" spans="3:16" x14ac:dyDescent="0.25">
      <c r="C630" s="39"/>
      <c r="E630" s="72" t="s">
        <v>806</v>
      </c>
      <c r="F630" s="75"/>
      <c r="G630" s="75"/>
      <c r="H630" s="118">
        <f>+M622</f>
        <v>6.5555555555555554</v>
      </c>
      <c r="P630" s="11"/>
    </row>
    <row r="631" spans="3:16" x14ac:dyDescent="0.25">
      <c r="C631" s="39"/>
      <c r="E631" s="72" t="s">
        <v>807</v>
      </c>
      <c r="F631" s="74"/>
      <c r="G631" s="74"/>
      <c r="H631" s="119">
        <f>+I622/H622</f>
        <v>0.7957267883888941</v>
      </c>
      <c r="P631" s="11"/>
    </row>
    <row r="632" spans="3:16" x14ac:dyDescent="0.25">
      <c r="C632" s="39"/>
      <c r="E632" s="72"/>
      <c r="F632" s="11"/>
      <c r="G632" s="11"/>
      <c r="H632" s="103"/>
      <c r="P632" s="11"/>
    </row>
    <row r="633" spans="3:16" x14ac:dyDescent="0.25">
      <c r="C633" s="39"/>
      <c r="E633" s="72" t="s">
        <v>803</v>
      </c>
      <c r="F633" s="74"/>
      <c r="G633" s="74"/>
      <c r="H633" s="107">
        <f>6/H625</f>
        <v>0.66666666666666663</v>
      </c>
      <c r="P633" s="11"/>
    </row>
    <row r="634" spans="3:16" x14ac:dyDescent="0.25">
      <c r="C634" s="106"/>
      <c r="D634" s="52"/>
      <c r="E634" s="72" t="s">
        <v>804</v>
      </c>
      <c r="F634" s="74"/>
      <c r="G634" s="74"/>
      <c r="H634" s="107">
        <f>4/H626</f>
        <v>0.8</v>
      </c>
      <c r="P634" s="11"/>
    </row>
    <row r="635" spans="3:16" x14ac:dyDescent="0.25">
      <c r="C635" s="106"/>
      <c r="D635" s="52"/>
      <c r="E635" s="72" t="s">
        <v>805</v>
      </c>
      <c r="F635" s="74"/>
      <c r="G635" s="74"/>
      <c r="H635" s="107">
        <f>2/H627</f>
        <v>0.5</v>
      </c>
      <c r="P635" s="11"/>
    </row>
    <row r="636" spans="3:16" x14ac:dyDescent="0.25">
      <c r="C636" s="39"/>
      <c r="E636" s="72"/>
      <c r="F636" s="11"/>
      <c r="G636" s="11"/>
      <c r="H636" s="103"/>
      <c r="P636" s="11"/>
    </row>
    <row r="637" spans="3:16" x14ac:dyDescent="0.25">
      <c r="C637" s="39"/>
      <c r="E637" s="72" t="s">
        <v>1141</v>
      </c>
      <c r="F637" s="11"/>
      <c r="G637" s="11"/>
      <c r="H637" s="103">
        <v>2</v>
      </c>
    </row>
    <row r="638" spans="3:16" x14ac:dyDescent="0.25">
      <c r="E638" s="105" t="s">
        <v>1143</v>
      </c>
      <c r="F638" s="107"/>
      <c r="G638" s="107"/>
      <c r="H638" s="107">
        <f>+H637/H625</f>
        <v>0.22222222222222221</v>
      </c>
    </row>
    <row r="639" spans="3:16" x14ac:dyDescent="0.25">
      <c r="C639" s="39"/>
    </row>
    <row r="640" spans="3:16" x14ac:dyDescent="0.25">
      <c r="C640" s="38"/>
    </row>
    <row r="641" spans="3:24" x14ac:dyDescent="0.25">
      <c r="C641" s="39"/>
    </row>
    <row r="642" spans="3:24" x14ac:dyDescent="0.25">
      <c r="C642" s="39">
        <v>2017</v>
      </c>
      <c r="D642" s="102" t="s">
        <v>1145</v>
      </c>
      <c r="E642" s="63" t="s">
        <v>1146</v>
      </c>
      <c r="F642" s="64">
        <v>43083</v>
      </c>
      <c r="G642" s="65" t="s">
        <v>190</v>
      </c>
      <c r="H642" s="94">
        <v>4872000</v>
      </c>
      <c r="I642" s="27">
        <v>3997350</v>
      </c>
      <c r="J642" s="27"/>
      <c r="K642" s="26">
        <v>-0.17952586206896551</v>
      </c>
      <c r="L642" s="11" t="s">
        <v>464</v>
      </c>
      <c r="M642" s="15">
        <v>5</v>
      </c>
      <c r="N642" s="35" t="s">
        <v>93</v>
      </c>
      <c r="O642" s="15">
        <v>4</v>
      </c>
      <c r="P642" s="35" t="s">
        <v>458</v>
      </c>
      <c r="Q642" s="15"/>
      <c r="R642" s="24"/>
      <c r="S642" s="62" t="s">
        <v>784</v>
      </c>
      <c r="T642" s="15"/>
      <c r="U642" s="15"/>
      <c r="V642" s="54">
        <v>4872000</v>
      </c>
      <c r="W642" s="54">
        <v>3997350</v>
      </c>
      <c r="X642" s="54">
        <v>874650</v>
      </c>
    </row>
    <row r="643" spans="3:24" x14ac:dyDescent="0.25">
      <c r="C643" s="39">
        <v>2017</v>
      </c>
      <c r="D643" s="62" t="s">
        <v>1063</v>
      </c>
      <c r="E643" s="63" t="s">
        <v>1064</v>
      </c>
      <c r="F643" s="64">
        <v>42951</v>
      </c>
      <c r="G643" s="65" t="s">
        <v>34</v>
      </c>
      <c r="H643" s="94">
        <v>6040000</v>
      </c>
      <c r="I643" s="27">
        <v>4845475</v>
      </c>
      <c r="J643" s="27" t="s">
        <v>519</v>
      </c>
      <c r="K643" s="26">
        <v>-0.19776903973509935</v>
      </c>
      <c r="L643" s="11" t="s">
        <v>464</v>
      </c>
      <c r="M643" s="15">
        <v>8</v>
      </c>
      <c r="N643" s="35" t="s">
        <v>93</v>
      </c>
      <c r="O643" s="15">
        <v>3</v>
      </c>
      <c r="P643" s="35" t="s">
        <v>458</v>
      </c>
      <c r="Q643" s="15"/>
      <c r="R643" s="24"/>
      <c r="S643" s="62" t="s">
        <v>784</v>
      </c>
      <c r="T643" s="15"/>
      <c r="U643" s="15"/>
      <c r="V643" s="54">
        <v>6040000</v>
      </c>
      <c r="W643" s="54">
        <v>4845475</v>
      </c>
      <c r="X643" s="54">
        <v>1194525</v>
      </c>
    </row>
    <row r="644" spans="3:24" x14ac:dyDescent="0.25">
      <c r="C644" s="39">
        <v>2017</v>
      </c>
      <c r="D644" s="62" t="s">
        <v>1047</v>
      </c>
      <c r="E644" s="63" t="s">
        <v>982</v>
      </c>
      <c r="F644" s="64">
        <v>42941</v>
      </c>
      <c r="G644" s="65" t="s">
        <v>34</v>
      </c>
      <c r="H644" s="94">
        <v>7200000</v>
      </c>
      <c r="I644" s="27">
        <v>1936000</v>
      </c>
      <c r="J644" s="104" t="s">
        <v>519</v>
      </c>
      <c r="K644" s="26">
        <v>-0.73111111111111116</v>
      </c>
      <c r="L644" s="11" t="s">
        <v>465</v>
      </c>
      <c r="M644" s="15">
        <v>4</v>
      </c>
      <c r="N644" s="35" t="s">
        <v>93</v>
      </c>
      <c r="O644" s="15">
        <v>3</v>
      </c>
      <c r="P644" s="35" t="s">
        <v>458</v>
      </c>
      <c r="Q644" s="15"/>
      <c r="R644" s="24"/>
      <c r="S644" s="62" t="s">
        <v>616</v>
      </c>
      <c r="T644" s="15"/>
      <c r="U644" s="15"/>
      <c r="V644" s="54">
        <v>7200000</v>
      </c>
      <c r="W644" s="54">
        <v>1936000</v>
      </c>
      <c r="X644" s="54">
        <v>5264000</v>
      </c>
    </row>
    <row r="645" spans="3:24" x14ac:dyDescent="0.25">
      <c r="C645" s="39">
        <v>2017</v>
      </c>
      <c r="D645" s="62" t="s">
        <v>1028</v>
      </c>
      <c r="E645" s="63" t="s">
        <v>1029</v>
      </c>
      <c r="F645" s="64">
        <v>42894</v>
      </c>
      <c r="G645" s="65" t="s">
        <v>756</v>
      </c>
      <c r="H645" s="94">
        <v>6445000</v>
      </c>
      <c r="I645" s="27">
        <v>7166666</v>
      </c>
      <c r="J645" s="104" t="s">
        <v>519</v>
      </c>
      <c r="K645" s="26">
        <v>0.11197300232738557</v>
      </c>
      <c r="L645" s="11" t="s">
        <v>465</v>
      </c>
      <c r="M645" s="15">
        <v>11</v>
      </c>
      <c r="N645" s="35" t="s">
        <v>93</v>
      </c>
      <c r="O645" s="15">
        <v>2</v>
      </c>
      <c r="P645" s="35" t="s">
        <v>458</v>
      </c>
      <c r="Q645" s="15"/>
      <c r="R645" s="24"/>
      <c r="S645" s="62" t="s">
        <v>784</v>
      </c>
      <c r="T645" s="15"/>
      <c r="U645" s="15"/>
      <c r="V645" s="54">
        <v>6445000</v>
      </c>
      <c r="W645" s="54">
        <v>7166666</v>
      </c>
      <c r="X645" s="54">
        <v>-721666</v>
      </c>
    </row>
    <row r="646" spans="3:24" x14ac:dyDescent="0.25">
      <c r="C646" s="39">
        <v>2017</v>
      </c>
      <c r="D646" s="62" t="s">
        <v>964</v>
      </c>
      <c r="E646" s="63" t="s">
        <v>965</v>
      </c>
      <c r="F646" s="64">
        <v>42815</v>
      </c>
      <c r="G646" s="65" t="s">
        <v>190</v>
      </c>
      <c r="H646" s="27">
        <v>3750000</v>
      </c>
      <c r="I646" s="27">
        <v>2468147</v>
      </c>
      <c r="J646" s="27"/>
      <c r="K646" s="26">
        <v>-0.34182746666666669</v>
      </c>
      <c r="L646" s="11" t="s">
        <v>465</v>
      </c>
      <c r="M646" s="15">
        <v>3</v>
      </c>
      <c r="N646" s="35" t="s">
        <v>93</v>
      </c>
      <c r="O646" s="15">
        <v>1</v>
      </c>
      <c r="P646" s="35" t="s">
        <v>458</v>
      </c>
      <c r="Q646" s="15"/>
      <c r="R646" s="24"/>
      <c r="S646" s="62" t="s">
        <v>784</v>
      </c>
      <c r="T646" s="15"/>
      <c r="U646" s="15"/>
      <c r="V646" s="54">
        <v>3750000</v>
      </c>
      <c r="W646" s="54">
        <v>2468147</v>
      </c>
      <c r="X646" s="54">
        <v>1281853</v>
      </c>
    </row>
    <row r="647" spans="3:24" x14ac:dyDescent="0.25">
      <c r="C647" s="39">
        <v>2017</v>
      </c>
      <c r="D647" s="62" t="s">
        <v>914</v>
      </c>
      <c r="E647" s="63" t="s">
        <v>933</v>
      </c>
      <c r="F647" s="64">
        <v>42787</v>
      </c>
      <c r="G647" s="65" t="s">
        <v>190</v>
      </c>
      <c r="H647" s="94">
        <v>10393000</v>
      </c>
      <c r="I647" s="27">
        <v>7903950</v>
      </c>
      <c r="J647" s="104" t="s">
        <v>519</v>
      </c>
      <c r="K647" s="26">
        <v>-0.2394929279322621</v>
      </c>
      <c r="L647" s="11" t="s">
        <v>465</v>
      </c>
      <c r="M647" s="15">
        <v>3</v>
      </c>
      <c r="N647" s="35" t="s">
        <v>93</v>
      </c>
      <c r="O647" s="15">
        <v>1</v>
      </c>
      <c r="P647" s="35" t="s">
        <v>458</v>
      </c>
      <c r="Q647" s="15"/>
      <c r="R647" s="24" t="s">
        <v>932</v>
      </c>
      <c r="S647" s="62" t="s">
        <v>784</v>
      </c>
      <c r="T647" s="15"/>
      <c r="U647" s="15"/>
      <c r="V647" s="54">
        <v>10393000</v>
      </c>
      <c r="W647" s="54">
        <v>7903950</v>
      </c>
      <c r="X647" s="54">
        <v>2489050</v>
      </c>
    </row>
    <row r="648" spans="3:24" x14ac:dyDescent="0.25">
      <c r="C648" s="39">
        <v>2017</v>
      </c>
      <c r="D648" s="62" t="s">
        <v>868</v>
      </c>
      <c r="E648" s="63" t="s">
        <v>869</v>
      </c>
      <c r="F648" s="64">
        <v>42761</v>
      </c>
      <c r="G648" s="65" t="s">
        <v>34</v>
      </c>
      <c r="H648" s="94">
        <v>5100000</v>
      </c>
      <c r="I648" s="27">
        <v>4640176</v>
      </c>
      <c r="J648" s="27" t="s">
        <v>519</v>
      </c>
      <c r="K648" s="26">
        <v>-9.0161568627450978E-2</v>
      </c>
      <c r="L648" s="11" t="s">
        <v>464</v>
      </c>
      <c r="M648" s="15">
        <v>7</v>
      </c>
      <c r="N648" s="35" t="s">
        <v>93</v>
      </c>
      <c r="O648" s="15">
        <v>1</v>
      </c>
      <c r="P648" s="35" t="s">
        <v>458</v>
      </c>
      <c r="Q648" s="15"/>
      <c r="R648" s="24"/>
      <c r="S648" s="62" t="s">
        <v>784</v>
      </c>
      <c r="T648" s="15"/>
      <c r="U648" s="15"/>
      <c r="V648" s="54">
        <v>5100000</v>
      </c>
      <c r="W648" s="54">
        <v>4640176</v>
      </c>
      <c r="X648" s="54">
        <v>459824</v>
      </c>
    </row>
    <row r="649" spans="3:24" x14ac:dyDescent="0.25">
      <c r="C649" s="39"/>
      <c r="E649" s="85"/>
      <c r="F649" s="85"/>
      <c r="G649" s="85"/>
      <c r="H649" s="86">
        <f>SUM(H642:H648)</f>
        <v>43800000</v>
      </c>
      <c r="I649" s="86">
        <f>SUM(I642:I648)</f>
        <v>32957764</v>
      </c>
      <c r="J649" s="85"/>
      <c r="K649" s="87">
        <f>+I649/H649</f>
        <v>0.7524603652968036</v>
      </c>
      <c r="L649" s="85">
        <f>COUNTA(L642:L648)</f>
        <v>7</v>
      </c>
      <c r="M649" s="88">
        <f>SUM(M642:M648)/L649</f>
        <v>5.8571428571428568</v>
      </c>
      <c r="N649" s="89"/>
      <c r="O649" s="85"/>
      <c r="P649" s="114">
        <f>22/L649</f>
        <v>3.1428571428571428</v>
      </c>
      <c r="Q649" s="85"/>
    </row>
    <row r="650" spans="3:24" x14ac:dyDescent="0.25">
      <c r="C650" s="39"/>
    </row>
    <row r="651" spans="3:24" x14ac:dyDescent="0.25">
      <c r="C651" s="39"/>
      <c r="E651" s="145" t="s">
        <v>1180</v>
      </c>
      <c r="F651" s="70"/>
      <c r="G651" s="70"/>
      <c r="H651" s="116" t="str">
        <f>"'17 final"</f>
        <v>'17 final</v>
      </c>
      <c r="P651" s="11"/>
    </row>
    <row r="652" spans="3:24" x14ac:dyDescent="0.25">
      <c r="C652" s="39"/>
      <c r="E652" s="71" t="s">
        <v>800</v>
      </c>
      <c r="F652" s="11"/>
      <c r="G652" s="11"/>
      <c r="H652" s="103">
        <f>+L649</f>
        <v>7</v>
      </c>
      <c r="P652" s="11"/>
    </row>
    <row r="653" spans="3:24" x14ac:dyDescent="0.25">
      <c r="C653" s="39"/>
      <c r="E653" s="72" t="s">
        <v>801</v>
      </c>
      <c r="F653" s="11"/>
      <c r="G653" s="11"/>
      <c r="H653" s="103">
        <f>+H652-H654</f>
        <v>2</v>
      </c>
      <c r="P653" s="11"/>
    </row>
    <row r="654" spans="3:24" x14ac:dyDescent="0.25">
      <c r="C654" s="39"/>
      <c r="E654" s="72" t="s">
        <v>802</v>
      </c>
      <c r="F654" s="11"/>
      <c r="G654" s="11"/>
      <c r="H654" s="103">
        <v>5</v>
      </c>
      <c r="P654" s="11"/>
    </row>
    <row r="655" spans="3:24" x14ac:dyDescent="0.25">
      <c r="C655" s="39"/>
      <c r="E655" s="72"/>
      <c r="F655" s="11"/>
      <c r="G655" s="11"/>
      <c r="H655" s="103"/>
      <c r="P655" s="11"/>
    </row>
    <row r="656" spans="3:24" x14ac:dyDescent="0.25">
      <c r="C656" s="39"/>
      <c r="E656" s="72" t="s">
        <v>1144</v>
      </c>
      <c r="F656" s="78"/>
      <c r="G656" s="78"/>
      <c r="H656" s="117">
        <f>+I649/1000000</f>
        <v>32.957763999999997</v>
      </c>
      <c r="I656" s="52"/>
      <c r="P656" s="11"/>
    </row>
    <row r="657" spans="3:24" x14ac:dyDescent="0.25">
      <c r="C657" s="39"/>
      <c r="E657" s="72" t="s">
        <v>806</v>
      </c>
      <c r="F657" s="75"/>
      <c r="G657" s="75"/>
      <c r="H657" s="118">
        <f>+M649</f>
        <v>5.8571428571428568</v>
      </c>
      <c r="P657" s="11"/>
    </row>
    <row r="658" spans="3:24" x14ac:dyDescent="0.25">
      <c r="C658" s="39"/>
      <c r="E658" s="72" t="s">
        <v>807</v>
      </c>
      <c r="F658" s="74"/>
      <c r="G658" s="74"/>
      <c r="H658" s="119">
        <f>+I649/H649</f>
        <v>0.7524603652968036</v>
      </c>
      <c r="P658" s="11"/>
    </row>
    <row r="659" spans="3:24" x14ac:dyDescent="0.25">
      <c r="C659" s="39"/>
      <c r="E659" s="72"/>
      <c r="F659" s="11"/>
      <c r="G659" s="11"/>
      <c r="H659" s="103"/>
      <c r="P659" s="11"/>
    </row>
    <row r="660" spans="3:24" x14ac:dyDescent="0.25">
      <c r="C660" s="39"/>
      <c r="E660" s="72" t="s">
        <v>803</v>
      </c>
      <c r="F660" s="74"/>
      <c r="G660" s="74"/>
      <c r="H660" s="107">
        <f>3/H652</f>
        <v>0.42857142857142855</v>
      </c>
      <c r="P660" s="11"/>
    </row>
    <row r="661" spans="3:24" x14ac:dyDescent="0.25">
      <c r="C661" s="106"/>
      <c r="D661" s="52"/>
      <c r="E661" s="72" t="s">
        <v>804</v>
      </c>
      <c r="F661" s="74"/>
      <c r="G661" s="74"/>
      <c r="H661" s="107">
        <f>1/H653</f>
        <v>0.5</v>
      </c>
      <c r="P661" s="11"/>
    </row>
    <row r="662" spans="3:24" x14ac:dyDescent="0.25">
      <c r="C662" s="106"/>
      <c r="D662" s="52"/>
      <c r="E662" s="72" t="s">
        <v>805</v>
      </c>
      <c r="F662" s="74"/>
      <c r="G662" s="74"/>
      <c r="H662" s="107">
        <f>2/H654</f>
        <v>0.4</v>
      </c>
      <c r="P662" s="11"/>
    </row>
    <row r="663" spans="3:24" x14ac:dyDescent="0.25">
      <c r="C663" s="39"/>
      <c r="E663" s="72"/>
      <c r="F663" s="11"/>
      <c r="G663" s="11"/>
      <c r="H663" s="103"/>
      <c r="P663" s="11"/>
    </row>
    <row r="664" spans="3:24" x14ac:dyDescent="0.25">
      <c r="C664" s="39"/>
      <c r="E664" s="72" t="s">
        <v>1141</v>
      </c>
      <c r="F664" s="11"/>
      <c r="G664" s="11"/>
      <c r="H664" s="103">
        <v>2</v>
      </c>
    </row>
    <row r="665" spans="3:24" x14ac:dyDescent="0.25">
      <c r="E665" s="105" t="s">
        <v>1143</v>
      </c>
      <c r="F665" s="107"/>
      <c r="G665" s="107"/>
      <c r="H665" s="107">
        <f>+H664/H652</f>
        <v>0.2857142857142857</v>
      </c>
    </row>
    <row r="666" spans="3:24" x14ac:dyDescent="0.25">
      <c r="C666" s="39"/>
    </row>
    <row r="667" spans="3:24" x14ac:dyDescent="0.25">
      <c r="C667" s="38"/>
    </row>
    <row r="668" spans="3:24" x14ac:dyDescent="0.25">
      <c r="C668" s="39"/>
    </row>
    <row r="669" spans="3:24" x14ac:dyDescent="0.25">
      <c r="C669" s="39">
        <v>2017</v>
      </c>
      <c r="D669" s="102" t="s">
        <v>1150</v>
      </c>
      <c r="E669" s="63" t="s">
        <v>1151</v>
      </c>
      <c r="F669" s="64">
        <v>43083</v>
      </c>
      <c r="G669" s="65" t="s">
        <v>693</v>
      </c>
      <c r="H669" s="94">
        <v>979000</v>
      </c>
      <c r="I669" s="27">
        <v>1168000</v>
      </c>
      <c r="J669" s="27"/>
      <c r="K669" s="26">
        <v>0.1930541368743616</v>
      </c>
      <c r="L669" s="11" t="s">
        <v>465</v>
      </c>
      <c r="M669" s="15">
        <v>2</v>
      </c>
      <c r="N669" s="35" t="s">
        <v>25</v>
      </c>
      <c r="O669" s="15">
        <v>4</v>
      </c>
      <c r="P669" s="35" t="s">
        <v>458</v>
      </c>
      <c r="Q669" s="15"/>
      <c r="R669" s="24"/>
      <c r="S669" s="62" t="s">
        <v>784</v>
      </c>
      <c r="T669" s="15"/>
      <c r="U669" s="15"/>
      <c r="V669" s="54">
        <v>979000</v>
      </c>
      <c r="W669" s="54">
        <v>1168000</v>
      </c>
      <c r="X669" s="54">
        <v>-189000</v>
      </c>
    </row>
    <row r="670" spans="3:24" x14ac:dyDescent="0.25">
      <c r="C670" s="39">
        <v>2017</v>
      </c>
      <c r="D670" s="62" t="s">
        <v>986</v>
      </c>
      <c r="E670" s="63" t="s">
        <v>982</v>
      </c>
      <c r="F670" s="64">
        <v>42845</v>
      </c>
      <c r="G670" s="65" t="s">
        <v>190</v>
      </c>
      <c r="H670" s="94">
        <v>12630000</v>
      </c>
      <c r="I670" s="27">
        <v>10849023</v>
      </c>
      <c r="J670" s="27" t="s">
        <v>519</v>
      </c>
      <c r="K670" s="26">
        <v>-0.14101163895486934</v>
      </c>
      <c r="L670" s="11" t="s">
        <v>464</v>
      </c>
      <c r="M670" s="15">
        <v>2</v>
      </c>
      <c r="N670" s="35" t="s">
        <v>25</v>
      </c>
      <c r="O670" s="15">
        <v>2</v>
      </c>
      <c r="P670" s="35" t="s">
        <v>458</v>
      </c>
      <c r="Q670" s="15"/>
      <c r="R670" s="24"/>
      <c r="S670" s="62" t="s">
        <v>616</v>
      </c>
      <c r="T670" s="15"/>
      <c r="U670" s="15"/>
      <c r="V670" s="54">
        <v>12630000</v>
      </c>
      <c r="W670" s="54">
        <v>10849023</v>
      </c>
      <c r="X670" s="54">
        <v>1780977</v>
      </c>
    </row>
    <row r="671" spans="3:24" x14ac:dyDescent="0.25">
      <c r="C671" s="39">
        <v>2017</v>
      </c>
      <c r="D671" s="62" t="s">
        <v>916</v>
      </c>
      <c r="E671" s="63" t="s">
        <v>917</v>
      </c>
      <c r="F671" s="64">
        <v>42780</v>
      </c>
      <c r="G671" s="65" t="s">
        <v>34</v>
      </c>
      <c r="H671" s="94">
        <v>2580000</v>
      </c>
      <c r="I671" s="27">
        <v>1386000</v>
      </c>
      <c r="J671" s="27"/>
      <c r="K671" s="26">
        <v>-0.46279069767441861</v>
      </c>
      <c r="L671" s="11" t="s">
        <v>464</v>
      </c>
      <c r="M671" s="15">
        <v>16</v>
      </c>
      <c r="N671" s="35" t="s">
        <v>25</v>
      </c>
      <c r="O671" s="15">
        <v>1</v>
      </c>
      <c r="P671" s="35" t="s">
        <v>458</v>
      </c>
      <c r="Q671" s="15"/>
      <c r="R671" s="24" t="s">
        <v>1020</v>
      </c>
      <c r="S671" s="62" t="s">
        <v>616</v>
      </c>
      <c r="T671" s="15"/>
      <c r="U671" s="15"/>
      <c r="V671" s="54">
        <v>2580000</v>
      </c>
      <c r="W671" s="54">
        <v>1386000</v>
      </c>
      <c r="X671" s="54">
        <v>1194000</v>
      </c>
    </row>
    <row r="672" spans="3:24" x14ac:dyDescent="0.25">
      <c r="C672" s="39"/>
      <c r="E672" s="85"/>
      <c r="F672" s="85"/>
      <c r="G672" s="85"/>
      <c r="H672" s="86">
        <f>SUM(H669:H671)</f>
        <v>16189000</v>
      </c>
      <c r="I672" s="86">
        <f>SUM(I669:I671)</f>
        <v>13403023</v>
      </c>
      <c r="J672" s="85"/>
      <c r="K672" s="87">
        <f>+I672/H672</f>
        <v>0.82790925937364879</v>
      </c>
      <c r="L672" s="85">
        <f>COUNTA(L669:L671)</f>
        <v>3</v>
      </c>
      <c r="M672" s="88">
        <f>SUM(M669:M671)/L672</f>
        <v>6.666666666666667</v>
      </c>
      <c r="N672" s="89"/>
      <c r="O672" s="85"/>
      <c r="P672" s="114">
        <f>22/L672</f>
        <v>7.333333333333333</v>
      </c>
      <c r="Q672" s="85"/>
    </row>
    <row r="673" spans="3:16" x14ac:dyDescent="0.25">
      <c r="C673" s="39"/>
    </row>
    <row r="674" spans="3:16" x14ac:dyDescent="0.25">
      <c r="C674" s="39"/>
      <c r="E674" s="145" t="s">
        <v>1181</v>
      </c>
      <c r="F674" s="70"/>
      <c r="G674" s="70"/>
      <c r="H674" s="116" t="str">
        <f>"'17 final"</f>
        <v>'17 final</v>
      </c>
      <c r="P674" s="11"/>
    </row>
    <row r="675" spans="3:16" x14ac:dyDescent="0.25">
      <c r="C675" s="39"/>
      <c r="E675" s="71" t="s">
        <v>800</v>
      </c>
      <c r="F675" s="11"/>
      <c r="G675" s="11"/>
      <c r="H675" s="103">
        <f>+L672</f>
        <v>3</v>
      </c>
      <c r="P675" s="11"/>
    </row>
    <row r="676" spans="3:16" x14ac:dyDescent="0.25">
      <c r="C676" s="39"/>
      <c r="E676" s="72" t="s">
        <v>801</v>
      </c>
      <c r="F676" s="11"/>
      <c r="G676" s="11"/>
      <c r="H676" s="103">
        <f>+H675-H677</f>
        <v>2</v>
      </c>
      <c r="P676" s="11"/>
    </row>
    <row r="677" spans="3:16" x14ac:dyDescent="0.25">
      <c r="C677" s="39"/>
      <c r="E677" s="72" t="s">
        <v>802</v>
      </c>
      <c r="F677" s="11"/>
      <c r="G677" s="11"/>
      <c r="H677" s="103">
        <v>1</v>
      </c>
      <c r="P677" s="11"/>
    </row>
    <row r="678" spans="3:16" x14ac:dyDescent="0.25">
      <c r="C678" s="39"/>
      <c r="E678" s="72"/>
      <c r="F678" s="11"/>
      <c r="G678" s="11"/>
      <c r="H678" s="103"/>
      <c r="P678" s="11"/>
    </row>
    <row r="679" spans="3:16" x14ac:dyDescent="0.25">
      <c r="C679" s="39"/>
      <c r="E679" s="72" t="s">
        <v>1144</v>
      </c>
      <c r="F679" s="78"/>
      <c r="G679" s="78"/>
      <c r="H679" s="117">
        <f>+I672/1000000</f>
        <v>13.403022999999999</v>
      </c>
      <c r="I679" s="52"/>
      <c r="P679" s="11"/>
    </row>
    <row r="680" spans="3:16" x14ac:dyDescent="0.25">
      <c r="C680" s="39"/>
      <c r="E680" s="72" t="s">
        <v>806</v>
      </c>
      <c r="F680" s="75"/>
      <c r="G680" s="75"/>
      <c r="H680" s="118">
        <f>+M672</f>
        <v>6.666666666666667</v>
      </c>
      <c r="P680" s="11"/>
    </row>
    <row r="681" spans="3:16" x14ac:dyDescent="0.25">
      <c r="C681" s="39"/>
      <c r="E681" s="72" t="s">
        <v>807</v>
      </c>
      <c r="F681" s="74"/>
      <c r="G681" s="74"/>
      <c r="H681" s="119">
        <f>+I672/H672</f>
        <v>0.82790925937364879</v>
      </c>
      <c r="P681" s="11"/>
    </row>
    <row r="682" spans="3:16" x14ac:dyDescent="0.25">
      <c r="C682" s="39"/>
      <c r="E682" s="72"/>
      <c r="F682" s="11"/>
      <c r="G682" s="11"/>
      <c r="H682" s="103"/>
      <c r="P682" s="11"/>
    </row>
    <row r="683" spans="3:16" x14ac:dyDescent="0.25">
      <c r="C683" s="39"/>
      <c r="E683" s="72" t="s">
        <v>803</v>
      </c>
      <c r="F683" s="74"/>
      <c r="G683" s="74"/>
      <c r="H683" s="107">
        <f>2/3</f>
        <v>0.66666666666666663</v>
      </c>
      <c r="P683" s="11"/>
    </row>
    <row r="684" spans="3:16" x14ac:dyDescent="0.25">
      <c r="C684" s="106"/>
      <c r="D684" s="52"/>
      <c r="E684" s="72" t="s">
        <v>804</v>
      </c>
      <c r="F684" s="74"/>
      <c r="G684" s="74"/>
      <c r="H684" s="107">
        <f>1/2</f>
        <v>0.5</v>
      </c>
      <c r="P684" s="11"/>
    </row>
    <row r="685" spans="3:16" x14ac:dyDescent="0.25">
      <c r="C685" s="106"/>
      <c r="D685" s="52"/>
      <c r="E685" s="72" t="s">
        <v>805</v>
      </c>
      <c r="F685" s="74"/>
      <c r="G685" s="74"/>
      <c r="H685" s="107">
        <f>1/1</f>
        <v>1</v>
      </c>
      <c r="P685" s="11"/>
    </row>
    <row r="686" spans="3:16" x14ac:dyDescent="0.25">
      <c r="C686" s="39"/>
      <c r="E686" s="72"/>
      <c r="F686" s="11"/>
      <c r="G686" s="11"/>
      <c r="H686" s="103"/>
      <c r="P686" s="11"/>
    </row>
    <row r="687" spans="3:16" x14ac:dyDescent="0.25">
      <c r="C687" s="39"/>
      <c r="E687" s="72" t="s">
        <v>1141</v>
      </c>
      <c r="F687" s="11"/>
      <c r="G687" s="11"/>
      <c r="H687" s="103">
        <v>2</v>
      </c>
    </row>
    <row r="688" spans="3:16" x14ac:dyDescent="0.25">
      <c r="E688" s="105" t="s">
        <v>1143</v>
      </c>
      <c r="F688" s="107"/>
      <c r="G688" s="107"/>
      <c r="H688" s="107">
        <f>+H687/H675</f>
        <v>0.66666666666666663</v>
      </c>
    </row>
    <row r="689" spans="3:3" x14ac:dyDescent="0.25">
      <c r="C689" s="39"/>
    </row>
    <row r="690" spans="3:3" x14ac:dyDescent="0.25">
      <c r="C690" s="38"/>
    </row>
    <row r="691" spans="3:3" x14ac:dyDescent="0.25">
      <c r="C691" s="38"/>
    </row>
    <row r="692" spans="3:3" x14ac:dyDescent="0.25">
      <c r="C692" s="38"/>
    </row>
    <row r="693" spans="3:3" x14ac:dyDescent="0.25">
      <c r="C693" s="38"/>
    </row>
    <row r="694" spans="3:3" x14ac:dyDescent="0.25">
      <c r="C694" s="38"/>
    </row>
    <row r="695" spans="3:3" x14ac:dyDescent="0.25">
      <c r="C695" s="38"/>
    </row>
    <row r="696" spans="3:3" x14ac:dyDescent="0.25">
      <c r="C696" s="38"/>
    </row>
    <row r="697" spans="3:3" x14ac:dyDescent="0.25">
      <c r="C697" s="38"/>
    </row>
    <row r="698" spans="3:3" x14ac:dyDescent="0.25">
      <c r="C698" s="38"/>
    </row>
    <row r="699" spans="3:3" x14ac:dyDescent="0.25">
      <c r="C699" s="38"/>
    </row>
    <row r="700" spans="3:3" x14ac:dyDescent="0.25">
      <c r="C700" s="38"/>
    </row>
    <row r="701" spans="3:3" x14ac:dyDescent="0.25">
      <c r="C701" s="38"/>
    </row>
    <row r="702" spans="3:3" x14ac:dyDescent="0.25">
      <c r="C702" s="38"/>
    </row>
    <row r="703" spans="3:3" x14ac:dyDescent="0.25">
      <c r="C703" s="38"/>
    </row>
    <row r="704" spans="3:3" x14ac:dyDescent="0.25">
      <c r="C704" s="38"/>
    </row>
    <row r="705" spans="3:3" x14ac:dyDescent="0.25">
      <c r="C705" s="38"/>
    </row>
    <row r="706" spans="3:3" x14ac:dyDescent="0.25">
      <c r="C706" s="38"/>
    </row>
    <row r="707" spans="3:3" x14ac:dyDescent="0.25">
      <c r="C707" s="38"/>
    </row>
    <row r="708" spans="3:3" x14ac:dyDescent="0.25">
      <c r="C708" s="38"/>
    </row>
    <row r="709" spans="3:3" x14ac:dyDescent="0.25">
      <c r="C709" s="38"/>
    </row>
    <row r="710" spans="3:3" x14ac:dyDescent="0.25">
      <c r="C710" s="38"/>
    </row>
    <row r="711" spans="3:3" x14ac:dyDescent="0.25">
      <c r="C711" s="38"/>
    </row>
    <row r="712" spans="3:3" x14ac:dyDescent="0.25">
      <c r="C712" s="38"/>
    </row>
    <row r="713" spans="3:3" x14ac:dyDescent="0.25">
      <c r="C713" s="38"/>
    </row>
    <row r="714" spans="3:3" x14ac:dyDescent="0.25">
      <c r="C714" s="38"/>
    </row>
    <row r="715" spans="3:3" x14ac:dyDescent="0.25">
      <c r="C715" s="38"/>
    </row>
    <row r="716" spans="3:3" x14ac:dyDescent="0.25">
      <c r="C716" s="38"/>
    </row>
    <row r="717" spans="3:3" x14ac:dyDescent="0.25">
      <c r="C717" s="38"/>
    </row>
    <row r="718" spans="3:3" x14ac:dyDescent="0.25">
      <c r="C718" s="38"/>
    </row>
    <row r="719" spans="3:3" x14ac:dyDescent="0.25">
      <c r="C719" s="38"/>
    </row>
    <row r="720" spans="3:3" x14ac:dyDescent="0.25">
      <c r="C720" s="38"/>
    </row>
    <row r="721" spans="3:3" x14ac:dyDescent="0.25">
      <c r="C721" s="38"/>
    </row>
    <row r="722" spans="3:3" x14ac:dyDescent="0.25">
      <c r="C722" s="38"/>
    </row>
    <row r="723" spans="3:3" x14ac:dyDescent="0.25">
      <c r="C723" s="38"/>
    </row>
    <row r="724" spans="3:3" x14ac:dyDescent="0.25">
      <c r="C724" s="38"/>
    </row>
    <row r="725" spans="3:3" x14ac:dyDescent="0.25">
      <c r="C725" s="38"/>
    </row>
    <row r="726" spans="3:3" x14ac:dyDescent="0.25">
      <c r="C726" s="38"/>
    </row>
    <row r="727" spans="3:3" x14ac:dyDescent="0.25">
      <c r="C727" s="38"/>
    </row>
    <row r="728" spans="3:3" x14ac:dyDescent="0.25">
      <c r="C728" s="38"/>
    </row>
    <row r="729" spans="3:3" x14ac:dyDescent="0.25">
      <c r="C729" s="38"/>
    </row>
    <row r="730" spans="3:3" x14ac:dyDescent="0.25">
      <c r="C730" s="38"/>
    </row>
    <row r="731" spans="3:3" x14ac:dyDescent="0.25">
      <c r="C731" s="38"/>
    </row>
    <row r="732" spans="3:3" x14ac:dyDescent="0.25">
      <c r="C732" s="38"/>
    </row>
    <row r="733" spans="3:3" x14ac:dyDescent="0.25">
      <c r="C733" s="38"/>
    </row>
    <row r="734" spans="3:3" x14ac:dyDescent="0.25">
      <c r="C734" s="38"/>
    </row>
    <row r="735" spans="3:3" x14ac:dyDescent="0.25">
      <c r="C735" s="38"/>
    </row>
    <row r="736" spans="3:3" x14ac:dyDescent="0.25">
      <c r="C736" s="38"/>
    </row>
    <row r="737" spans="3:3" x14ac:dyDescent="0.25">
      <c r="C737" s="38"/>
    </row>
    <row r="738" spans="3:3" x14ac:dyDescent="0.25">
      <c r="C738" s="38"/>
    </row>
    <row r="739" spans="3:3" x14ac:dyDescent="0.25">
      <c r="C739" s="38"/>
    </row>
    <row r="740" spans="3:3" x14ac:dyDescent="0.25">
      <c r="C740" s="38"/>
    </row>
    <row r="741" spans="3:3" x14ac:dyDescent="0.25">
      <c r="C741" s="38"/>
    </row>
    <row r="742" spans="3:3" x14ac:dyDescent="0.25">
      <c r="C742" s="38"/>
    </row>
    <row r="743" spans="3:3" x14ac:dyDescent="0.25">
      <c r="C743" s="38"/>
    </row>
    <row r="744" spans="3:3" x14ac:dyDescent="0.25">
      <c r="C744" s="38"/>
    </row>
    <row r="745" spans="3:3" x14ac:dyDescent="0.25">
      <c r="C745" s="38"/>
    </row>
    <row r="746" spans="3:3" x14ac:dyDescent="0.25">
      <c r="C746" s="38"/>
    </row>
    <row r="747" spans="3:3" x14ac:dyDescent="0.25">
      <c r="C747" s="38"/>
    </row>
    <row r="748" spans="3:3" x14ac:dyDescent="0.25">
      <c r="C748" s="38"/>
    </row>
    <row r="749" spans="3:3" x14ac:dyDescent="0.25">
      <c r="C749" s="38"/>
    </row>
    <row r="750" spans="3:3" x14ac:dyDescent="0.25">
      <c r="C750" s="38"/>
    </row>
    <row r="751" spans="3:3" x14ac:dyDescent="0.25">
      <c r="C751" s="38"/>
    </row>
    <row r="752" spans="3:3" x14ac:dyDescent="0.25">
      <c r="C752" s="38"/>
    </row>
    <row r="753" spans="3:3" x14ac:dyDescent="0.25">
      <c r="C753" s="38"/>
    </row>
    <row r="754" spans="3:3" x14ac:dyDescent="0.25">
      <c r="C754" s="38"/>
    </row>
    <row r="755" spans="3:3" x14ac:dyDescent="0.25">
      <c r="C755" s="38"/>
    </row>
    <row r="756" spans="3:3" x14ac:dyDescent="0.25">
      <c r="C756" s="38"/>
    </row>
    <row r="757" spans="3:3" x14ac:dyDescent="0.25">
      <c r="C757" s="38"/>
    </row>
    <row r="758" spans="3:3" x14ac:dyDescent="0.25">
      <c r="C758" s="38"/>
    </row>
    <row r="759" spans="3:3" x14ac:dyDescent="0.25">
      <c r="C759" s="38"/>
    </row>
    <row r="760" spans="3:3" x14ac:dyDescent="0.25">
      <c r="C760" s="38"/>
    </row>
    <row r="761" spans="3:3" x14ac:dyDescent="0.25">
      <c r="C761" s="38"/>
    </row>
    <row r="762" spans="3:3" x14ac:dyDescent="0.25">
      <c r="C762" s="38"/>
    </row>
    <row r="763" spans="3:3" x14ac:dyDescent="0.25">
      <c r="C763" s="38"/>
    </row>
    <row r="764" spans="3:3" x14ac:dyDescent="0.25">
      <c r="C764" s="38"/>
    </row>
    <row r="765" spans="3:3" x14ac:dyDescent="0.25">
      <c r="C765" s="38"/>
    </row>
    <row r="766" spans="3:3" x14ac:dyDescent="0.25">
      <c r="C766" s="38"/>
    </row>
    <row r="767" spans="3:3" x14ac:dyDescent="0.25">
      <c r="C767" s="38"/>
    </row>
    <row r="768" spans="3:3" x14ac:dyDescent="0.25">
      <c r="C768" s="38"/>
    </row>
    <row r="769" spans="3:3" x14ac:dyDescent="0.25">
      <c r="C769" s="38"/>
    </row>
    <row r="770" spans="3:3" x14ac:dyDescent="0.25">
      <c r="C770" s="38"/>
    </row>
    <row r="771" spans="3:3" x14ac:dyDescent="0.25">
      <c r="C771" s="38"/>
    </row>
    <row r="772" spans="3:3" x14ac:dyDescent="0.25">
      <c r="C772" s="38"/>
    </row>
    <row r="773" spans="3:3" x14ac:dyDescent="0.25">
      <c r="C773" s="38"/>
    </row>
    <row r="774" spans="3:3" x14ac:dyDescent="0.25">
      <c r="C774" s="38"/>
    </row>
    <row r="775" spans="3:3" x14ac:dyDescent="0.25">
      <c r="C775" s="38"/>
    </row>
    <row r="776" spans="3:3" x14ac:dyDescent="0.25">
      <c r="C776" s="38"/>
    </row>
    <row r="777" spans="3:3" x14ac:dyDescent="0.25">
      <c r="C777" s="38"/>
    </row>
    <row r="778" spans="3:3" x14ac:dyDescent="0.25">
      <c r="C778" s="38"/>
    </row>
    <row r="779" spans="3:3" x14ac:dyDescent="0.25">
      <c r="C779" s="38"/>
    </row>
    <row r="780" spans="3:3" x14ac:dyDescent="0.25">
      <c r="C780" s="38"/>
    </row>
    <row r="781" spans="3:3" x14ac:dyDescent="0.25">
      <c r="C781" s="38"/>
    </row>
    <row r="782" spans="3:3" x14ac:dyDescent="0.25">
      <c r="C782" s="38"/>
    </row>
  </sheetData>
  <mergeCells count="1">
    <mergeCell ref="K556:L556"/>
  </mergeCells>
  <conditionalFormatting sqref="L77:L79 L613:L621 L642:L648 L669:L671 L579:L593 L253:L286 L495:L510">
    <cfRule type="containsText" dxfId="5724" priority="520" operator="containsText" text="FAIL">
      <formula>NOT(ISERROR(SEARCH("FAIL",L77)))</formula>
    </cfRule>
  </conditionalFormatting>
  <conditionalFormatting sqref="L77:L79 L613:L621 L642:L648 L669:L671 L579:L593 L253:L286 L495:L510">
    <cfRule type="containsText" dxfId="5723" priority="519" operator="containsText" text="GOOD">
      <formula>NOT(ISERROR(SEARCH("GOOD",L77)))</formula>
    </cfRule>
  </conditionalFormatting>
  <conditionalFormatting sqref="L8 L10">
    <cfRule type="containsText" dxfId="5722" priority="240" operator="containsText" text="FAIL">
      <formula>NOT(ISERROR(SEARCH("FAIL",L8)))</formula>
    </cfRule>
  </conditionalFormatting>
  <conditionalFormatting sqref="L8 L10">
    <cfRule type="containsText" dxfId="5721" priority="239" operator="containsText" text="GOOD">
      <formula>NOT(ISERROR(SEARCH("GOOD",L8)))</formula>
    </cfRule>
  </conditionalFormatting>
  <conditionalFormatting sqref="L7">
    <cfRule type="containsText" dxfId="5720" priority="238" operator="containsText" text="FAIL">
      <formula>NOT(ISERROR(SEARCH("FAIL",L7)))</formula>
    </cfRule>
  </conditionalFormatting>
  <conditionalFormatting sqref="L7">
    <cfRule type="containsText" dxfId="5719" priority="237" operator="containsText" text="GOOD">
      <formula>NOT(ISERROR(SEARCH("GOOD",L7)))</formula>
    </cfRule>
  </conditionalFormatting>
  <conditionalFormatting sqref="L114">
    <cfRule type="containsText" dxfId="5718" priority="234" operator="containsText" text="FAIL">
      <formula>NOT(ISERROR(SEARCH("FAIL",L114)))</formula>
    </cfRule>
  </conditionalFormatting>
  <conditionalFormatting sqref="L114">
    <cfRule type="containsText" dxfId="5717" priority="233" operator="containsText" text="GOOD">
      <formula>NOT(ISERROR(SEARCH("GOOD",L114)))</formula>
    </cfRule>
  </conditionalFormatting>
  <conditionalFormatting sqref="L116:L136 L138:L146">
    <cfRule type="containsText" dxfId="5716" priority="230" operator="containsText" text="FAIL">
      <formula>NOT(ISERROR(SEARCH("FAIL",L116)))</formula>
    </cfRule>
  </conditionalFormatting>
  <conditionalFormatting sqref="L116:L136 L138:L146">
    <cfRule type="containsText" dxfId="5715" priority="229" operator="containsText" text="GOOD">
      <formula>NOT(ISERROR(SEARCH("GOOD",L116)))</formula>
    </cfRule>
  </conditionalFormatting>
  <conditionalFormatting sqref="L137">
    <cfRule type="containsText" dxfId="5714" priority="228" operator="containsText" text="FAIL">
      <formula>NOT(ISERROR(SEARCH("FAIL",L137)))</formula>
    </cfRule>
  </conditionalFormatting>
  <conditionalFormatting sqref="L137">
    <cfRule type="containsText" dxfId="5713" priority="227" operator="containsText" text="GOOD">
      <formula>NOT(ISERROR(SEARCH("GOOD",L137)))</formula>
    </cfRule>
  </conditionalFormatting>
  <conditionalFormatting sqref="L178:L186">
    <cfRule type="containsText" dxfId="5712" priority="218" operator="containsText" text="FAIL">
      <formula>NOT(ISERROR(SEARCH("FAIL",L178)))</formula>
    </cfRule>
  </conditionalFormatting>
  <conditionalFormatting sqref="L178:L186">
    <cfRule type="containsText" dxfId="5711" priority="217" operator="containsText" text="GOOD">
      <formula>NOT(ISERROR(SEARCH("GOOD",L178)))</formula>
    </cfRule>
  </conditionalFormatting>
  <conditionalFormatting sqref="L150:L174">
    <cfRule type="containsText" dxfId="5710" priority="214" operator="containsText" text="FAIL">
      <formula>NOT(ISERROR(SEARCH("FAIL",L150)))</formula>
    </cfRule>
  </conditionalFormatting>
  <conditionalFormatting sqref="L150:L174">
    <cfRule type="containsText" dxfId="5709" priority="213" operator="containsText" text="GOOD">
      <formula>NOT(ISERROR(SEARCH("GOOD",L150)))</formula>
    </cfRule>
  </conditionalFormatting>
  <conditionalFormatting sqref="L214:L230">
    <cfRule type="containsText" dxfId="5708" priority="198" operator="containsText" text="FAIL">
      <formula>NOT(ISERROR(SEARCH("FAIL",L214)))</formula>
    </cfRule>
  </conditionalFormatting>
  <conditionalFormatting sqref="L214:L230">
    <cfRule type="containsText" dxfId="5707" priority="197" operator="containsText" text="GOOD">
      <formula>NOT(ISERROR(SEARCH("GOOD",L214)))</formula>
    </cfRule>
  </conditionalFormatting>
  <conditionalFormatting sqref="L310:L319">
    <cfRule type="containsText" dxfId="5706" priority="196" operator="containsText" text="FAIL">
      <formula>NOT(ISERROR(SEARCH("FAIL",L310)))</formula>
    </cfRule>
  </conditionalFormatting>
  <conditionalFormatting sqref="L310:L319">
    <cfRule type="containsText" dxfId="5705" priority="195" operator="containsText" text="GOOD">
      <formula>NOT(ISERROR(SEARCH("GOOD",L310)))</formula>
    </cfRule>
  </conditionalFormatting>
  <conditionalFormatting sqref="L342:L345">
    <cfRule type="containsText" dxfId="5704" priority="194" operator="containsText" text="FAIL">
      <formula>NOT(ISERROR(SEARCH("FAIL",L342)))</formula>
    </cfRule>
  </conditionalFormatting>
  <conditionalFormatting sqref="L342:L345">
    <cfRule type="containsText" dxfId="5703" priority="193" operator="containsText" text="GOOD">
      <formula>NOT(ISERROR(SEARCH("GOOD",L342)))</formula>
    </cfRule>
  </conditionalFormatting>
  <conditionalFormatting sqref="L480">
    <cfRule type="containsText" dxfId="5702" priority="180" operator="containsText" text="FAIL">
      <formula>NOT(ISERROR(SEARCH("FAIL",L480)))</formula>
    </cfRule>
  </conditionalFormatting>
  <conditionalFormatting sqref="L480">
    <cfRule type="containsText" dxfId="5701" priority="179" operator="containsText" text="GOOD">
      <formula>NOT(ISERROR(SEARCH("GOOD",L480)))</formula>
    </cfRule>
  </conditionalFormatting>
  <conditionalFormatting sqref="L481:L490">
    <cfRule type="containsText" dxfId="5700" priority="176" operator="containsText" text="FAIL">
      <formula>NOT(ISERROR(SEARCH("FAIL",L481)))</formula>
    </cfRule>
  </conditionalFormatting>
  <conditionalFormatting sqref="L481:L490">
    <cfRule type="containsText" dxfId="5699" priority="175" operator="containsText" text="GOOD">
      <formula>NOT(ISERROR(SEARCH("GOOD",L481)))</formula>
    </cfRule>
  </conditionalFormatting>
  <conditionalFormatting sqref="L494">
    <cfRule type="containsText" dxfId="5698" priority="174" operator="containsText" text="FAIL">
      <formula>NOT(ISERROR(SEARCH("FAIL",L494)))</formula>
    </cfRule>
  </conditionalFormatting>
  <conditionalFormatting sqref="L494">
    <cfRule type="containsText" dxfId="5697" priority="173" operator="containsText" text="GOOD">
      <formula>NOT(ISERROR(SEARCH("GOOD",L494)))</formula>
    </cfRule>
  </conditionalFormatting>
  <conditionalFormatting sqref="L524:L554">
    <cfRule type="containsText" dxfId="5696" priority="162" operator="containsText" text="FAIL">
      <formula>NOT(ISERROR(SEARCH("FAIL",L524)))</formula>
    </cfRule>
  </conditionalFormatting>
  <conditionalFormatting sqref="L524:L554">
    <cfRule type="containsText" dxfId="5695" priority="161" operator="containsText" text="GOOD">
      <formula>NOT(ISERROR(SEARCH("GOOD",L524)))</formula>
    </cfRule>
  </conditionalFormatting>
  <conditionalFormatting sqref="L514:L519">
    <cfRule type="containsText" dxfId="5694" priority="160" operator="containsText" text="FAIL">
      <formula>NOT(ISERROR(SEARCH("FAIL",L514)))</formula>
    </cfRule>
  </conditionalFormatting>
  <conditionalFormatting sqref="L514:L519">
    <cfRule type="containsText" dxfId="5693" priority="159" operator="containsText" text="GOOD">
      <formula>NOT(ISERROR(SEARCH("GOOD",L514)))</formula>
    </cfRule>
  </conditionalFormatting>
  <conditionalFormatting sqref="L9">
    <cfRule type="containsText" dxfId="5692" priority="158" operator="containsText" text="FAIL">
      <formula>NOT(ISERROR(SEARCH("FAIL",L9)))</formula>
    </cfRule>
  </conditionalFormatting>
  <conditionalFormatting sqref="L9">
    <cfRule type="containsText" dxfId="5691" priority="157" operator="containsText" text="GOOD">
      <formula>NOT(ISERROR(SEARCH("GOOD",L9)))</formula>
    </cfRule>
  </conditionalFormatting>
  <conditionalFormatting sqref="L115">
    <cfRule type="containsText" dxfId="5690" priority="156" operator="containsText" text="FAIL">
      <formula>NOT(ISERROR(SEARCH("FAIL",L115)))</formula>
    </cfRule>
  </conditionalFormatting>
  <conditionalFormatting sqref="L115">
    <cfRule type="containsText" dxfId="5689" priority="155" operator="containsText" text="GOOD">
      <formula>NOT(ISERROR(SEARCH("GOOD",L115)))</formula>
    </cfRule>
  </conditionalFormatting>
  <conditionalFormatting sqref="L309">
    <cfRule type="containsText" dxfId="5688" priority="154" operator="containsText" text="FAIL">
      <formula>NOT(ISERROR(SEARCH("FAIL",L309)))</formula>
    </cfRule>
  </conditionalFormatting>
  <conditionalFormatting sqref="L309">
    <cfRule type="containsText" dxfId="5687" priority="153" operator="containsText" text="GOOD">
      <formula>NOT(ISERROR(SEARCH("GOOD",L309)))</formula>
    </cfRule>
  </conditionalFormatting>
  <conditionalFormatting sqref="L523">
    <cfRule type="containsText" dxfId="5686" priority="150" operator="containsText" text="FAIL">
      <formula>NOT(ISERROR(SEARCH("FAIL",L523)))</formula>
    </cfRule>
  </conditionalFormatting>
  <conditionalFormatting sqref="L523">
    <cfRule type="containsText" dxfId="5685" priority="149" operator="containsText" text="GOOD">
      <formula>NOT(ISERROR(SEARCH("GOOD",L523)))</formula>
    </cfRule>
  </conditionalFormatting>
  <conditionalFormatting sqref="L370">
    <cfRule type="containsText" dxfId="5684" priority="112" operator="containsText" text="FAIL">
      <formula>NOT(ISERROR(SEARCH("FAIL",L370)))</formula>
    </cfRule>
  </conditionalFormatting>
  <conditionalFormatting sqref="L370">
    <cfRule type="containsText" dxfId="5683" priority="111" operator="containsText" text="GOOD">
      <formula>NOT(ISERROR(SEARCH("GOOD",L370)))</formula>
    </cfRule>
  </conditionalFormatting>
  <conditionalFormatting sqref="L377">
    <cfRule type="containsText" dxfId="5682" priority="102" operator="containsText" text="FAIL">
      <formula>NOT(ISERROR(SEARCH("FAIL",L377)))</formula>
    </cfRule>
  </conditionalFormatting>
  <conditionalFormatting sqref="L377">
    <cfRule type="containsText" dxfId="5681" priority="101" operator="containsText" text="GOOD">
      <formula>NOT(ISERROR(SEARCH("GOOD",L377)))</formula>
    </cfRule>
  </conditionalFormatting>
  <conditionalFormatting sqref="L374">
    <cfRule type="containsText" dxfId="5680" priority="8" operator="containsText" text="FAIL">
      <formula>NOT(ISERROR(SEARCH("FAIL",L374)))</formula>
    </cfRule>
  </conditionalFormatting>
  <conditionalFormatting sqref="L374">
    <cfRule type="containsText" dxfId="5679" priority="7" operator="containsText" text="GOOD">
      <formula>NOT(ISERROR(SEARCH("GOOD",L374)))</formula>
    </cfRule>
  </conditionalFormatting>
  <conditionalFormatting sqref="L378:L384">
    <cfRule type="containsText" dxfId="5678" priority="6" operator="containsText" text="FAIL">
      <formula>NOT(ISERROR(SEARCH("FAIL",L378)))</formula>
    </cfRule>
  </conditionalFormatting>
  <conditionalFormatting sqref="L378:L384">
    <cfRule type="containsText" dxfId="5677" priority="5" operator="containsText" text="GOOD">
      <formula>NOT(ISERROR(SEARCH("GOOD",L378)))</formula>
    </cfRule>
  </conditionalFormatting>
  <conditionalFormatting sqref="L387:L456">
    <cfRule type="containsText" dxfId="5676" priority="4" operator="containsText" text="FAIL">
      <formula>NOT(ISERROR(SEARCH("FAIL",L387)))</formula>
    </cfRule>
  </conditionalFormatting>
  <conditionalFormatting sqref="L387:L456">
    <cfRule type="containsText" dxfId="5675" priority="3" operator="containsText" text="GOOD">
      <formula>NOT(ISERROR(SEARCH("GOOD",L387)))</formula>
    </cfRule>
  </conditionalFormatting>
  <conditionalFormatting sqref="K459">
    <cfRule type="containsText" dxfId="5674" priority="2" operator="containsText" text="FAIL">
      <formula>NOT(ISERROR(SEARCH("FAIL",K459)))</formula>
    </cfRule>
  </conditionalFormatting>
  <conditionalFormatting sqref="K459">
    <cfRule type="containsText" dxfId="5673" priority="1" operator="containsText" text="GOOD">
      <formula>NOT(ISERROR(SEARCH("GOOD",K459)))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56" operator="containsText" text="FAIL" id="{A6BE24F9-B90B-4310-9109-06FAFB151F60}">
            <xm:f>NOT(ISERROR(SEARCH("FAIL",SUMMARY!L122)))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L179:L186 L59:L76 L38:L57 L25:L36 L11:L23</xm:sqref>
        </x14:conditionalFormatting>
        <x14:conditionalFormatting xmlns:xm="http://schemas.microsoft.com/office/excel/2006/main">
          <x14:cfRule type="containsText" priority="355" operator="containsText" text="GOOD" id="{24940A5F-9387-4757-B1D9-0B9329BD9752}">
            <xm:f>NOT(ISERROR(SEARCH("GOOD",SUMMARY!L122)))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L179:L186 L59:L76 L38:L57 L25:L36 L11:L23</xm:sqref>
        </x14:conditionalFormatting>
        <x14:conditionalFormatting xmlns:xm="http://schemas.microsoft.com/office/excel/2006/main">
          <x14:cfRule type="containsText" priority="146" operator="containsText" text="FAIL" id="{C5724D80-3E32-4C2B-9350-607BF0A7628A}">
            <xm:f>NOT(ISERROR(SEARCH("FAIL",SUMMARY!L606)))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L579</xm:sqref>
        </x14:conditionalFormatting>
        <x14:conditionalFormatting xmlns:xm="http://schemas.microsoft.com/office/excel/2006/main">
          <x14:cfRule type="containsText" priority="145" operator="containsText" text="GOOD" id="{DF9C1614-7650-4B7E-8118-D6267180F0D9}">
            <xm:f>NOT(ISERROR(SEARCH("GOOD",SUMMARY!L606)))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L579</xm:sqref>
        </x14:conditionalFormatting>
        <x14:conditionalFormatting xmlns:xm="http://schemas.microsoft.com/office/excel/2006/main">
          <x14:cfRule type="containsText" priority="661" operator="containsText" text="FAIL" id="{C166A120-D701-4C30-8090-63B1AC59DDDA}">
            <xm:f>NOT(ISERROR(SEARCH("FAIL",SUMMARY!L608)))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L580:L582</xm:sqref>
        </x14:conditionalFormatting>
        <x14:conditionalFormatting xmlns:xm="http://schemas.microsoft.com/office/excel/2006/main">
          <x14:cfRule type="containsText" priority="663" operator="containsText" text="GOOD" id="{911CD586-A092-4CB8-822E-33415B504CF8}">
            <xm:f>NOT(ISERROR(SEARCH("GOOD",SUMMARY!L608)))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L580:L582</xm:sqref>
        </x14:conditionalFormatting>
        <x14:conditionalFormatting xmlns:xm="http://schemas.microsoft.com/office/excel/2006/main">
          <x14:cfRule type="containsText" priority="684" operator="containsText" text="FAIL" id="{C166A120-D701-4C30-8090-63B1AC59DDDA}">
            <xm:f>NOT(ISERROR(SEARCH("FAIL",SUMMARY!L612)))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L583:L585</xm:sqref>
        </x14:conditionalFormatting>
        <x14:conditionalFormatting xmlns:xm="http://schemas.microsoft.com/office/excel/2006/main">
          <x14:cfRule type="containsText" priority="686" operator="containsText" text="GOOD" id="{911CD586-A092-4CB8-822E-33415B504CF8}">
            <xm:f>NOT(ISERROR(SEARCH("GOOD",SUMMARY!L612)))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L583:L585</xm:sqref>
        </x14:conditionalFormatting>
        <x14:conditionalFormatting xmlns:xm="http://schemas.microsoft.com/office/excel/2006/main">
          <x14:cfRule type="containsText" priority="707" operator="containsText" text="FAIL" id="{C166A120-D701-4C30-8090-63B1AC59DDDA}">
            <xm:f>NOT(ISERROR(SEARCH("FAIL",SUMMARY!L619)))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L586:L587</xm:sqref>
        </x14:conditionalFormatting>
        <x14:conditionalFormatting xmlns:xm="http://schemas.microsoft.com/office/excel/2006/main">
          <x14:cfRule type="containsText" priority="709" operator="containsText" text="GOOD" id="{911CD586-A092-4CB8-822E-33415B504CF8}">
            <xm:f>NOT(ISERROR(SEARCH("GOOD",SUMMARY!L619)))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L586:L587</xm:sqref>
        </x14:conditionalFormatting>
        <x14:conditionalFormatting xmlns:xm="http://schemas.microsoft.com/office/excel/2006/main">
          <x14:cfRule type="containsText" priority="730" operator="containsText" text="FAIL" id="{C166A120-D701-4C30-8090-63B1AC59DDDA}">
            <xm:f>NOT(ISERROR(SEARCH("FAIL",SUMMARY!L622)))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L588:L590</xm:sqref>
        </x14:conditionalFormatting>
        <x14:conditionalFormatting xmlns:xm="http://schemas.microsoft.com/office/excel/2006/main">
          <x14:cfRule type="containsText" priority="732" operator="containsText" text="GOOD" id="{911CD586-A092-4CB8-822E-33415B504CF8}">
            <xm:f>NOT(ISERROR(SEARCH("GOOD",SUMMARY!L622)))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L588:L590</xm:sqref>
        </x14:conditionalFormatting>
        <x14:conditionalFormatting xmlns:xm="http://schemas.microsoft.com/office/excel/2006/main">
          <x14:cfRule type="containsText" priority="753" operator="containsText" text="FAIL" id="{C166A120-D701-4C30-8090-63B1AC59DDDA}">
            <xm:f>NOT(ISERROR(SEARCH("FAIL",SUMMARY!L627)))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L591</xm:sqref>
        </x14:conditionalFormatting>
        <x14:conditionalFormatting xmlns:xm="http://schemas.microsoft.com/office/excel/2006/main">
          <x14:cfRule type="containsText" priority="755" operator="containsText" text="GOOD" id="{911CD586-A092-4CB8-822E-33415B504CF8}">
            <xm:f>NOT(ISERROR(SEARCH("GOOD",SUMMARY!L627)))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L591</xm:sqref>
        </x14:conditionalFormatting>
        <x14:conditionalFormatting xmlns:xm="http://schemas.microsoft.com/office/excel/2006/main">
          <x14:cfRule type="containsText" priority="799" operator="containsText" text="FAIL" id="{C166A120-D701-4C30-8090-63B1AC59DDDA}">
            <xm:f>NOT(ISERROR(SEARCH("FAIL",SUMMARY!L632)))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L592</xm:sqref>
        </x14:conditionalFormatting>
        <x14:conditionalFormatting xmlns:xm="http://schemas.microsoft.com/office/excel/2006/main">
          <x14:cfRule type="containsText" priority="801" operator="containsText" text="GOOD" id="{911CD586-A092-4CB8-822E-33415B504CF8}">
            <xm:f>NOT(ISERROR(SEARCH("GOOD",SUMMARY!L632)))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L592</xm:sqref>
        </x14:conditionalFormatting>
        <x14:conditionalFormatting xmlns:xm="http://schemas.microsoft.com/office/excel/2006/main">
          <x14:cfRule type="containsText" priority="818" operator="containsText" text="FAIL" id="{C166A120-D701-4C30-8090-63B1AC59DDDA}">
            <xm:f>NOT(ISERROR(SEARCH("FAIL",SUMMARY!L636)))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L593</xm:sqref>
        </x14:conditionalFormatting>
        <x14:conditionalFormatting xmlns:xm="http://schemas.microsoft.com/office/excel/2006/main">
          <x14:cfRule type="containsText" priority="819" operator="containsText" text="GOOD" id="{911CD586-A092-4CB8-822E-33415B504CF8}">
            <xm:f>NOT(ISERROR(SEARCH("GOOD",SUMMARY!L636)))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L593</xm:sqref>
        </x14:conditionalFormatting>
        <x14:conditionalFormatting xmlns:xm="http://schemas.microsoft.com/office/excel/2006/main">
          <x14:cfRule type="containsText" priority="856" operator="containsText" text="FAIL" id="{646AEA0B-89D1-4B38-9EC2-2F2F9B450A59}">
            <xm:f>NOT(ISERROR(SEARCH("FAIL",SUMMARY!L661)))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L613</xm:sqref>
        </x14:conditionalFormatting>
        <x14:conditionalFormatting xmlns:xm="http://schemas.microsoft.com/office/excel/2006/main">
          <x14:cfRule type="containsText" priority="858" operator="containsText" text="GOOD" id="{574DA6DD-982E-41C2-B17B-435FF5E9CD6A}">
            <xm:f>NOT(ISERROR(SEARCH("GOOD",SUMMARY!L661)))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L613</xm:sqref>
        </x14:conditionalFormatting>
        <x14:conditionalFormatting xmlns:xm="http://schemas.microsoft.com/office/excel/2006/main">
          <x14:cfRule type="containsText" priority="895" operator="containsText" text="FAIL" id="{646AEA0B-89D1-4B38-9EC2-2F2F9B450A59}">
            <xm:f>NOT(ISERROR(SEARCH("FAIL",SUMMARY!L665)))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L614</xm:sqref>
        </x14:conditionalFormatting>
        <x14:conditionalFormatting xmlns:xm="http://schemas.microsoft.com/office/excel/2006/main">
          <x14:cfRule type="containsText" priority="897" operator="containsText" text="GOOD" id="{574DA6DD-982E-41C2-B17B-435FF5E9CD6A}">
            <xm:f>NOT(ISERROR(SEARCH("GOOD",SUMMARY!L665)))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L614</xm:sqref>
        </x14:conditionalFormatting>
        <x14:conditionalFormatting xmlns:xm="http://schemas.microsoft.com/office/excel/2006/main">
          <x14:cfRule type="containsText" priority="934" operator="containsText" text="FAIL" id="{646AEA0B-89D1-4B38-9EC2-2F2F9B450A59}">
            <xm:f>NOT(ISERROR(SEARCH("FAIL",SUMMARY!L670)))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L615:L616</xm:sqref>
        </x14:conditionalFormatting>
        <x14:conditionalFormatting xmlns:xm="http://schemas.microsoft.com/office/excel/2006/main">
          <x14:cfRule type="containsText" priority="936" operator="containsText" text="GOOD" id="{574DA6DD-982E-41C2-B17B-435FF5E9CD6A}">
            <xm:f>NOT(ISERROR(SEARCH("GOOD",SUMMARY!L670)))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L615:L616</xm:sqref>
        </x14:conditionalFormatting>
        <x14:conditionalFormatting xmlns:xm="http://schemas.microsoft.com/office/excel/2006/main">
          <x14:cfRule type="containsText" priority="973" operator="containsText" text="FAIL" id="{646AEA0B-89D1-4B38-9EC2-2F2F9B450A59}">
            <xm:f>NOT(ISERROR(SEARCH("FAIL",SUMMARY!L679)))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L617</xm:sqref>
        </x14:conditionalFormatting>
        <x14:conditionalFormatting xmlns:xm="http://schemas.microsoft.com/office/excel/2006/main">
          <x14:cfRule type="containsText" priority="975" operator="containsText" text="GOOD" id="{574DA6DD-982E-41C2-B17B-435FF5E9CD6A}">
            <xm:f>NOT(ISERROR(SEARCH("GOOD",SUMMARY!L679)))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L617</xm:sqref>
        </x14:conditionalFormatting>
        <x14:conditionalFormatting xmlns:xm="http://schemas.microsoft.com/office/excel/2006/main">
          <x14:cfRule type="containsText" priority="1012" operator="containsText" text="FAIL" id="{646AEA0B-89D1-4B38-9EC2-2F2F9B450A59}">
            <xm:f>NOT(ISERROR(SEARCH("FAIL",SUMMARY!L687)))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L618:L619</xm:sqref>
        </x14:conditionalFormatting>
        <x14:conditionalFormatting xmlns:xm="http://schemas.microsoft.com/office/excel/2006/main">
          <x14:cfRule type="containsText" priority="1014" operator="containsText" text="GOOD" id="{574DA6DD-982E-41C2-B17B-435FF5E9CD6A}">
            <xm:f>NOT(ISERROR(SEARCH("GOOD",SUMMARY!L687)))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L618:L619</xm:sqref>
        </x14:conditionalFormatting>
        <x14:conditionalFormatting xmlns:xm="http://schemas.microsoft.com/office/excel/2006/main">
          <x14:cfRule type="containsText" priority="1049" operator="containsText" text="FAIL" id="{646AEA0B-89D1-4B38-9EC2-2F2F9B450A59}">
            <xm:f>NOT(ISERROR(SEARCH("FAIL",SUMMARY!L691)))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L620:L621</xm:sqref>
        </x14:conditionalFormatting>
        <x14:conditionalFormatting xmlns:xm="http://schemas.microsoft.com/office/excel/2006/main">
          <x14:cfRule type="containsText" priority="1050" operator="containsText" text="GOOD" id="{574DA6DD-982E-41C2-B17B-435FF5E9CD6A}">
            <xm:f>NOT(ISERROR(SEARCH("GOOD",SUMMARY!L691)))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L620:L621</xm:sqref>
        </x14:conditionalFormatting>
        <x14:conditionalFormatting xmlns:xm="http://schemas.microsoft.com/office/excel/2006/main">
          <x14:cfRule type="containsText" priority="1097" operator="containsText" text="FAIL" id="{73AC421F-F438-4925-962A-9FD0B33A0770}">
            <xm:f>NOT(ISERROR(SEARCH("FAIL",SUMMARY!L724)))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L643</xm:sqref>
        </x14:conditionalFormatting>
        <x14:conditionalFormatting xmlns:xm="http://schemas.microsoft.com/office/excel/2006/main">
          <x14:cfRule type="containsText" priority="1099" operator="containsText" text="GOOD" id="{120245E0-71AC-42FE-A472-468B2136BA49}">
            <xm:f>NOT(ISERROR(SEARCH("GOOD",SUMMARY!L724)))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L643</xm:sqref>
        </x14:conditionalFormatting>
        <x14:conditionalFormatting xmlns:xm="http://schemas.microsoft.com/office/excel/2006/main">
          <x14:cfRule type="containsText" priority="1146" operator="containsText" text="FAIL" id="{73AC421F-F438-4925-962A-9FD0B33A0770}">
            <xm:f>NOT(ISERROR(SEARCH("FAIL",SUMMARY!L727)))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L644</xm:sqref>
        </x14:conditionalFormatting>
        <x14:conditionalFormatting xmlns:xm="http://schemas.microsoft.com/office/excel/2006/main">
          <x14:cfRule type="containsText" priority="1148" operator="containsText" text="GOOD" id="{120245E0-71AC-42FE-A472-468B2136BA49}">
            <xm:f>NOT(ISERROR(SEARCH("GOOD",SUMMARY!L727)))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L644</xm:sqref>
        </x14:conditionalFormatting>
        <x14:conditionalFormatting xmlns:xm="http://schemas.microsoft.com/office/excel/2006/main">
          <x14:cfRule type="containsText" priority="1195" operator="containsText" text="FAIL" id="{73AC421F-F438-4925-962A-9FD0B33A0770}">
            <xm:f>NOT(ISERROR(SEARCH("FAIL",SUMMARY!L730)))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L645</xm:sqref>
        </x14:conditionalFormatting>
        <x14:conditionalFormatting xmlns:xm="http://schemas.microsoft.com/office/excel/2006/main">
          <x14:cfRule type="containsText" priority="1197" operator="containsText" text="GOOD" id="{120245E0-71AC-42FE-A472-468B2136BA49}">
            <xm:f>NOT(ISERROR(SEARCH("GOOD",SUMMARY!L730)))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L645</xm:sqref>
        </x14:conditionalFormatting>
        <x14:conditionalFormatting xmlns:xm="http://schemas.microsoft.com/office/excel/2006/main">
          <x14:cfRule type="containsText" priority="1244" operator="containsText" text="FAIL" id="{73AC421F-F438-4925-962A-9FD0B33A0770}">
            <xm:f>NOT(ISERROR(SEARCH("FAIL",SUMMARY!L737)))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L646</xm:sqref>
        </x14:conditionalFormatting>
        <x14:conditionalFormatting xmlns:xm="http://schemas.microsoft.com/office/excel/2006/main">
          <x14:cfRule type="containsText" priority="1246" operator="containsText" text="GOOD" id="{120245E0-71AC-42FE-A472-468B2136BA49}">
            <xm:f>NOT(ISERROR(SEARCH("GOOD",SUMMARY!L737)))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L646</xm:sqref>
        </x14:conditionalFormatting>
        <x14:conditionalFormatting xmlns:xm="http://schemas.microsoft.com/office/excel/2006/main">
          <x14:cfRule type="containsText" priority="1293" operator="containsText" text="FAIL" id="{73AC421F-F438-4925-962A-9FD0B33A0770}">
            <xm:f>NOT(ISERROR(SEARCH("FAIL",SUMMARY!L347)))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L647 L255:L277</xm:sqref>
        </x14:conditionalFormatting>
        <x14:conditionalFormatting xmlns:xm="http://schemas.microsoft.com/office/excel/2006/main">
          <x14:cfRule type="containsText" priority="1295" operator="containsText" text="GOOD" id="{120245E0-71AC-42FE-A472-468B2136BA49}">
            <xm:f>NOT(ISERROR(SEARCH("GOOD",SUMMARY!L347)))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L647 L255:L277</xm:sqref>
        </x14:conditionalFormatting>
        <x14:conditionalFormatting xmlns:xm="http://schemas.microsoft.com/office/excel/2006/main">
          <x14:cfRule type="containsText" priority="1338" operator="containsText" text="FAIL" id="{73AC421F-F438-4925-962A-9FD0B33A0770}">
            <xm:f>NOT(ISERROR(SEARCH("FAIL",SUMMARY!L744)))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L648</xm:sqref>
        </x14:conditionalFormatting>
        <x14:conditionalFormatting xmlns:xm="http://schemas.microsoft.com/office/excel/2006/main">
          <x14:cfRule type="containsText" priority="1339" operator="containsText" text="GOOD" id="{120245E0-71AC-42FE-A472-468B2136BA49}">
            <xm:f>NOT(ISERROR(SEARCH("GOOD",SUMMARY!L744)))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L648</xm:sqref>
        </x14:conditionalFormatting>
        <x14:conditionalFormatting xmlns:xm="http://schemas.microsoft.com/office/excel/2006/main">
          <x14:cfRule type="containsText" priority="1386" operator="containsText" text="FAIL" id="{73AC421F-F438-4925-962A-9FD0B33A0770}">
            <xm:f>NOT(ISERROR(SEARCH("FAIL",SUMMARY!L790)))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L670</xm:sqref>
        </x14:conditionalFormatting>
        <x14:conditionalFormatting xmlns:xm="http://schemas.microsoft.com/office/excel/2006/main">
          <x14:cfRule type="containsText" priority="1387" operator="containsText" text="GOOD" id="{120245E0-71AC-42FE-A472-468B2136BA49}">
            <xm:f>NOT(ISERROR(SEARCH("GOOD",SUMMARY!L790)))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L670</xm:sqref>
        </x14:conditionalFormatting>
        <x14:conditionalFormatting xmlns:xm="http://schemas.microsoft.com/office/excel/2006/main">
          <x14:cfRule type="containsText" priority="1449" operator="containsText" text="FAIL" id="{73AC421F-F438-4925-962A-9FD0B33A0770}">
            <xm:f>NOT(ISERROR(SEARCH("FAIL",SUMMARY!L795)))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L671</xm:sqref>
        </x14:conditionalFormatting>
        <x14:conditionalFormatting xmlns:xm="http://schemas.microsoft.com/office/excel/2006/main">
          <x14:cfRule type="containsText" priority="1451" operator="containsText" text="GOOD" id="{120245E0-71AC-42FE-A472-468B2136BA49}">
            <xm:f>NOT(ISERROR(SEARCH("GOOD",SUMMARY!L795)))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L671</xm:sqref>
        </x14:conditionalFormatting>
        <x14:conditionalFormatting xmlns:xm="http://schemas.microsoft.com/office/excel/2006/main">
          <x14:cfRule type="containsText" priority="1498" operator="containsText" text="FAIL" id="{97AC77CF-E290-44D8-89CF-DB02DC0E3541}">
            <xm:f>NOT(ISERROR(SEARCH("FAIL",SUMMARY!L371)))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L278:L286</xm:sqref>
        </x14:conditionalFormatting>
        <x14:conditionalFormatting xmlns:xm="http://schemas.microsoft.com/office/excel/2006/main">
          <x14:cfRule type="containsText" priority="1499" operator="containsText" text="GOOD" id="{68DD8482-39C9-4D7A-B5DB-83F360C85D39}">
            <xm:f>NOT(ISERROR(SEARCH("GOOD",SUMMARY!L371)))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L278:L286</xm:sqref>
        </x14:conditionalFormatting>
        <x14:conditionalFormatting xmlns:xm="http://schemas.microsoft.com/office/excel/2006/main">
          <x14:cfRule type="containsText" priority="47" operator="containsText" text="FAIL" id="{5D2C375D-36CF-40E7-ACB4-B55401AF7AEE}">
            <xm:f>NOT(ISERROR(SEARCH("FAIL",SUMMARY!L591)))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L460</xm:sqref>
        </x14:conditionalFormatting>
        <x14:conditionalFormatting xmlns:xm="http://schemas.microsoft.com/office/excel/2006/main">
          <x14:cfRule type="containsText" priority="1500" operator="containsText" text="GOOD" id="{FC931B52-0C7C-4E0B-84AF-57995D097503}">
            <xm:f>NOT(ISERROR(SEARCH("GOOD",SUMMARY!L591)))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L460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C2:AB557"/>
  <sheetViews>
    <sheetView zoomScaleNormal="100" workbookViewId="0">
      <pane ySplit="5" topLeftCell="A37" activePane="bottomLeft" state="frozen"/>
      <selection pane="bottomLeft" activeCell="H146" sqref="H146"/>
    </sheetView>
  </sheetViews>
  <sheetFormatPr defaultColWidth="8.85546875" defaultRowHeight="15" x14ac:dyDescent="0.25"/>
  <cols>
    <col min="1" max="1" width="3.140625" customWidth="1"/>
    <col min="2" max="2" width="2.85546875" customWidth="1"/>
    <col min="3" max="3" width="5.28515625" customWidth="1"/>
    <col min="4" max="4" width="13.42578125" customWidth="1"/>
    <col min="5" max="5" width="41.140625" customWidth="1"/>
    <col min="6" max="6" width="9.42578125" bestFit="1" customWidth="1"/>
    <col min="7" max="7" width="9.42578125" customWidth="1"/>
    <col min="8" max="10" width="13.7109375" customWidth="1"/>
    <col min="11" max="11" width="9.42578125" customWidth="1"/>
    <col min="12" max="12" width="7" customWidth="1"/>
    <col min="13" max="13" width="6.42578125" customWidth="1"/>
    <col min="14" max="14" width="5.7109375" style="11" customWidth="1"/>
    <col min="15" max="15" width="3.42578125" customWidth="1"/>
    <col min="16" max="16" width="6.140625" customWidth="1"/>
    <col min="17" max="17" width="3.42578125" customWidth="1"/>
    <col min="18" max="18" width="44.7109375" customWidth="1"/>
    <col min="19" max="19" width="27" customWidth="1"/>
    <col min="22" max="22" width="11.140625" bestFit="1" customWidth="1"/>
    <col min="23" max="23" width="12.42578125" bestFit="1" customWidth="1"/>
    <col min="24" max="24" width="12" bestFit="1" customWidth="1"/>
    <col min="26" max="27" width="12.140625" bestFit="1" customWidth="1"/>
  </cols>
  <sheetData>
    <row r="2" spans="3:24" ht="27.75" customHeight="1" x14ac:dyDescent="0.25">
      <c r="D2" s="21"/>
      <c r="E2" s="15"/>
      <c r="F2" s="15" t="s">
        <v>32</v>
      </c>
      <c r="I2" s="15"/>
      <c r="J2" s="15"/>
      <c r="L2" s="15" t="s">
        <v>33</v>
      </c>
    </row>
    <row r="3" spans="3:24" ht="18.75" x14ac:dyDescent="0.3">
      <c r="D3" s="3"/>
      <c r="F3" s="3" t="s">
        <v>53</v>
      </c>
      <c r="K3" s="36" t="s">
        <v>54</v>
      </c>
      <c r="L3" s="37">
        <v>2016</v>
      </c>
    </row>
    <row r="5" spans="3:24" x14ac:dyDescent="0.25">
      <c r="C5" s="40" t="s">
        <v>423</v>
      </c>
      <c r="D5" s="49" t="s">
        <v>55</v>
      </c>
      <c r="E5" s="49" t="s">
        <v>56</v>
      </c>
      <c r="F5" s="49" t="s">
        <v>57</v>
      </c>
      <c r="G5" s="50" t="s">
        <v>424</v>
      </c>
      <c r="H5" s="47" t="s">
        <v>58</v>
      </c>
      <c r="I5" s="47" t="s">
        <v>59</v>
      </c>
      <c r="J5" s="42" t="s">
        <v>456</v>
      </c>
      <c r="K5" s="47" t="s">
        <v>60</v>
      </c>
      <c r="L5" s="48" t="s">
        <v>61</v>
      </c>
      <c r="M5" s="47" t="s">
        <v>62</v>
      </c>
      <c r="N5" s="43" t="s">
        <v>225</v>
      </c>
      <c r="O5" s="43" t="s">
        <v>422</v>
      </c>
      <c r="P5" s="43" t="s">
        <v>454</v>
      </c>
      <c r="Q5" s="43"/>
      <c r="R5" s="41" t="s">
        <v>63</v>
      </c>
      <c r="S5" s="9" t="s">
        <v>551</v>
      </c>
      <c r="T5" s="9"/>
      <c r="U5" s="9"/>
      <c r="V5" s="9"/>
    </row>
    <row r="6" spans="3:24" ht="7.5" customHeight="1" x14ac:dyDescent="0.25">
      <c r="C6" s="39"/>
      <c r="G6" s="45"/>
    </row>
    <row r="7" spans="3:24" x14ac:dyDescent="0.25">
      <c r="C7" s="39">
        <v>2016</v>
      </c>
      <c r="D7" s="62" t="str">
        <f>+'PAT-084.039'!$F$4</f>
        <v>PAT-084.039</v>
      </c>
      <c r="E7" s="63" t="str">
        <f>+'PAT-084.039'!$F$5</f>
        <v>Event Detection Systems for Tunnels E and F</v>
      </c>
      <c r="F7" s="64">
        <f>+'PAT-084.039'!$F$6</f>
        <v>42731</v>
      </c>
      <c r="G7" s="65" t="str">
        <f>+'PAT-084.039'!$G$7</f>
        <v>PQL</v>
      </c>
      <c r="H7" s="27">
        <f>+'PAT-084.039'!$F$7</f>
        <v>18500000</v>
      </c>
      <c r="I7" s="27">
        <f>+'PAT-084.039'!$F$8</f>
        <v>15978000</v>
      </c>
      <c r="J7" s="27"/>
      <c r="K7" s="26">
        <f>+'PAT-084.039'!$G$9</f>
        <v>-0.13632432432432431</v>
      </c>
      <c r="L7" s="11" t="str">
        <f>+'PAT-084.039'!$F$11</f>
        <v>GOOD</v>
      </c>
      <c r="M7" s="15">
        <f>+'PAT-084.039'!$H$12</f>
        <v>2</v>
      </c>
      <c r="N7" s="35" t="s">
        <v>226</v>
      </c>
      <c r="O7" s="15">
        <v>4</v>
      </c>
      <c r="P7" s="35" t="s">
        <v>459</v>
      </c>
      <c r="Q7" s="15"/>
      <c r="R7" s="24"/>
      <c r="S7" s="62" t="str">
        <f>+'PAT-084.039'!$J$4</f>
        <v>Nathan Demaisip</v>
      </c>
      <c r="T7" s="15"/>
      <c r="U7" s="15"/>
      <c r="V7" s="54">
        <f t="shared" ref="V7:W12" si="0">+H7</f>
        <v>18500000</v>
      </c>
      <c r="W7" s="54">
        <f t="shared" si="0"/>
        <v>15978000</v>
      </c>
      <c r="X7" s="54">
        <f t="shared" ref="X7:X12" si="1">+V7-W7</f>
        <v>2522000</v>
      </c>
    </row>
    <row r="8" spans="3:24" x14ac:dyDescent="0.25">
      <c r="C8" s="39">
        <v>2016</v>
      </c>
      <c r="D8" s="62" t="str">
        <f>+'EWR-924.288'!$F$4</f>
        <v>EWR-924.288</v>
      </c>
      <c r="E8" s="63" t="str">
        <f>+'EWR-924.288'!$F$5</f>
        <v>Fuel Farm Roadway Drainage Improvements</v>
      </c>
      <c r="F8" s="64">
        <f>+'EWR-924.288'!$F$6</f>
        <v>42725</v>
      </c>
      <c r="G8" s="65" t="str">
        <f>+'EWR-924.288'!$G$7</f>
        <v>MWBE</v>
      </c>
      <c r="H8" s="27">
        <f>+'EWR-924.288'!$F$7</f>
        <v>600000</v>
      </c>
      <c r="I8" s="27">
        <f>+'EWR-924.288'!$F$8</f>
        <v>421111</v>
      </c>
      <c r="J8" s="27"/>
      <c r="K8" s="26">
        <f>+'EWR-924.288'!$G$9</f>
        <v>-0.29814833333333335</v>
      </c>
      <c r="L8" s="11" t="str">
        <f>+'EWR-924.288'!$F$11</f>
        <v>GOOD</v>
      </c>
      <c r="M8" s="15">
        <f>+'EWR-924.288'!$H$12</f>
        <v>8</v>
      </c>
      <c r="N8" s="35" t="s">
        <v>25</v>
      </c>
      <c r="O8" s="15">
        <v>4</v>
      </c>
      <c r="P8" s="35" t="s">
        <v>458</v>
      </c>
      <c r="Q8" s="15"/>
      <c r="R8" s="24"/>
      <c r="S8" s="62" t="str">
        <f>+'EWR-924.288'!$J$4</f>
        <v>Henry Yu</v>
      </c>
      <c r="T8" s="15"/>
      <c r="U8" s="15"/>
      <c r="V8" s="54">
        <f t="shared" si="0"/>
        <v>600000</v>
      </c>
      <c r="W8" s="54">
        <f t="shared" si="0"/>
        <v>421111</v>
      </c>
      <c r="X8" s="54">
        <f t="shared" si="1"/>
        <v>178889</v>
      </c>
    </row>
    <row r="9" spans="3:24" x14ac:dyDescent="0.25">
      <c r="C9" s="39">
        <v>2016</v>
      </c>
      <c r="D9" s="62" t="str">
        <f>+'PAT-534.316 Void'!$F$4</f>
        <v>PAT-534.316</v>
      </c>
      <c r="E9" s="63" t="str">
        <f>+'PAT-534.316 Void'!$F$5</f>
        <v>Journal Square Transport Center - Hardening phase 2</v>
      </c>
      <c r="F9" s="64">
        <f>+'PAT-534.316 Void'!$F$6</f>
        <v>42719</v>
      </c>
      <c r="G9" s="65" t="str">
        <f>+'PAT-534.316 Void'!$G$7</f>
        <v>VVP</v>
      </c>
      <c r="H9" s="27">
        <f>+'PAT-534.316 Void'!$F$7</f>
        <v>2212000</v>
      </c>
      <c r="I9" s="27">
        <f>+'PAT-534.316 Void'!$F$8</f>
        <v>3028000</v>
      </c>
      <c r="J9" s="27"/>
      <c r="K9" s="26">
        <f>+'PAT-534.316 Void'!$G$9</f>
        <v>0.36889692585895117</v>
      </c>
      <c r="L9" s="11" t="str">
        <f>+'PAT-534.316 Void'!$F$11</f>
        <v>FAIL</v>
      </c>
      <c r="M9" s="15">
        <f>+'PAT-534.316 Void'!$H$12</f>
        <v>1</v>
      </c>
      <c r="N9" s="35" t="s">
        <v>25</v>
      </c>
      <c r="O9" s="15">
        <v>4</v>
      </c>
      <c r="P9" s="35" t="s">
        <v>459</v>
      </c>
      <c r="Q9" s="15"/>
      <c r="R9" s="24" t="s">
        <v>782</v>
      </c>
      <c r="S9" s="62" t="str">
        <f>+'PAT-534.316 Void'!$J$4</f>
        <v>Nathan Demaisip</v>
      </c>
      <c r="T9" s="15"/>
      <c r="U9" s="15"/>
      <c r="V9" s="54">
        <f t="shared" si="0"/>
        <v>2212000</v>
      </c>
      <c r="W9" s="54">
        <f t="shared" si="0"/>
        <v>3028000</v>
      </c>
      <c r="X9" s="54">
        <f t="shared" si="1"/>
        <v>-816000</v>
      </c>
    </row>
    <row r="10" spans="3:24" x14ac:dyDescent="0.25">
      <c r="C10" s="39">
        <v>2016</v>
      </c>
      <c r="D10" s="62" t="str">
        <f>+'PN-654.551'!$F$4</f>
        <v>PN-654.551</v>
      </c>
      <c r="E10" s="63" t="str">
        <f>+'PN-654.551'!$F$5</f>
        <v>Tyler Street Pavement Rehab</v>
      </c>
      <c r="F10" s="64">
        <f>+'PN-654.551'!$F$6</f>
        <v>42719</v>
      </c>
      <c r="G10" s="65" t="str">
        <f>+'PN-654.551'!$G$7</f>
        <v>MWBE</v>
      </c>
      <c r="H10" s="27">
        <f>+'PN-654.551'!$F$7</f>
        <v>1460000</v>
      </c>
      <c r="I10" s="27">
        <f>+'PN-654.551'!$F$8</f>
        <v>1457020</v>
      </c>
      <c r="J10" s="27"/>
      <c r="K10" s="26">
        <f>+'PN-654.551'!$G$9</f>
        <v>-2.0410958904109591E-3</v>
      </c>
      <c r="L10" s="11" t="str">
        <f>+'PN-654.551'!$F$11</f>
        <v>GOOD</v>
      </c>
      <c r="M10" s="15">
        <f>+'PN-654.551'!$H$12</f>
        <v>7</v>
      </c>
      <c r="N10" s="35" t="s">
        <v>25</v>
      </c>
      <c r="O10" s="15">
        <v>4</v>
      </c>
      <c r="P10" s="35" t="s">
        <v>492</v>
      </c>
      <c r="Q10" s="15"/>
      <c r="R10" s="24"/>
      <c r="S10" s="62" t="str">
        <f>+'PN-654.551'!$J$4</f>
        <v>Ed Minall</v>
      </c>
      <c r="T10" s="15"/>
      <c r="U10" s="15"/>
      <c r="V10" s="54">
        <f t="shared" si="0"/>
        <v>1460000</v>
      </c>
      <c r="W10" s="54">
        <f t="shared" si="0"/>
        <v>1457020</v>
      </c>
      <c r="X10" s="54">
        <f t="shared" si="1"/>
        <v>2980</v>
      </c>
    </row>
    <row r="11" spans="3:24" x14ac:dyDescent="0.25">
      <c r="C11" s="39">
        <v>2016</v>
      </c>
      <c r="D11" s="62" t="str">
        <f>+'PJ-664.503'!$F$4</f>
        <v>PJ-664.503</v>
      </c>
      <c r="E11" s="63" t="str">
        <f>+'PJ-664.503'!$F$5</f>
        <v>Greenville Yard Phase 1</v>
      </c>
      <c r="F11" s="64">
        <f>+'PJ-664.503'!$F$6</f>
        <v>42718</v>
      </c>
      <c r="G11" s="65" t="str">
        <f>+'PJ-664.503'!$G$7</f>
        <v>Public</v>
      </c>
      <c r="H11" s="27">
        <f>+'PJ-664.503'!$F$7</f>
        <v>61900000</v>
      </c>
      <c r="I11" s="27">
        <f>+'PJ-664.503'!$F$8</f>
        <v>47681062</v>
      </c>
      <c r="J11" s="27"/>
      <c r="K11" s="26">
        <f>+'PJ-664.503'!$G$9</f>
        <v>-0.22970820678513731</v>
      </c>
      <c r="L11" s="11" t="str">
        <f>+'PJ-664.503'!$F$11</f>
        <v>GOOD</v>
      </c>
      <c r="M11" s="15">
        <f>+'PJ-664.503'!$H$12</f>
        <v>7</v>
      </c>
      <c r="N11" s="35" t="s">
        <v>25</v>
      </c>
      <c r="O11" s="15">
        <v>4</v>
      </c>
      <c r="P11" s="35" t="s">
        <v>492</v>
      </c>
      <c r="Q11" s="15"/>
      <c r="R11" s="24"/>
      <c r="S11" s="62" t="str">
        <f>+'PJ-664.503'!$J$4</f>
        <v>Wen Chang</v>
      </c>
      <c r="T11" s="15"/>
      <c r="U11" s="15"/>
      <c r="V11" s="54">
        <f t="shared" si="0"/>
        <v>61900000</v>
      </c>
      <c r="W11" s="54">
        <f t="shared" si="0"/>
        <v>47681062</v>
      </c>
      <c r="X11" s="54">
        <f t="shared" si="1"/>
        <v>14218938</v>
      </c>
    </row>
    <row r="12" spans="3:24" x14ac:dyDescent="0.25">
      <c r="C12" s="39">
        <v>2016</v>
      </c>
      <c r="D12" s="62" t="str">
        <f>+'LGA-124.236'!$F$4</f>
        <v>LGA-124.236</v>
      </c>
      <c r="E12" s="63" t="str">
        <f>+'LGA-124.236'!$F$5</f>
        <v>Wetland Mitigation at Westchester Creek</v>
      </c>
      <c r="F12" s="64">
        <f>+'LGA-124.236'!$F$6</f>
        <v>42712</v>
      </c>
      <c r="G12" s="65" t="str">
        <f>+'LGA-124.236'!$G$7</f>
        <v>Public</v>
      </c>
      <c r="H12" s="27">
        <f>+'LGA-124.236'!$F$7</f>
        <v>2170000</v>
      </c>
      <c r="I12" s="27">
        <f>+'LGA-124.236'!$F$8</f>
        <v>1903225</v>
      </c>
      <c r="J12" s="27"/>
      <c r="K12" s="26">
        <f>+'LGA-124.236'!$G$9</f>
        <v>-0.12293778801843318</v>
      </c>
      <c r="L12" s="11" t="str">
        <f>+'LGA-124.236'!$F$11</f>
        <v>GOOD</v>
      </c>
      <c r="M12" s="15">
        <f>+'LGA-124.236'!$H$12</f>
        <v>5</v>
      </c>
      <c r="N12" s="35" t="s">
        <v>93</v>
      </c>
      <c r="O12" s="15">
        <v>4</v>
      </c>
      <c r="P12" s="35" t="s">
        <v>458</v>
      </c>
      <c r="Q12" s="15"/>
      <c r="R12" s="24"/>
      <c r="S12" s="62" t="str">
        <f>+'LGA-124.236'!$J$4</f>
        <v>Henry Yu</v>
      </c>
      <c r="T12" s="15"/>
      <c r="U12" s="15"/>
      <c r="V12" s="54">
        <f t="shared" si="0"/>
        <v>2170000</v>
      </c>
      <c r="W12" s="54">
        <f t="shared" si="0"/>
        <v>1903225</v>
      </c>
      <c r="X12" s="54">
        <f t="shared" si="1"/>
        <v>266775</v>
      </c>
    </row>
    <row r="13" spans="3:24" x14ac:dyDescent="0.25">
      <c r="C13" s="39">
        <v>2016</v>
      </c>
      <c r="D13" s="62" t="str">
        <f>+'SWF-017'!$F$4</f>
        <v>SWF-017</v>
      </c>
      <c r="E13" s="63" t="str">
        <f>+'SWF-017'!$F$5</f>
        <v>Asphalt and Concrete Repairs via Work Order</v>
      </c>
      <c r="F13" s="64">
        <f>+'SWF-017'!$F$6</f>
        <v>42703</v>
      </c>
      <c r="G13" s="65" t="str">
        <f>+'SWF-017'!$G$7</f>
        <v>Public</v>
      </c>
      <c r="H13" s="27">
        <f>+'SWF-017'!$F$7</f>
        <v>1763000</v>
      </c>
      <c r="I13" s="27">
        <f>+'SWF-017'!$F$8</f>
        <v>2233850</v>
      </c>
      <c r="J13" s="27"/>
      <c r="K13" s="26">
        <f>+'SWF-017'!$G$9</f>
        <v>0.26707317073170733</v>
      </c>
      <c r="L13" s="11" t="str">
        <f>+'SWF-017'!$F$11</f>
        <v>FAIL</v>
      </c>
      <c r="M13" s="15">
        <f>+'SWF-017'!$H$12</f>
        <v>2</v>
      </c>
      <c r="N13" s="35" t="s">
        <v>93</v>
      </c>
      <c r="O13" s="15">
        <v>4</v>
      </c>
      <c r="P13" s="35" t="s">
        <v>458</v>
      </c>
      <c r="Q13" s="15"/>
      <c r="R13" s="24"/>
      <c r="S13" s="62" t="str">
        <f>+'SWF-017'!$J$4</f>
        <v>Joe Lucin</v>
      </c>
      <c r="T13" s="15"/>
      <c r="U13" s="15"/>
      <c r="V13" s="54">
        <f t="shared" ref="V13:W20" si="2">+H13</f>
        <v>1763000</v>
      </c>
      <c r="W13" s="54">
        <f t="shared" si="2"/>
        <v>2233850</v>
      </c>
      <c r="X13" s="54">
        <f t="shared" ref="X13:X20" si="3">+V13-W13</f>
        <v>-470850</v>
      </c>
    </row>
    <row r="14" spans="3:24" x14ac:dyDescent="0.25">
      <c r="C14" s="39">
        <v>2016</v>
      </c>
      <c r="D14" s="62" t="str">
        <f>+'GWB-924.159A Void'!$F$4</f>
        <v>GWB-924.159A</v>
      </c>
      <c r="E14" s="63" t="str">
        <f>+'GWB-924.159A Void'!$F$5</f>
        <v>NJ Admin Building Heating Hot Water &amp; Chilled Water Piping Replacement</v>
      </c>
      <c r="F14" s="64">
        <f>+'GWB-924.159A Void'!$F$6</f>
        <v>42691</v>
      </c>
      <c r="G14" s="65"/>
      <c r="H14" s="27"/>
      <c r="I14" s="27"/>
      <c r="J14" s="27"/>
      <c r="K14" s="26"/>
      <c r="L14" s="11"/>
      <c r="M14" s="15"/>
      <c r="N14" s="35"/>
      <c r="O14" s="15"/>
      <c r="P14" s="35"/>
      <c r="Q14" s="15"/>
      <c r="R14" s="24" t="s">
        <v>820</v>
      </c>
      <c r="S14" s="62" t="str">
        <f>+'GWB-924.159A Void'!$J$4</f>
        <v>Reddy Gunda</v>
      </c>
      <c r="T14" s="15"/>
      <c r="U14" s="15"/>
      <c r="V14" s="54">
        <f t="shared" si="2"/>
        <v>0</v>
      </c>
      <c r="W14" s="54">
        <f t="shared" si="2"/>
        <v>0</v>
      </c>
      <c r="X14" s="54">
        <f t="shared" si="3"/>
        <v>0</v>
      </c>
    </row>
    <row r="15" spans="3:24" x14ac:dyDescent="0.25">
      <c r="C15" s="39">
        <v>2016</v>
      </c>
      <c r="D15" s="62" t="str">
        <f>+'GWB-563'!$F$4</f>
        <v>GWB-563</v>
      </c>
      <c r="E15" s="63" t="str">
        <f>+'GWB-563'!$F$5</f>
        <v>Sanitary Sewer Rehab at NJ Admin Bldg Lower Parking Lot</v>
      </c>
      <c r="F15" s="64">
        <f>+'GWB-563'!$F$6</f>
        <v>42681</v>
      </c>
      <c r="G15" s="65" t="str">
        <f>+'GWB-563'!$G$7</f>
        <v>PQL</v>
      </c>
      <c r="H15" s="27">
        <f>+'GWB-563'!$F$7</f>
        <v>850000</v>
      </c>
      <c r="I15" s="27">
        <f>+'GWB-563'!$F$8</f>
        <v>651800</v>
      </c>
      <c r="J15" s="27"/>
      <c r="K15" s="26">
        <f>+'GWB-563'!$G$9</f>
        <v>-0.23317647058823529</v>
      </c>
      <c r="L15" s="11" t="str">
        <f>+'GWB-563'!$F$11</f>
        <v>GOOD</v>
      </c>
      <c r="M15" s="15">
        <f>+'GWB-563'!$H$12</f>
        <v>9</v>
      </c>
      <c r="N15" s="35" t="s">
        <v>25</v>
      </c>
      <c r="O15" s="15">
        <v>4</v>
      </c>
      <c r="P15" s="35" t="s">
        <v>457</v>
      </c>
      <c r="Q15" s="15"/>
      <c r="R15" s="24"/>
      <c r="S15" s="62" t="str">
        <f>+'GWB-563'!$J$4</f>
        <v>Reddy Gunda</v>
      </c>
      <c r="T15" s="15"/>
      <c r="U15" s="15"/>
      <c r="V15" s="54">
        <f t="shared" si="2"/>
        <v>850000</v>
      </c>
      <c r="W15" s="54">
        <f t="shared" si="2"/>
        <v>651800</v>
      </c>
      <c r="X15" s="54">
        <f t="shared" si="3"/>
        <v>198200</v>
      </c>
    </row>
    <row r="16" spans="3:24" x14ac:dyDescent="0.25">
      <c r="C16" s="39">
        <v>2016</v>
      </c>
      <c r="D16" s="62" t="str">
        <f>+'HT-924.097'!$F$4</f>
        <v>HT-924.097</v>
      </c>
      <c r="E16" s="63" t="str">
        <f>+'HT-924.097'!$F$5</f>
        <v>Ventilation Bldg Evac Stack Inspection Structures</v>
      </c>
      <c r="F16" s="64">
        <f>+'HT-924.097'!$F$6</f>
        <v>42677</v>
      </c>
      <c r="G16" s="65" t="str">
        <f>+'HT-924.097'!$G$7</f>
        <v>MWBE</v>
      </c>
      <c r="H16" s="27">
        <f>+'HT-924.097'!$F$7</f>
        <v>480000</v>
      </c>
      <c r="I16" s="27">
        <f>+'HT-924.097'!$F$8</f>
        <v>770000</v>
      </c>
      <c r="J16" s="27"/>
      <c r="K16" s="26">
        <f>+'HT-924.097'!$G$9</f>
        <v>0.60416666666666663</v>
      </c>
      <c r="L16" s="11" t="str">
        <f>+'HT-924.097'!$F$11</f>
        <v>FAIL</v>
      </c>
      <c r="M16" s="15">
        <f>+'HT-924.097'!$H$12</f>
        <v>4</v>
      </c>
      <c r="N16" s="35" t="s">
        <v>226</v>
      </c>
      <c r="O16" s="15">
        <v>4</v>
      </c>
      <c r="P16" s="35" t="s">
        <v>457</v>
      </c>
      <c r="Q16" s="15"/>
      <c r="R16" s="24"/>
      <c r="S16" s="62" t="str">
        <f>+'HT-924.097'!$J$4</f>
        <v>Reddy Gunda</v>
      </c>
      <c r="T16" s="15"/>
      <c r="U16" s="15"/>
      <c r="V16" s="54">
        <f t="shared" si="2"/>
        <v>480000</v>
      </c>
      <c r="W16" s="54">
        <f t="shared" si="2"/>
        <v>770000</v>
      </c>
      <c r="X16" s="54">
        <f t="shared" si="3"/>
        <v>-290000</v>
      </c>
    </row>
    <row r="17" spans="3:24" x14ac:dyDescent="0.25">
      <c r="C17" s="39">
        <v>2016</v>
      </c>
      <c r="D17" s="62" t="str">
        <f>+'AKO-924.054'!$F$4</f>
        <v>AKO-924.054</v>
      </c>
      <c r="E17" s="63" t="str">
        <f>+'AKO-924.054'!$F$5</f>
        <v>OBX - Structural Rehabilitation</v>
      </c>
      <c r="F17" s="64">
        <f>+'AKO-924.054'!$F$6</f>
        <v>42670</v>
      </c>
      <c r="G17" s="65" t="str">
        <f>+'AKO-924.054'!$G$7</f>
        <v>Public</v>
      </c>
      <c r="H17" s="27">
        <f>+'AKO-924.054'!$F$7</f>
        <v>2150000</v>
      </c>
      <c r="I17" s="27">
        <f>+'AKO-924.054'!$F$8</f>
        <v>1654320</v>
      </c>
      <c r="J17" s="27"/>
      <c r="K17" s="26">
        <f>+'AKO-924.054'!$G$9</f>
        <v>-0.23054883720930233</v>
      </c>
      <c r="L17" s="11" t="str">
        <f>+'AKO-924.054'!$F$11</f>
        <v>FAIL</v>
      </c>
      <c r="M17" s="15">
        <f>+'AKO-924.054'!$H$12</f>
        <v>1</v>
      </c>
      <c r="N17" s="35" t="s">
        <v>226</v>
      </c>
      <c r="O17" s="15">
        <v>4</v>
      </c>
      <c r="P17" s="35" t="s">
        <v>457</v>
      </c>
      <c r="Q17" s="15"/>
      <c r="R17" s="24" t="s">
        <v>782</v>
      </c>
      <c r="S17" s="62" t="str">
        <f>+'AKO-924.054'!$J$4</f>
        <v>Reddy Gunda</v>
      </c>
      <c r="T17" s="15"/>
      <c r="U17" s="15"/>
      <c r="V17" s="54">
        <f t="shared" si="2"/>
        <v>2150000</v>
      </c>
      <c r="W17" s="54">
        <f t="shared" si="2"/>
        <v>1654320</v>
      </c>
      <c r="X17" s="54">
        <f t="shared" si="3"/>
        <v>495680</v>
      </c>
    </row>
    <row r="18" spans="3:24" x14ac:dyDescent="0.25">
      <c r="C18" s="39">
        <v>2016</v>
      </c>
      <c r="D18" s="62" t="str">
        <f>+'HT-224.127'!$F$4</f>
        <v>HT-224.127</v>
      </c>
      <c r="E18" s="63" t="str">
        <f>+'HT-224.127'!$F$5</f>
        <v>Replacement of Piers 9 and 204 Phase II</v>
      </c>
      <c r="F18" s="64">
        <f>+'HT-224.127'!$F$6</f>
        <v>42668</v>
      </c>
      <c r="G18" s="65" t="str">
        <f>+'HT-224.127'!$G$7</f>
        <v>Public</v>
      </c>
      <c r="H18" s="27">
        <f>+'HT-224.127'!$F$7</f>
        <v>67636000</v>
      </c>
      <c r="I18" s="27">
        <f>+'HT-224.127'!$F$8</f>
        <v>49942700</v>
      </c>
      <c r="J18" s="27"/>
      <c r="K18" s="26">
        <f>+'HT-224.127'!$G$9</f>
        <v>-0.26159589567685848</v>
      </c>
      <c r="L18" s="11" t="str">
        <f>+'HT-224.127'!$F$11</f>
        <v>FAIL</v>
      </c>
      <c r="M18" s="15">
        <f>+'HT-224.127'!$H$12</f>
        <v>7</v>
      </c>
      <c r="N18" s="35" t="s">
        <v>25</v>
      </c>
      <c r="O18" s="15">
        <v>4</v>
      </c>
      <c r="P18" s="35" t="s">
        <v>457</v>
      </c>
      <c r="Q18" s="15"/>
      <c r="R18" s="24"/>
      <c r="S18" s="62" t="str">
        <f>+'HT-224.127'!$J$4</f>
        <v>Reddy Gunda</v>
      </c>
      <c r="T18" s="15"/>
      <c r="U18" s="15"/>
      <c r="V18" s="54">
        <f t="shared" si="2"/>
        <v>67636000</v>
      </c>
      <c r="W18" s="54">
        <f t="shared" si="2"/>
        <v>49942700</v>
      </c>
      <c r="X18" s="54">
        <f t="shared" si="3"/>
        <v>17693300</v>
      </c>
    </row>
    <row r="19" spans="3:24" x14ac:dyDescent="0.25">
      <c r="C19" s="39">
        <v>2016</v>
      </c>
      <c r="D19" s="62" t="str">
        <f>+'PAT-024.069A'!$F$4</f>
        <v>PAT-024.069A</v>
      </c>
      <c r="E19" s="63" t="str">
        <f>+'PAT-024.069A'!$F$5</f>
        <v>30th Street Mezzanine Rehab</v>
      </c>
      <c r="F19" s="64">
        <f>+'PAT-024.069A'!$F$6</f>
        <v>42667</v>
      </c>
      <c r="G19" s="65" t="str">
        <f>+'PAT-024.069A'!$G$7</f>
        <v>Public</v>
      </c>
      <c r="H19" s="27">
        <f>+'PAT-024.069A'!$F$7</f>
        <v>2400000</v>
      </c>
      <c r="I19" s="27">
        <f>+'PAT-024.069A'!$F$8</f>
        <v>3617000</v>
      </c>
      <c r="J19" s="27"/>
      <c r="K19" s="26">
        <f>+'PAT-024.069A'!$G$9</f>
        <v>0.50708333333333333</v>
      </c>
      <c r="L19" s="11" t="str">
        <f>+'PAT-024.069A'!$F$11</f>
        <v>FAIL</v>
      </c>
      <c r="M19" s="15">
        <f>+'PAT-024.069A'!$H$12</f>
        <v>2</v>
      </c>
      <c r="N19" s="35" t="s">
        <v>93</v>
      </c>
      <c r="O19" s="15">
        <v>4</v>
      </c>
      <c r="P19" s="35" t="s">
        <v>459</v>
      </c>
      <c r="Q19" s="15"/>
      <c r="R19" s="24"/>
      <c r="S19" s="62" t="str">
        <f>+'PAT-024.069A'!$J$4</f>
        <v>Nathan Demaisip</v>
      </c>
      <c r="T19" s="15"/>
      <c r="U19" s="15"/>
      <c r="V19" s="54">
        <f t="shared" si="2"/>
        <v>2400000</v>
      </c>
      <c r="W19" s="54">
        <f t="shared" si="2"/>
        <v>3617000</v>
      </c>
      <c r="X19" s="54">
        <f t="shared" si="3"/>
        <v>-1217000</v>
      </c>
    </row>
    <row r="20" spans="3:24" x14ac:dyDescent="0.25">
      <c r="C20" s="39">
        <v>2016</v>
      </c>
      <c r="D20" s="62" t="str">
        <f>+'PJ-664.527'!$F$4</f>
        <v>PJ-664.527</v>
      </c>
      <c r="E20" s="63" t="str">
        <f>+'PJ-664.527'!$F$5</f>
        <v>Bldg 108 Switchgear Replacement</v>
      </c>
      <c r="F20" s="64">
        <f>+'PJ-664.527'!$F$6</f>
        <v>42648</v>
      </c>
      <c r="G20" s="65" t="str">
        <f>+'PJ-664.527'!$G$7</f>
        <v>Public</v>
      </c>
      <c r="H20" s="27">
        <f>+'PJ-664.527'!$F$7</f>
        <v>3120000</v>
      </c>
      <c r="I20" s="27">
        <f>+'PJ-664.527'!$F$8</f>
        <v>2147100</v>
      </c>
      <c r="J20" s="27"/>
      <c r="K20" s="26">
        <f>+'PJ-664.527'!$G$9</f>
        <v>-0.31182692307692306</v>
      </c>
      <c r="L20" s="11" t="str">
        <f>+'PJ-664.527'!$F$11</f>
        <v>GOOD</v>
      </c>
      <c r="M20" s="15">
        <f>+'PJ-664.527'!$H$12</f>
        <v>7</v>
      </c>
      <c r="N20" s="35" t="s">
        <v>25</v>
      </c>
      <c r="O20" s="15">
        <v>4</v>
      </c>
      <c r="P20" s="35" t="s">
        <v>492</v>
      </c>
      <c r="Q20" s="15"/>
      <c r="R20" s="24"/>
      <c r="S20" s="62" t="str">
        <f>+'PJ-664.527'!$J$4</f>
        <v>Ramani Sundaram and Ed Minall</v>
      </c>
      <c r="T20" s="15"/>
      <c r="U20" s="15"/>
      <c r="V20" s="54">
        <f t="shared" si="2"/>
        <v>3120000</v>
      </c>
      <c r="W20" s="54">
        <f t="shared" si="2"/>
        <v>2147100</v>
      </c>
      <c r="X20" s="54">
        <f t="shared" si="3"/>
        <v>972900</v>
      </c>
    </row>
    <row r="21" spans="3:24" ht="7.5" customHeight="1" x14ac:dyDescent="0.25">
      <c r="C21" s="39"/>
      <c r="G21" s="45"/>
      <c r="P21" s="11"/>
      <c r="S21" s="15"/>
      <c r="V21" s="54"/>
      <c r="W21" s="54"/>
      <c r="X21" s="54"/>
    </row>
    <row r="22" spans="3:24" x14ac:dyDescent="0.25">
      <c r="C22" s="39">
        <v>2016</v>
      </c>
      <c r="D22" s="62" t="str">
        <f>+'JFK-144.019'!$F$4</f>
        <v>JFK-144.019</v>
      </c>
      <c r="E22" s="63" t="str">
        <f>+'JFK-144.019'!$F$5</f>
        <v>Rehab Runway4R-22L and Associated Taxiways</v>
      </c>
      <c r="F22" s="64">
        <f>+'JFK-144.019'!$F$6</f>
        <v>42626</v>
      </c>
      <c r="G22" s="65" t="str">
        <f>+'JFK-144.019'!$G$7</f>
        <v>PQL</v>
      </c>
      <c r="H22" s="27">
        <f>+'JFK-144.019'!$F$7</f>
        <v>73640000</v>
      </c>
      <c r="I22" s="27">
        <f>+'JFK-144.019'!$F$8</f>
        <v>68462700</v>
      </c>
      <c r="J22" s="27"/>
      <c r="K22" s="26">
        <f>+'JFK-144.019'!$G$9</f>
        <v>-7.0305540467137426E-2</v>
      </c>
      <c r="L22" s="11" t="str">
        <f>+'JFK-144.019'!$F$11</f>
        <v>GOOD</v>
      </c>
      <c r="M22" s="15">
        <f>+'JFK-144.019'!$H$12</f>
        <v>2</v>
      </c>
      <c r="N22" s="35" t="s">
        <v>93</v>
      </c>
      <c r="O22" s="15">
        <v>3</v>
      </c>
      <c r="P22" s="35" t="s">
        <v>458</v>
      </c>
      <c r="Q22" s="15"/>
      <c r="R22" s="24"/>
      <c r="S22" s="62" t="str">
        <f>+'JFK-144.019'!$J$4</f>
        <v>Wen Chang</v>
      </c>
      <c r="T22" s="15"/>
      <c r="U22" s="15"/>
      <c r="V22" s="54">
        <f t="shared" ref="V22:W30" si="4">+H22</f>
        <v>73640000</v>
      </c>
      <c r="W22" s="54">
        <f t="shared" si="4"/>
        <v>68462700</v>
      </c>
      <c r="X22" s="54">
        <f t="shared" ref="X22:X30" si="5">+V22-W22</f>
        <v>5177300</v>
      </c>
    </row>
    <row r="23" spans="3:24" x14ac:dyDescent="0.25">
      <c r="C23" s="39">
        <v>2016</v>
      </c>
      <c r="D23" s="62" t="str">
        <f>+'PN-654.042A'!$F$4</f>
        <v>PN-654.042A</v>
      </c>
      <c r="E23" s="63" t="str">
        <f>+'PN-654.042A'!$F$5</f>
        <v>Demo Buildings 269 and 270</v>
      </c>
      <c r="F23" s="64">
        <f>+'PN-654.042A'!$F$6</f>
        <v>42612</v>
      </c>
      <c r="G23" s="65" t="str">
        <f>+'PN-654.042A'!$G$7</f>
        <v>Public</v>
      </c>
      <c r="H23" s="27">
        <f>+'PN-654.042A'!$F$7</f>
        <v>2000000</v>
      </c>
      <c r="I23" s="27">
        <f>+'PN-654.042A'!$F$8</f>
        <v>1460000</v>
      </c>
      <c r="J23" s="27"/>
      <c r="K23" s="26">
        <f>+'PN-654.042A'!$G$9</f>
        <v>-0.27</v>
      </c>
      <c r="L23" s="11" t="str">
        <f>+'PN-654.042A'!$F$11</f>
        <v>GOOD</v>
      </c>
      <c r="M23" s="15">
        <f>+'PN-654.042A'!$H$12</f>
        <v>10</v>
      </c>
      <c r="N23" s="35" t="s">
        <v>25</v>
      </c>
      <c r="O23" s="15">
        <v>3</v>
      </c>
      <c r="P23" s="35" t="s">
        <v>492</v>
      </c>
      <c r="Q23" s="15"/>
      <c r="R23" s="24"/>
      <c r="S23" s="62" t="str">
        <f>+'PN-654.042A'!$J$4</f>
        <v>Wen Chang</v>
      </c>
      <c r="T23" s="15"/>
      <c r="U23" s="15"/>
      <c r="V23" s="54">
        <f t="shared" si="4"/>
        <v>2000000</v>
      </c>
      <c r="W23" s="54">
        <f t="shared" si="4"/>
        <v>1460000</v>
      </c>
      <c r="X23" s="54">
        <f t="shared" si="5"/>
        <v>540000</v>
      </c>
    </row>
    <row r="24" spans="3:24" x14ac:dyDescent="0.25">
      <c r="C24" s="39">
        <v>2016</v>
      </c>
      <c r="D24" s="62" t="str">
        <f>+'EWR-924.366'!$F$4</f>
        <v>EWR-924.366</v>
      </c>
      <c r="E24" s="63" t="str">
        <f>+'EWR-924.366'!$F$5</f>
        <v>Bridge N5 Flooding Mitigation</v>
      </c>
      <c r="F24" s="64">
        <f>+'EWR-924.366'!$F$6</f>
        <v>42606</v>
      </c>
      <c r="G24" s="65" t="str">
        <f>+'EWR-924.366'!$G$7</f>
        <v>MWBE</v>
      </c>
      <c r="H24" s="27">
        <f>+'EWR-924.366'!$F$7</f>
        <v>230000</v>
      </c>
      <c r="I24" s="27">
        <f>+'EWR-924.366'!$F$8</f>
        <v>274450</v>
      </c>
      <c r="J24" s="27"/>
      <c r="K24" s="26">
        <f>+'EWR-924.366'!$G$9</f>
        <v>0.1932608695652174</v>
      </c>
      <c r="L24" s="11" t="str">
        <f>+'EWR-924.366'!$F$11</f>
        <v>FAIL</v>
      </c>
      <c r="M24" s="15">
        <f>+'EWR-924.366'!$H$12</f>
        <v>3</v>
      </c>
      <c r="N24" s="35" t="s">
        <v>25</v>
      </c>
      <c r="O24" s="15">
        <v>3</v>
      </c>
      <c r="P24" s="35" t="s">
        <v>458</v>
      </c>
      <c r="Q24" s="15"/>
      <c r="R24" s="24"/>
      <c r="S24" s="62" t="str">
        <f>+'EWR-924.366'!$J$4</f>
        <v>Henry Yu</v>
      </c>
      <c r="T24" s="15"/>
      <c r="U24" s="15"/>
      <c r="V24" s="54">
        <f t="shared" si="4"/>
        <v>230000</v>
      </c>
      <c r="W24" s="54">
        <f t="shared" si="4"/>
        <v>274450</v>
      </c>
      <c r="X24" s="54">
        <f t="shared" si="5"/>
        <v>-44450</v>
      </c>
    </row>
    <row r="25" spans="3:24" x14ac:dyDescent="0.25">
      <c r="C25" s="39">
        <v>2016</v>
      </c>
      <c r="D25" s="62" t="str">
        <f>+'PAT-784.164'!$F$4</f>
        <v>PAT-784.164</v>
      </c>
      <c r="E25" s="63" t="str">
        <f>+'PAT-784.164'!$F$5</f>
        <v>Replace Roof - MacMillian-Bloedel Building</v>
      </c>
      <c r="F25" s="64">
        <f>+'PAT-784.164'!$F$6</f>
        <v>42601</v>
      </c>
      <c r="G25" s="65" t="str">
        <f>+'PAT-784.164'!$G$7</f>
        <v>Public</v>
      </c>
      <c r="H25" s="27">
        <f>+'PAT-784.164'!$F$7</f>
        <v>6120000</v>
      </c>
      <c r="I25" s="27">
        <f>+'PAT-784.164'!$F$8</f>
        <v>4674300</v>
      </c>
      <c r="J25" s="27">
        <v>4753054</v>
      </c>
      <c r="K25" s="26">
        <f>+'PAT-784.164'!$G$9</f>
        <v>-0.23622549019607844</v>
      </c>
      <c r="L25" s="11" t="str">
        <f>+'PAT-784.164'!$F$11</f>
        <v>GOOD</v>
      </c>
      <c r="M25" s="15">
        <f>+'PAT-784.164'!$H$12</f>
        <v>6</v>
      </c>
      <c r="N25" s="35" t="s">
        <v>25</v>
      </c>
      <c r="O25" s="15">
        <v>3</v>
      </c>
      <c r="P25" s="35" t="s">
        <v>459</v>
      </c>
      <c r="Q25" s="15"/>
      <c r="R25" s="24" t="s">
        <v>726</v>
      </c>
      <c r="S25" s="62" t="str">
        <f>+'PAT-784.164'!$J$4</f>
        <v>Nathan Demaisip</v>
      </c>
      <c r="T25" s="15"/>
      <c r="U25" s="15"/>
      <c r="V25" s="54">
        <f t="shared" si="4"/>
        <v>6120000</v>
      </c>
      <c r="W25" s="54">
        <f t="shared" si="4"/>
        <v>4674300</v>
      </c>
      <c r="X25" s="54">
        <f t="shared" si="5"/>
        <v>1445700</v>
      </c>
    </row>
    <row r="26" spans="3:24" x14ac:dyDescent="0.25">
      <c r="C26" s="39">
        <v>2016</v>
      </c>
      <c r="D26" s="62" t="str">
        <f>+'LT-534'!$F$4</f>
        <v>LT-534</v>
      </c>
      <c r="E26" s="63" t="str">
        <f>+'LT-534'!$F$5</f>
        <v>Maintenance Pavement Repairs via Work Order</v>
      </c>
      <c r="F26" s="64">
        <f>+'LT-534'!$F$6</f>
        <v>42593</v>
      </c>
      <c r="G26" s="65" t="str">
        <f>+'LT-534'!$G$7</f>
        <v>Public</v>
      </c>
      <c r="H26" s="27">
        <f>+'LT-534'!$F$7</f>
        <v>1450000</v>
      </c>
      <c r="I26" s="27">
        <f>+'LT-534'!$F$8</f>
        <v>763000</v>
      </c>
      <c r="J26" s="27"/>
      <c r="K26" s="26">
        <f>+'LT-534'!$G$9</f>
        <v>-0.47379310344827585</v>
      </c>
      <c r="L26" s="11" t="str">
        <f>+'LT-534'!$F$11</f>
        <v>GOOD</v>
      </c>
      <c r="M26" s="15">
        <f>+'LT-534'!$H$12</f>
        <v>6</v>
      </c>
      <c r="N26" s="35" t="s">
        <v>93</v>
      </c>
      <c r="O26" s="15">
        <v>3</v>
      </c>
      <c r="P26" s="35" t="s">
        <v>457</v>
      </c>
      <c r="Q26" s="15"/>
      <c r="R26" s="24"/>
      <c r="S26" s="62" t="str">
        <f>+'LT-534'!$J$4</f>
        <v>Reddy Gunda</v>
      </c>
      <c r="T26" s="15"/>
      <c r="U26" s="15"/>
      <c r="V26" s="54">
        <f t="shared" si="4"/>
        <v>1450000</v>
      </c>
      <c r="W26" s="54">
        <f t="shared" si="4"/>
        <v>763000</v>
      </c>
      <c r="X26" s="54">
        <f t="shared" si="5"/>
        <v>687000</v>
      </c>
    </row>
    <row r="27" spans="3:24" x14ac:dyDescent="0.25">
      <c r="C27" s="39">
        <v>2016</v>
      </c>
      <c r="D27" s="62" t="str">
        <f>+'LT-944.096 Void'!$F$4</f>
        <v>LT-944.096</v>
      </c>
      <c r="E27" s="63" t="str">
        <f>+'LT-944.096 Void'!$F$5</f>
        <v>Replacement of Aboveground Storage Tanks</v>
      </c>
      <c r="F27" s="64">
        <f>+'LT-944.096 Void'!$F$6</f>
        <v>42587</v>
      </c>
      <c r="G27" s="65"/>
      <c r="H27" s="27"/>
      <c r="I27" s="27"/>
      <c r="J27" s="27"/>
      <c r="K27" s="26"/>
      <c r="L27" s="11"/>
      <c r="M27" s="15">
        <f>+'LT-944.096 Void'!$H$12</f>
        <v>4</v>
      </c>
      <c r="N27" s="35" t="s">
        <v>93</v>
      </c>
      <c r="O27" s="15">
        <v>3</v>
      </c>
      <c r="P27" s="35" t="s">
        <v>457</v>
      </c>
      <c r="Q27" s="15"/>
      <c r="R27" s="24" t="s">
        <v>753</v>
      </c>
      <c r="S27" s="62" t="str">
        <f>+'LT-944.096 Void'!$J$4</f>
        <v>Reddy Gunda</v>
      </c>
      <c r="T27" s="15"/>
      <c r="U27" s="15"/>
      <c r="V27" s="54">
        <f t="shared" si="4"/>
        <v>0</v>
      </c>
      <c r="W27" s="54">
        <f t="shared" si="4"/>
        <v>0</v>
      </c>
      <c r="X27" s="54">
        <f t="shared" si="5"/>
        <v>0</v>
      </c>
    </row>
    <row r="28" spans="3:24" x14ac:dyDescent="0.25">
      <c r="C28" s="39">
        <v>2016</v>
      </c>
      <c r="D28" s="62" t="str">
        <f>+'LT-934.027'!$F$4</f>
        <v>LT-934.027</v>
      </c>
      <c r="E28" s="63" t="str">
        <f>+'LT-934.027'!$F$5</f>
        <v>NJ Admin Bldg - Emergency Power Modifications</v>
      </c>
      <c r="F28" s="64">
        <f>+'LT-934.027'!$F$6</f>
        <v>42586</v>
      </c>
      <c r="G28" s="65" t="str">
        <f>+'LT-934.027'!$G$7</f>
        <v>MWBE</v>
      </c>
      <c r="H28" s="27">
        <f>+'LT-934.027'!$F$7</f>
        <v>800000</v>
      </c>
      <c r="I28" s="27">
        <f>+'LT-934.027'!$F$8</f>
        <v>485250</v>
      </c>
      <c r="J28" s="27"/>
      <c r="K28" s="26">
        <f>+'LT-934.027'!$G$9</f>
        <v>-0.3934375</v>
      </c>
      <c r="L28" s="11" t="str">
        <f>+'LT-934.027'!$F$11</f>
        <v>GOOD</v>
      </c>
      <c r="M28" s="15">
        <f>+'LT-934.027'!$H$12</f>
        <v>4</v>
      </c>
      <c r="N28" s="35" t="s">
        <v>25</v>
      </c>
      <c r="O28" s="15">
        <v>3</v>
      </c>
      <c r="P28" s="35" t="s">
        <v>457</v>
      </c>
      <c r="Q28" s="15"/>
      <c r="R28" s="24"/>
      <c r="S28" s="62" t="str">
        <f>+'LT-934.027'!$J$4</f>
        <v>Reddy Gunda</v>
      </c>
      <c r="T28" s="15"/>
      <c r="U28" s="15"/>
      <c r="V28" s="54">
        <f t="shared" si="4"/>
        <v>800000</v>
      </c>
      <c r="W28" s="54">
        <f t="shared" si="4"/>
        <v>485250</v>
      </c>
      <c r="X28" s="54">
        <f t="shared" si="5"/>
        <v>314750</v>
      </c>
    </row>
    <row r="29" spans="3:24" x14ac:dyDescent="0.25">
      <c r="C29" s="39">
        <v>2016</v>
      </c>
      <c r="D29" s="62" t="str">
        <f>+'JFK-1064'!$F$4</f>
        <v>JFK-1064</v>
      </c>
      <c r="E29" s="63" t="str">
        <f>+'JFK-1064'!$F$5</f>
        <v>Bulk Fuel Farm West End &amp; Satellite Remediation Upgrades</v>
      </c>
      <c r="F29" s="64">
        <f>+'JFK-1064'!$F$6</f>
        <v>42584</v>
      </c>
      <c r="G29" s="65" t="str">
        <f>+'JFK-1064'!$G$7</f>
        <v>Public</v>
      </c>
      <c r="H29" s="27">
        <f>+'JFK-1064'!$F$7</f>
        <v>1750000</v>
      </c>
      <c r="I29" s="27">
        <f>+'JFK-1064'!$F$8</f>
        <v>1930000</v>
      </c>
      <c r="J29" s="27">
        <v>1930000</v>
      </c>
      <c r="K29" s="26">
        <f>+'JFK-1064'!$G$9</f>
        <v>0.10285714285714286</v>
      </c>
      <c r="L29" s="11" t="str">
        <f>+'JFK-1064'!$F$11</f>
        <v>GOOD</v>
      </c>
      <c r="M29" s="15">
        <f>+'JFK-1064'!$H$12</f>
        <v>9</v>
      </c>
      <c r="N29" s="35" t="s">
        <v>93</v>
      </c>
      <c r="O29" s="15">
        <v>3</v>
      </c>
      <c r="P29" s="35" t="s">
        <v>458</v>
      </c>
      <c r="Q29" s="15"/>
      <c r="R29" s="24"/>
      <c r="S29" s="62" t="str">
        <f>+'JFK-1064'!$J$4</f>
        <v>Wen Chang</v>
      </c>
      <c r="T29" s="15"/>
      <c r="U29" s="15"/>
      <c r="V29" s="54">
        <f t="shared" si="4"/>
        <v>1750000</v>
      </c>
      <c r="W29" s="54">
        <f t="shared" si="4"/>
        <v>1930000</v>
      </c>
      <c r="X29" s="54">
        <f t="shared" si="5"/>
        <v>-180000</v>
      </c>
    </row>
    <row r="30" spans="3:24" x14ac:dyDescent="0.25">
      <c r="C30" s="39">
        <v>2016</v>
      </c>
      <c r="D30" s="62" t="str">
        <f>+'LT-800.382'!$F$4</f>
        <v>LT-800.382</v>
      </c>
      <c r="E30" s="63" t="str">
        <f>+'LT-800.382'!$F$5</f>
        <v>North Tube Pump Discharge Line</v>
      </c>
      <c r="F30" s="64">
        <f>+'LT-800.382'!$F$6</f>
        <v>42579</v>
      </c>
      <c r="G30" s="65" t="str">
        <f>+'LT-800.382'!$G$7</f>
        <v>MWBE</v>
      </c>
      <c r="H30" s="27">
        <f>+'LT-800.382'!$F$7</f>
        <v>1636000</v>
      </c>
      <c r="I30" s="27">
        <f>+'LT-800.382'!$F$8</f>
        <v>1365000</v>
      </c>
      <c r="J30" s="27"/>
      <c r="K30" s="26">
        <f>+'LT-800.382'!$G$9</f>
        <v>-0.1656479217603912</v>
      </c>
      <c r="L30" s="11" t="str">
        <f>+'LT-800.382'!$F$11</f>
        <v>GOOD</v>
      </c>
      <c r="M30" s="15">
        <f>+'LT-800.382'!$H$12</f>
        <v>3</v>
      </c>
      <c r="N30" s="35" t="s">
        <v>93</v>
      </c>
      <c r="O30" s="15">
        <v>3</v>
      </c>
      <c r="P30" s="35" t="s">
        <v>457</v>
      </c>
      <c r="Q30" s="15"/>
      <c r="R30" s="24"/>
      <c r="S30" s="62" t="str">
        <f>+'LT-800.382'!$J$4</f>
        <v>Reddy Gunda</v>
      </c>
      <c r="T30" s="15"/>
      <c r="U30" s="15"/>
      <c r="V30" s="54">
        <f t="shared" si="4"/>
        <v>1636000</v>
      </c>
      <c r="W30" s="54">
        <f t="shared" si="4"/>
        <v>1365000</v>
      </c>
      <c r="X30" s="54">
        <f t="shared" si="5"/>
        <v>271000</v>
      </c>
    </row>
    <row r="31" spans="3:24" ht="7.5" customHeight="1" x14ac:dyDescent="0.25">
      <c r="C31" s="39"/>
      <c r="G31" s="45"/>
      <c r="P31" s="11"/>
      <c r="S31" s="15"/>
      <c r="V31" s="54"/>
      <c r="W31" s="54"/>
      <c r="X31" s="54"/>
    </row>
    <row r="32" spans="3:24" x14ac:dyDescent="0.25">
      <c r="C32" s="39">
        <v>2016</v>
      </c>
      <c r="D32" s="62" t="str">
        <f>+'LT-924.028'!$F$4</f>
        <v>LT-924.028</v>
      </c>
      <c r="E32" s="63" t="str">
        <f>+'LT-924.028'!$F$5</f>
        <v>Priority Repairs on NY Approach Retaining Walls (Dyer Ave.)</v>
      </c>
      <c r="F32" s="64">
        <f>+'LT-924.028'!$F$6</f>
        <v>42538</v>
      </c>
      <c r="G32" s="65" t="str">
        <f>+'LT-924.028'!$G$7</f>
        <v>Public</v>
      </c>
      <c r="H32" s="27">
        <f>+'LT-924.028'!$F$7</f>
        <v>1800000</v>
      </c>
      <c r="I32" s="27">
        <f>+'LT-924.028'!$F$8</f>
        <v>1628370</v>
      </c>
      <c r="J32" s="27">
        <v>1628370</v>
      </c>
      <c r="K32" s="26">
        <f>+'LT-924.028'!$G$9</f>
        <v>-9.5350000000000004E-2</v>
      </c>
      <c r="L32" s="11" t="str">
        <f>+'LT-924.028'!$F$11</f>
        <v>GOOD</v>
      </c>
      <c r="M32" s="15">
        <f>+'LT-924.028'!$H$12</f>
        <v>13</v>
      </c>
      <c r="N32" s="35" t="s">
        <v>93</v>
      </c>
      <c r="O32" s="15">
        <v>2</v>
      </c>
      <c r="P32" s="35" t="s">
        <v>457</v>
      </c>
      <c r="Q32" s="15"/>
      <c r="R32" s="24"/>
      <c r="S32" s="62" t="str">
        <f>+'LT-924.028'!$J$4</f>
        <v>Reddy Gunda</v>
      </c>
      <c r="T32" s="15"/>
      <c r="U32" s="15"/>
      <c r="V32" s="54">
        <f t="shared" ref="V32:W44" si="6">+H32</f>
        <v>1800000</v>
      </c>
      <c r="W32" s="54">
        <f t="shared" si="6"/>
        <v>1628370</v>
      </c>
      <c r="X32" s="54">
        <f t="shared" ref="X32:X44" si="7">+V32-W32</f>
        <v>171630</v>
      </c>
    </row>
    <row r="33" spans="3:28" x14ac:dyDescent="0.25">
      <c r="C33" s="39">
        <v>2016</v>
      </c>
      <c r="D33" s="62" t="str">
        <f>+'PN-654.038'!$F$4</f>
        <v>PN-654.038</v>
      </c>
      <c r="E33" s="63" t="str">
        <f>+'PN-654.038'!$F$5</f>
        <v>Expressrail Port Newark Administration Building</v>
      </c>
      <c r="F33" s="64">
        <f>+'PN-654.038'!$F$6</f>
        <v>42523</v>
      </c>
      <c r="G33" s="65" t="str">
        <f>+'PN-654.038'!$G$7</f>
        <v>D-B</v>
      </c>
      <c r="H33" s="27">
        <f>+'PN-654.038'!$F$7</f>
        <v>2253000</v>
      </c>
      <c r="I33" s="27">
        <f>+'PN-654.038'!$F$8</f>
        <v>2665637</v>
      </c>
      <c r="J33" s="27"/>
      <c r="K33" s="26">
        <f>+'PN-654.038'!$G$9</f>
        <v>0.18315002219263204</v>
      </c>
      <c r="L33" s="11" t="str">
        <f>+'PN-654.038'!$F$11</f>
        <v>FAIL</v>
      </c>
      <c r="M33" s="15">
        <f>+'PN-654.038'!$H$12</f>
        <v>4</v>
      </c>
      <c r="N33" s="35" t="s">
        <v>25</v>
      </c>
      <c r="O33" s="15">
        <v>2</v>
      </c>
      <c r="P33" s="35" t="s">
        <v>492</v>
      </c>
      <c r="Q33" s="15"/>
      <c r="R33" s="24"/>
      <c r="S33" s="62" t="str">
        <f>+'PN-654.038'!$J$4</f>
        <v>Ramani Sundaram</v>
      </c>
      <c r="T33" s="15"/>
      <c r="U33" s="15"/>
      <c r="V33" s="54">
        <f t="shared" si="6"/>
        <v>2253000</v>
      </c>
      <c r="W33" s="54">
        <f t="shared" si="6"/>
        <v>2665637</v>
      </c>
      <c r="X33" s="54">
        <f t="shared" si="7"/>
        <v>-412637</v>
      </c>
    </row>
    <row r="34" spans="3:28" x14ac:dyDescent="0.25">
      <c r="C34" s="39">
        <v>2016</v>
      </c>
      <c r="D34" s="62" t="str">
        <f>+'HT-469'!$F$4</f>
        <v>HT-469</v>
      </c>
      <c r="E34" s="63" t="str">
        <f>+'HT-469'!$F$5</f>
        <v>Mitigate Water Leakage at Ventilation Ducts and Mid-River Pump Room</v>
      </c>
      <c r="F34" s="64">
        <f>+'HT-469'!$F$6</f>
        <v>42517</v>
      </c>
      <c r="G34" s="65" t="str">
        <f>+'HT-469'!$G$7</f>
        <v>Public</v>
      </c>
      <c r="H34" s="27">
        <f>+'HT-469'!$F$7</f>
        <v>2800000</v>
      </c>
      <c r="I34" s="27">
        <f>+'HT-469'!$F$8</f>
        <v>3295274</v>
      </c>
      <c r="J34" s="27"/>
      <c r="K34" s="26">
        <f>+'HT-469'!$G$9</f>
        <v>0.17688357142857142</v>
      </c>
      <c r="L34" s="11" t="str">
        <f>+'HT-469'!$F$11</f>
        <v>FAIL</v>
      </c>
      <c r="M34" s="15">
        <f>+'HT-469'!$H$12</f>
        <v>6</v>
      </c>
      <c r="N34" s="35" t="s">
        <v>226</v>
      </c>
      <c r="O34" s="15">
        <v>2</v>
      </c>
      <c r="P34" s="35" t="s">
        <v>457</v>
      </c>
      <c r="Q34" s="15"/>
      <c r="R34" s="24"/>
      <c r="S34" s="62" t="str">
        <f>+'HT-469'!$J$4</f>
        <v>Reddy Gunda</v>
      </c>
      <c r="T34" s="15"/>
      <c r="U34" s="15"/>
      <c r="V34" s="54">
        <f t="shared" si="6"/>
        <v>2800000</v>
      </c>
      <c r="W34" s="54">
        <f t="shared" si="6"/>
        <v>3295274</v>
      </c>
      <c r="X34" s="54">
        <f t="shared" si="7"/>
        <v>-495274</v>
      </c>
    </row>
    <row r="35" spans="3:28" x14ac:dyDescent="0.25">
      <c r="C35" s="39">
        <v>2016</v>
      </c>
      <c r="D35" s="62" t="str">
        <f>+'LGA-124.086'!$F$4</f>
        <v>LGA-124.086</v>
      </c>
      <c r="E35" s="63" t="str">
        <f>+'LGA-124.086'!$F$5</f>
        <v>Rehab of Runway 22 Deck Wearing Course</v>
      </c>
      <c r="F35" s="64">
        <f>+'LGA-124.086'!$F$6</f>
        <v>42514</v>
      </c>
      <c r="G35" s="65" t="str">
        <f>+'LGA-124.086'!$G$7</f>
        <v>PQL</v>
      </c>
      <c r="H35" s="27">
        <f>+'LGA-124.086'!$F$7</f>
        <v>1930000</v>
      </c>
      <c r="I35" s="27">
        <f>+'LGA-124.086'!$F$8</f>
        <v>2277000</v>
      </c>
      <c r="J35" s="27"/>
      <c r="K35" s="26">
        <f>+'LGA-124.086'!$G$9</f>
        <v>0.17979274611398963</v>
      </c>
      <c r="L35" s="11" t="str">
        <f>+'LGA-124.086'!$F$11</f>
        <v>FAIL</v>
      </c>
      <c r="M35" s="15">
        <f>+'LGA-124.086'!$H$12</f>
        <v>4</v>
      </c>
      <c r="N35" s="35" t="s">
        <v>93</v>
      </c>
      <c r="O35" s="15">
        <v>2</v>
      </c>
      <c r="P35" s="35" t="s">
        <v>458</v>
      </c>
      <c r="Q35" s="15"/>
      <c r="R35" s="24" t="s">
        <v>667</v>
      </c>
      <c r="S35" s="62" t="str">
        <f>+'LGA-124.086'!$J$4</f>
        <v>Lucita Mendoza and Nathan Demaisip</v>
      </c>
      <c r="T35" s="15"/>
      <c r="U35" s="15"/>
      <c r="V35" s="54">
        <f t="shared" si="6"/>
        <v>1930000</v>
      </c>
      <c r="W35" s="54">
        <f t="shared" si="6"/>
        <v>2277000</v>
      </c>
      <c r="X35" s="54">
        <f t="shared" si="7"/>
        <v>-347000</v>
      </c>
    </row>
    <row r="36" spans="3:28" x14ac:dyDescent="0.25">
      <c r="C36" s="39">
        <v>2016</v>
      </c>
      <c r="D36" s="62" t="str">
        <f>+'NYNJRR-644.537'!$F$4</f>
        <v>NYNJRR-644.537</v>
      </c>
      <c r="E36" s="63" t="str">
        <f>+'NYNJRR-644.537'!$F$5</f>
        <v>Repl Barge Mooring Structures at Greenville Yard</v>
      </c>
      <c r="F36" s="64">
        <f>+'NYNJRR-644.537'!$F$6</f>
        <v>42500</v>
      </c>
      <c r="G36" s="65" t="str">
        <f>+'NYNJRR-644.537'!$G$7</f>
        <v>Public</v>
      </c>
      <c r="H36" s="27">
        <f>+'NYNJRR-644.537'!$F$7</f>
        <v>4000000</v>
      </c>
      <c r="I36" s="27">
        <f>+'NYNJRR-644.537'!$F$8</f>
        <v>3838287</v>
      </c>
      <c r="J36" s="27"/>
      <c r="K36" s="26">
        <f>+'NYNJRR-644.537'!$G$9</f>
        <v>-4.0428249999999999E-2</v>
      </c>
      <c r="L36" s="11" t="str">
        <f>+'NYNJRR-644.537'!$F$11</f>
        <v>GOOD</v>
      </c>
      <c r="M36" s="15">
        <f>+'NYNJRR-644.537'!$H$12</f>
        <v>11</v>
      </c>
      <c r="N36" s="35" t="s">
        <v>25</v>
      </c>
      <c r="O36" s="15">
        <v>2</v>
      </c>
      <c r="P36" s="35" t="s">
        <v>492</v>
      </c>
      <c r="Q36" s="15"/>
      <c r="R36" s="24"/>
      <c r="S36" s="62" t="str">
        <f>+'NYNJRR-644.537'!$J$4</f>
        <v>Wen Chang</v>
      </c>
      <c r="T36" s="15"/>
      <c r="U36" s="15"/>
      <c r="V36" s="54">
        <f t="shared" si="6"/>
        <v>4000000</v>
      </c>
      <c r="W36" s="54">
        <f t="shared" si="6"/>
        <v>3838287</v>
      </c>
      <c r="X36" s="54">
        <f t="shared" si="7"/>
        <v>161713</v>
      </c>
    </row>
    <row r="37" spans="3:28" x14ac:dyDescent="0.25">
      <c r="C37" s="39">
        <v>2016</v>
      </c>
      <c r="D37" s="62" t="str">
        <f>+'HT-473A Void'!$F$4</f>
        <v>HT-473A</v>
      </c>
      <c r="E37" s="63" t="str">
        <f>+'HT-473A Void'!$F$5</f>
        <v>Emerg Gen Infrastructure at NY &amp; NJ Ventilation Bldgs</v>
      </c>
      <c r="F37" s="64">
        <f>+'HT-473A Void'!$F$6</f>
        <v>42496</v>
      </c>
      <c r="G37" s="65" t="str">
        <f>+'HT-473A Void'!$G$7</f>
        <v>Public</v>
      </c>
      <c r="H37" s="27"/>
      <c r="I37" s="27"/>
      <c r="J37" s="27"/>
      <c r="K37" s="26"/>
      <c r="L37" s="11"/>
      <c r="M37" s="15">
        <f>+'HT-473A Void'!$H$12</f>
        <v>9</v>
      </c>
      <c r="N37" s="35" t="s">
        <v>226</v>
      </c>
      <c r="O37" s="15">
        <v>2</v>
      </c>
      <c r="P37" s="35" t="s">
        <v>457</v>
      </c>
      <c r="Q37" s="15"/>
      <c r="R37" s="24" t="s">
        <v>690</v>
      </c>
      <c r="S37" s="62" t="str">
        <f>+'GWB-244.246'!$J$4</f>
        <v>Reddy Gunda</v>
      </c>
      <c r="T37" s="15"/>
      <c r="U37" s="15"/>
      <c r="V37" s="54">
        <f t="shared" si="6"/>
        <v>0</v>
      </c>
      <c r="W37" s="54">
        <f t="shared" si="6"/>
        <v>0</v>
      </c>
      <c r="X37" s="54">
        <f t="shared" si="7"/>
        <v>0</v>
      </c>
    </row>
    <row r="38" spans="3:28" x14ac:dyDescent="0.25">
      <c r="C38" s="39">
        <v>2016</v>
      </c>
      <c r="D38" s="62" t="str">
        <f>+'LT-924.014A'!$F$4</f>
        <v>LT-924.014A</v>
      </c>
      <c r="E38" s="63" t="str">
        <f>+'LT-924.014A'!$F$5</f>
        <v>Water Line Leak Repairs</v>
      </c>
      <c r="F38" s="64">
        <f>+'LT-924.014A'!$F$6</f>
        <v>42496</v>
      </c>
      <c r="G38" s="65" t="str">
        <f>+'LT-924.014A'!$G$7</f>
        <v>Public</v>
      </c>
      <c r="H38" s="27">
        <f>+'LT-924.014A'!$F$7</f>
        <v>2000000</v>
      </c>
      <c r="I38" s="27">
        <f>+'LT-924.014A'!$F$8</f>
        <v>2059960</v>
      </c>
      <c r="J38" s="27">
        <v>2059960</v>
      </c>
      <c r="K38" s="26">
        <f>+'LT-924.014A'!$G$9</f>
        <v>2.998E-2</v>
      </c>
      <c r="L38" s="11" t="str">
        <f>+'LT-924.014A'!$F$11</f>
        <v>GOOD</v>
      </c>
      <c r="M38" s="15">
        <f>+'LT-924.014A'!$H$12</f>
        <v>2</v>
      </c>
      <c r="N38" s="35" t="s">
        <v>25</v>
      </c>
      <c r="O38" s="15">
        <v>2</v>
      </c>
      <c r="P38" s="35" t="s">
        <v>457</v>
      </c>
      <c r="Q38" s="15"/>
      <c r="R38" s="24"/>
      <c r="S38" s="62" t="str">
        <f>+'GWB-244.246'!$J$4</f>
        <v>Reddy Gunda</v>
      </c>
      <c r="T38" s="15"/>
      <c r="U38" s="15"/>
      <c r="V38" s="54">
        <f t="shared" si="6"/>
        <v>2000000</v>
      </c>
      <c r="W38" s="54">
        <f t="shared" si="6"/>
        <v>2059960</v>
      </c>
      <c r="X38" s="54">
        <f t="shared" si="7"/>
        <v>-59960</v>
      </c>
    </row>
    <row r="39" spans="3:28" x14ac:dyDescent="0.25">
      <c r="C39" s="39">
        <v>2016</v>
      </c>
      <c r="D39" s="62" t="str">
        <f>+'GWB-244.246'!$F$4</f>
        <v>GWB-244.246</v>
      </c>
      <c r="E39" s="63" t="str">
        <f>+'GWB-244.246'!$F$5</f>
        <v>Access Ramp Crash Barrier</v>
      </c>
      <c r="F39" s="64">
        <f>+'GWB-244.246'!$F$6</f>
        <v>42488</v>
      </c>
      <c r="G39" s="65" t="str">
        <f>+'GWB-244.246'!$G$7</f>
        <v>PQL</v>
      </c>
      <c r="H39" s="27">
        <f>+'GWB-244.246'!$F$7</f>
        <v>1700000</v>
      </c>
      <c r="I39" s="27">
        <f>+'GWB-244.246'!$F$8</f>
        <v>815000</v>
      </c>
      <c r="J39" s="27">
        <v>815000</v>
      </c>
      <c r="K39" s="26">
        <f>+'GWB-244.246'!$G$9</f>
        <v>-0.52058823529411768</v>
      </c>
      <c r="L39" s="11" t="str">
        <f>+'GWB-244.246'!$F$11</f>
        <v>FAIL</v>
      </c>
      <c r="M39" s="15">
        <f>+'GWB-244.246'!$H$12</f>
        <v>7</v>
      </c>
      <c r="N39" s="35" t="s">
        <v>25</v>
      </c>
      <c r="O39" s="15">
        <v>2</v>
      </c>
      <c r="P39" s="35" t="s">
        <v>457</v>
      </c>
      <c r="Q39" s="15"/>
      <c r="R39" s="24" t="s">
        <v>662</v>
      </c>
      <c r="S39" s="62" t="str">
        <f>+'GWB-244.246'!$J$4</f>
        <v>Reddy Gunda</v>
      </c>
      <c r="T39" s="15"/>
      <c r="U39" s="15"/>
      <c r="V39" s="54">
        <f t="shared" si="6"/>
        <v>1700000</v>
      </c>
      <c r="W39" s="54">
        <f t="shared" si="6"/>
        <v>815000</v>
      </c>
      <c r="X39" s="54">
        <f t="shared" si="7"/>
        <v>885000</v>
      </c>
    </row>
    <row r="40" spans="3:28" x14ac:dyDescent="0.25">
      <c r="C40" s="39">
        <v>2016</v>
      </c>
      <c r="D40" s="62" t="str">
        <f>+'HT-224.117'!$F$4</f>
        <v>HT-224.117</v>
      </c>
      <c r="E40" s="63" t="str">
        <f>+'HT-224.117'!$F$5</f>
        <v>Waterside Buffer Zone Protection</v>
      </c>
      <c r="F40" s="64">
        <f>+'HT-224.117'!$F$6</f>
        <v>42486</v>
      </c>
      <c r="G40" s="65" t="str">
        <f>+'HT-224.117'!$G$7</f>
        <v>Public</v>
      </c>
      <c r="H40" s="27">
        <f>+'HT-224.117'!$F$7</f>
        <v>600000</v>
      </c>
      <c r="I40" s="27">
        <f>+'HT-224.117'!$F$8</f>
        <v>675000</v>
      </c>
      <c r="J40" s="27">
        <v>675000</v>
      </c>
      <c r="K40" s="26">
        <f>+'HT-224.117'!$G$9</f>
        <v>0.125</v>
      </c>
      <c r="L40" s="11" t="str">
        <f>+'HT-224.117'!$F$11</f>
        <v>FAIL</v>
      </c>
      <c r="M40" s="15">
        <f>+'HT-224.117'!$H$12</f>
        <v>3</v>
      </c>
      <c r="N40" s="35" t="s">
        <v>93</v>
      </c>
      <c r="O40" s="15">
        <v>2</v>
      </c>
      <c r="P40" s="35" t="s">
        <v>457</v>
      </c>
      <c r="Q40" s="15"/>
      <c r="R40" s="24"/>
      <c r="S40" s="62" t="str">
        <f>+'HT-224.117'!$J$4</f>
        <v>Nathan Demaisip</v>
      </c>
      <c r="T40" s="15"/>
      <c r="U40" s="15"/>
      <c r="V40" s="54">
        <f t="shared" si="6"/>
        <v>600000</v>
      </c>
      <c r="W40" s="54">
        <f t="shared" si="6"/>
        <v>675000</v>
      </c>
      <c r="X40" s="54">
        <f t="shared" si="7"/>
        <v>-75000</v>
      </c>
    </row>
    <row r="41" spans="3:28" x14ac:dyDescent="0.25">
      <c r="C41" s="39">
        <v>2016</v>
      </c>
      <c r="D41" s="62" t="str">
        <f>+'EWR-924.281'!$F$4</f>
        <v>EWR-924.281</v>
      </c>
      <c r="E41" s="63" t="str">
        <f>+'EWR-924.281'!$F$5</f>
        <v>Peripheral Ditch Tide Gate Valve Repairs</v>
      </c>
      <c r="F41" s="64">
        <f>+'EWR-924.281'!$F$6</f>
        <v>42479</v>
      </c>
      <c r="G41" s="65" t="str">
        <f>+'EWR-924.281'!$G$7</f>
        <v>Public</v>
      </c>
      <c r="H41" s="27">
        <f>+'EWR-924.281'!$F$7</f>
        <v>670000</v>
      </c>
      <c r="I41" s="27">
        <f>+'EWR-924.281'!$F$8</f>
        <v>897950</v>
      </c>
      <c r="J41" s="27"/>
      <c r="K41" s="26">
        <f>+'EWR-924.281'!$G$9</f>
        <v>0.34022388059701492</v>
      </c>
      <c r="L41" s="11" t="str">
        <f>+'EWR-924.281'!$F$11</f>
        <v>FAIL</v>
      </c>
      <c r="M41" s="15">
        <f>+'EWR-924.281'!$H$12</f>
        <v>5</v>
      </c>
      <c r="N41" s="35" t="s">
        <v>25</v>
      </c>
      <c r="O41" s="15">
        <v>2</v>
      </c>
      <c r="P41" s="35" t="s">
        <v>458</v>
      </c>
      <c r="Q41" s="15"/>
      <c r="R41" s="24"/>
      <c r="S41" s="62" t="str">
        <f>+'EWR-924.281'!$J$4</f>
        <v>Henry Yu</v>
      </c>
      <c r="T41" s="15"/>
      <c r="U41" s="15"/>
      <c r="V41" s="54">
        <f t="shared" si="6"/>
        <v>670000</v>
      </c>
      <c r="W41" s="54">
        <f t="shared" si="6"/>
        <v>897950</v>
      </c>
      <c r="X41" s="54">
        <f t="shared" si="7"/>
        <v>-227950</v>
      </c>
    </row>
    <row r="42" spans="3:28" x14ac:dyDescent="0.25">
      <c r="C42" s="39">
        <v>2016</v>
      </c>
      <c r="D42" s="62" t="str">
        <f>+'EP-684.509A'!$F$4</f>
        <v>EP-684.509A</v>
      </c>
      <c r="E42" s="63" t="str">
        <f>+'EP-684.509A'!$F$5</f>
        <v>Bldg 1400 Upgrade of Fire Supression System</v>
      </c>
      <c r="F42" s="64">
        <f>+'EP-684.509A'!$F$6</f>
        <v>42474</v>
      </c>
      <c r="G42" s="65" t="str">
        <f>+'PAT-784.163'!$G$7</f>
        <v>Public</v>
      </c>
      <c r="H42" s="27">
        <f>+'EP-684.509A'!$F$7</f>
        <v>700000</v>
      </c>
      <c r="I42" s="27">
        <f>+'EP-684.509A'!$F$8</f>
        <v>442247</v>
      </c>
      <c r="J42" s="27"/>
      <c r="K42" s="26">
        <f>+'EP-684.509A'!$G$9</f>
        <v>-0.36821857142857145</v>
      </c>
      <c r="L42" s="11" t="str">
        <f>+'EP-684.509A'!$F$11</f>
        <v>GOOD</v>
      </c>
      <c r="M42" s="15">
        <f>+'EP-684.509A'!$H$12</f>
        <v>6</v>
      </c>
      <c r="N42" s="35" t="s">
        <v>25</v>
      </c>
      <c r="O42" s="15">
        <v>2</v>
      </c>
      <c r="P42" s="35" t="s">
        <v>492</v>
      </c>
      <c r="Q42" s="15"/>
      <c r="R42" s="24"/>
      <c r="S42" s="62" t="str">
        <f>+'EP-684.509A'!$J$4</f>
        <v>Wen Chang</v>
      </c>
      <c r="T42" s="15"/>
      <c r="U42" s="15"/>
      <c r="V42" s="54">
        <f t="shared" si="6"/>
        <v>700000</v>
      </c>
      <c r="W42" s="54">
        <f t="shared" si="6"/>
        <v>442247</v>
      </c>
      <c r="X42" s="54">
        <f t="shared" si="7"/>
        <v>257753</v>
      </c>
    </row>
    <row r="43" spans="3:28" x14ac:dyDescent="0.25">
      <c r="C43" s="39">
        <v>2016</v>
      </c>
      <c r="D43" s="62" t="str">
        <f>+'PAT-784.163'!$F$4</f>
        <v>PAT-784.163</v>
      </c>
      <c r="E43" s="63" t="str">
        <f>+'PAT-784.163'!$F$5</f>
        <v>PATH - Infrastructure for Standby Generators</v>
      </c>
      <c r="F43" s="64">
        <f>+'PAT-784.163'!$F$6</f>
        <v>42473</v>
      </c>
      <c r="G43" s="65" t="str">
        <f>+'PAT-784.163'!$G$7</f>
        <v>Public</v>
      </c>
      <c r="H43" s="27">
        <f>+'PAT-784.163'!$F$7</f>
        <v>1900000</v>
      </c>
      <c r="I43" s="27">
        <f>+'PAT-784.163'!$F$8</f>
        <v>1348800</v>
      </c>
      <c r="J43" s="27">
        <v>1348800</v>
      </c>
      <c r="K43" s="26">
        <f>+'PAT-784.163'!$G$9</f>
        <v>-0.29010526315789475</v>
      </c>
      <c r="L43" s="11" t="str">
        <f>+'PAT-784.163'!$F$11</f>
        <v>GOOD</v>
      </c>
      <c r="M43" s="15">
        <f>+'PAT-784.163'!$H$12</f>
        <v>11</v>
      </c>
      <c r="N43" s="35" t="s">
        <v>25</v>
      </c>
      <c r="O43" s="15">
        <v>2</v>
      </c>
      <c r="P43" s="35" t="s">
        <v>459</v>
      </c>
      <c r="Q43" s="15"/>
      <c r="R43" s="24" t="s">
        <v>608</v>
      </c>
      <c r="S43" s="62" t="str">
        <f>+'PAT-784.163'!$J$4</f>
        <v>Nathan Demaisip</v>
      </c>
      <c r="T43" s="15"/>
      <c r="U43" s="15"/>
      <c r="V43" s="54">
        <f t="shared" si="6"/>
        <v>1900000</v>
      </c>
      <c r="W43" s="54">
        <f t="shared" si="6"/>
        <v>1348800</v>
      </c>
      <c r="X43" s="54">
        <f t="shared" si="7"/>
        <v>551200</v>
      </c>
    </row>
    <row r="44" spans="3:28" x14ac:dyDescent="0.25">
      <c r="C44" s="39">
        <v>2016</v>
      </c>
      <c r="D44" s="62" t="str">
        <f>+'SWF-164.054'!$F$4</f>
        <v>SWF-164.054</v>
      </c>
      <c r="E44" s="63" t="str">
        <f>+'SWF-164.054'!$F$5</f>
        <v>Stewart Airport - Backflow Prevention and Sump Pumps</v>
      </c>
      <c r="F44" s="64">
        <f>+'SWF-164.054'!$F$6</f>
        <v>42465</v>
      </c>
      <c r="G44" s="65" t="str">
        <f>+'SWF-164.054'!$G$7</f>
        <v>Public</v>
      </c>
      <c r="H44" s="27">
        <f>+'SWF-164.054'!$F$7</f>
        <v>1300000</v>
      </c>
      <c r="I44" s="27">
        <f>+'SWF-164.054'!$F$8</f>
        <v>1334000</v>
      </c>
      <c r="J44" s="27"/>
      <c r="K44" s="26">
        <f>+'SWF-164.054'!$G$9</f>
        <v>2.6153846153846153E-2</v>
      </c>
      <c r="L44" s="11" t="str">
        <f>+'SWF-164.054'!$F$11</f>
        <v>GOOD</v>
      </c>
      <c r="M44" s="15">
        <f>+'SWF-164.054'!$H$12</f>
        <v>6</v>
      </c>
      <c r="N44" s="35" t="s">
        <v>93</v>
      </c>
      <c r="O44" s="15">
        <v>2</v>
      </c>
      <c r="P44" s="35" t="s">
        <v>458</v>
      </c>
      <c r="Q44" s="15"/>
      <c r="R44" s="24"/>
      <c r="S44" s="62" t="str">
        <f>+'SWF-164.054'!$J$4</f>
        <v>Lucita Mendoza</v>
      </c>
      <c r="T44" s="15"/>
      <c r="U44" s="15"/>
      <c r="V44" s="54">
        <f t="shared" si="6"/>
        <v>1300000</v>
      </c>
      <c r="W44" s="54">
        <f t="shared" si="6"/>
        <v>1334000</v>
      </c>
      <c r="X44" s="54">
        <f t="shared" si="7"/>
        <v>-34000</v>
      </c>
    </row>
    <row r="45" spans="3:28" ht="7.5" customHeight="1" x14ac:dyDescent="0.25">
      <c r="C45" s="39"/>
      <c r="G45" s="45"/>
      <c r="P45" s="11"/>
      <c r="S45" s="15"/>
      <c r="V45" s="54"/>
      <c r="W45" s="54"/>
      <c r="X45" s="54"/>
    </row>
    <row r="46" spans="3:28" x14ac:dyDescent="0.25">
      <c r="C46" s="39">
        <v>2016</v>
      </c>
      <c r="D46" s="15" t="str">
        <f>+'MFP-924.638'!$F$4</f>
        <v>MFP-924.638</v>
      </c>
      <c r="E46" s="24" t="str">
        <f>+'MFP-924.638'!$F$5</f>
        <v>NJ Marine Terminals - Dredging via Work Order</v>
      </c>
      <c r="F46" s="25">
        <f>+'MFP-924.638'!$F$6</f>
        <v>42450</v>
      </c>
      <c r="G46" s="46" t="str">
        <f>+'MFP-924.638'!$G$7</f>
        <v>PQL</v>
      </c>
      <c r="H46" s="27">
        <f>+'MFP-924.638'!$F$7</f>
        <v>13100000</v>
      </c>
      <c r="I46" s="27">
        <f>+'MFP-924.638'!$F$8</f>
        <v>14145813</v>
      </c>
      <c r="J46" s="27"/>
      <c r="K46" s="26">
        <f>+'MFP-924.638'!$G$9</f>
        <v>7.9833053435114501E-2</v>
      </c>
      <c r="L46" s="11" t="str">
        <f>+'MFP-924.638'!$F$11</f>
        <v>GOOD</v>
      </c>
      <c r="M46" s="15">
        <f>+'MFP-924.638'!$H$12</f>
        <v>5</v>
      </c>
      <c r="N46" s="35" t="s">
        <v>25</v>
      </c>
      <c r="O46" s="15">
        <v>1</v>
      </c>
      <c r="P46" s="35" t="s">
        <v>492</v>
      </c>
      <c r="Q46" s="15"/>
      <c r="R46" s="24"/>
      <c r="S46" s="15" t="str">
        <f>+'MFP-924.638'!$J$4</f>
        <v>Wen Chang</v>
      </c>
      <c r="T46" s="15"/>
      <c r="U46" s="15"/>
      <c r="V46" s="54">
        <f>+H46</f>
        <v>13100000</v>
      </c>
      <c r="W46" s="54">
        <f>+I46</f>
        <v>14145813</v>
      </c>
      <c r="X46" s="54">
        <f>+V46-W46</f>
        <v>-1045813</v>
      </c>
      <c r="Z46" s="4">
        <f>SUM(V46:V56)</f>
        <v>142801000</v>
      </c>
      <c r="AA46" s="4">
        <f>SUM(W46:W56)</f>
        <v>116652275</v>
      </c>
      <c r="AB46" s="7">
        <f>+Z46/AA46</f>
        <v>1.2241595802567931</v>
      </c>
    </row>
    <row r="47" spans="3:28" x14ac:dyDescent="0.25">
      <c r="C47" s="39">
        <v>2016</v>
      </c>
      <c r="D47" s="15" t="str">
        <f>+'EWR-154.197'!$F$4</f>
        <v>EWR-154.197</v>
      </c>
      <c r="E47" s="24" t="str">
        <f>+'EWR-154.197'!$F$5</f>
        <v>Newark - Infrastructure Renewal, Electrical</v>
      </c>
      <c r="F47" s="25">
        <f>+'EWR-154.197'!$F$6</f>
        <v>42438</v>
      </c>
      <c r="G47" s="46" t="str">
        <f>+'EWR-154.197'!$G$7</f>
        <v>Public</v>
      </c>
      <c r="H47" s="27">
        <f>+'EWR-154.197'!$F$7</f>
        <v>25210000</v>
      </c>
      <c r="I47" s="27">
        <f>+'EWR-154.197'!$F$8</f>
        <v>17827873</v>
      </c>
      <c r="J47" s="27"/>
      <c r="K47" s="26">
        <f>+'EWR-154.197'!$G$9</f>
        <v>-0.29282534708449026</v>
      </c>
      <c r="L47" s="11" t="str">
        <f>+'EWR-154.197'!$F$11</f>
        <v>FAIL</v>
      </c>
      <c r="M47" s="15">
        <f>+'EWR-154.197'!$H$12</f>
        <v>13</v>
      </c>
      <c r="N47" s="35" t="s">
        <v>25</v>
      </c>
      <c r="O47" s="15">
        <v>1</v>
      </c>
      <c r="P47" s="35" t="s">
        <v>458</v>
      </c>
      <c r="Q47" s="15"/>
      <c r="R47" s="24"/>
      <c r="S47" s="15" t="str">
        <f>+'EWR-154.197'!$J$4</f>
        <v>Nathan Demaisip</v>
      </c>
      <c r="T47" s="15"/>
      <c r="U47" s="15"/>
      <c r="V47" s="54">
        <f t="shared" ref="V47:W56" si="8">+H47</f>
        <v>25210000</v>
      </c>
      <c r="W47" s="54">
        <f t="shared" si="8"/>
        <v>17827873</v>
      </c>
      <c r="X47" s="54">
        <f t="shared" ref="X47:X56" si="9">+V47-W47</f>
        <v>7382127</v>
      </c>
    </row>
    <row r="48" spans="3:28" x14ac:dyDescent="0.25">
      <c r="C48" s="39">
        <v>2016</v>
      </c>
      <c r="D48" s="15" t="str">
        <f>+'LGA-774.133B'!$F$4</f>
        <v>LGA-774.133B</v>
      </c>
      <c r="E48" s="24" t="str">
        <f>+'LGA-774.133B'!$F$5</f>
        <v>LGA - Emergency Storm Drainage Outfalls</v>
      </c>
      <c r="F48" s="25">
        <f>+'LGA-774.133B'!$F$6</f>
        <v>42418</v>
      </c>
      <c r="G48" s="46" t="str">
        <f>+'LGA-774.133B'!$G$7</f>
        <v>Public</v>
      </c>
      <c r="H48" s="27">
        <f>+'LGA-774.133B'!$F$7</f>
        <v>3250000</v>
      </c>
      <c r="I48" s="27">
        <f>+'LGA-774.133B'!$F$8</f>
        <v>2849549</v>
      </c>
      <c r="J48" s="27"/>
      <c r="K48" s="26">
        <f>+'LGA-774.133B'!$G$9</f>
        <v>-0.1232156923076923</v>
      </c>
      <c r="L48" s="11" t="str">
        <f>+'GWB-244.150'!$F$11</f>
        <v>GOOD</v>
      </c>
      <c r="M48" s="15">
        <f>+'LGA-774.133B'!$H$12</f>
        <v>12</v>
      </c>
      <c r="N48" s="35" t="s">
        <v>93</v>
      </c>
      <c r="O48" s="15">
        <v>1</v>
      </c>
      <c r="P48" s="35" t="s">
        <v>458</v>
      </c>
      <c r="Q48" s="15"/>
      <c r="R48" s="24"/>
      <c r="S48" s="15" t="str">
        <f>+'LGA-774.133B'!$J$4</f>
        <v>Lucita Mendoza</v>
      </c>
      <c r="T48" s="15"/>
      <c r="U48" s="15"/>
      <c r="V48" s="54">
        <f t="shared" si="8"/>
        <v>3250000</v>
      </c>
      <c r="W48" s="54">
        <f t="shared" si="8"/>
        <v>2849549</v>
      </c>
      <c r="X48" s="54">
        <f t="shared" si="9"/>
        <v>400451</v>
      </c>
    </row>
    <row r="49" spans="3:24" x14ac:dyDescent="0.25">
      <c r="C49" s="39">
        <v>2016</v>
      </c>
      <c r="D49" s="15" t="str">
        <f>+'GWB-244.150'!$F$4</f>
        <v>GWB-244.150</v>
      </c>
      <c r="E49" s="24" t="str">
        <f>+'GWB-244.150'!$F$5</f>
        <v>GWB - Replacement of PIP Helix, et. al.</v>
      </c>
      <c r="F49" s="25">
        <f>+'GWB-244.150'!$F$6</f>
        <v>42411</v>
      </c>
      <c r="G49" s="46" t="str">
        <f>+'GWB-244.150'!$G$7</f>
        <v>Public</v>
      </c>
      <c r="H49" s="27">
        <f>+'GWB-244.150'!$F$7</f>
        <v>69865000</v>
      </c>
      <c r="I49" s="27">
        <f>+'GWB-244.150'!$F$8</f>
        <v>57000000</v>
      </c>
      <c r="J49" s="27"/>
      <c r="K49" s="26">
        <f>+'GWB-244.150'!$G$9</f>
        <v>-0.18414084305446218</v>
      </c>
      <c r="L49" s="11" t="str">
        <f>+'GWB-244.150'!$F$11</f>
        <v>GOOD</v>
      </c>
      <c r="M49" s="15">
        <f>+'GWB-244.150'!$H$12</f>
        <v>11</v>
      </c>
      <c r="N49" s="35" t="s">
        <v>25</v>
      </c>
      <c r="O49" s="15">
        <v>1</v>
      </c>
      <c r="P49" s="35" t="s">
        <v>457</v>
      </c>
      <c r="Q49" s="15"/>
      <c r="R49" s="24"/>
      <c r="S49" s="15" t="str">
        <f>+'GWB-244.150'!$J$4</f>
        <v>Reddy Gunda and Henry Yu</v>
      </c>
      <c r="T49" s="15"/>
      <c r="U49" s="15"/>
      <c r="V49" s="54">
        <f t="shared" si="8"/>
        <v>69865000</v>
      </c>
      <c r="W49" s="54">
        <f t="shared" si="8"/>
        <v>57000000</v>
      </c>
      <c r="X49" s="54">
        <f t="shared" si="9"/>
        <v>12865000</v>
      </c>
    </row>
    <row r="50" spans="3:24" x14ac:dyDescent="0.25">
      <c r="C50" s="39">
        <v>2016</v>
      </c>
      <c r="D50" s="15" t="str">
        <f>+'LGA-124.240'!$F$4</f>
        <v>LGA-124.240</v>
      </c>
      <c r="E50" s="24" t="str">
        <f>+'LGA-124.240'!$F$5</f>
        <v>LGA - Rehab Taxiway B between G and CY</v>
      </c>
      <c r="F50" s="25">
        <f>+'LGA-124.240'!$F$6</f>
        <v>42404</v>
      </c>
      <c r="G50" s="46" t="str">
        <f>+'LGA-124.240'!$G$7</f>
        <v>Public</v>
      </c>
      <c r="H50" s="27">
        <f>+'LGA-124.240'!$F$7</f>
        <v>4072000</v>
      </c>
      <c r="I50" s="27">
        <f>+'LGA-124.240'!$F$8</f>
        <v>2733000</v>
      </c>
      <c r="J50" s="27"/>
      <c r="K50" s="26">
        <f>+'LGA-124.240'!$G$9</f>
        <v>-0.3288310412573674</v>
      </c>
      <c r="L50" s="11" t="str">
        <f>+'LGA-124.240'!$F$11</f>
        <v>FAIL</v>
      </c>
      <c r="M50" s="15">
        <f>+'LGA-124.240'!$H$12</f>
        <v>3</v>
      </c>
      <c r="N50" s="35" t="s">
        <v>93</v>
      </c>
      <c r="O50" s="15">
        <v>1</v>
      </c>
      <c r="P50" s="35" t="s">
        <v>458</v>
      </c>
      <c r="Q50" s="15"/>
      <c r="R50" s="24"/>
      <c r="S50" s="15" t="str">
        <f>+'LGA-124.240'!$J$4</f>
        <v>Lucita Mendoza</v>
      </c>
      <c r="T50" s="15"/>
      <c r="U50" s="15"/>
      <c r="V50" s="54">
        <f t="shared" si="8"/>
        <v>4072000</v>
      </c>
      <c r="W50" s="54">
        <f t="shared" si="8"/>
        <v>2733000</v>
      </c>
      <c r="X50" s="54">
        <f t="shared" si="9"/>
        <v>1339000</v>
      </c>
    </row>
    <row r="51" spans="3:24" x14ac:dyDescent="0.25">
      <c r="C51" s="39">
        <v>2016</v>
      </c>
      <c r="D51" s="15" t="str">
        <f>+'LGA-103.014'!$F$4</f>
        <v>LGA-103.014</v>
      </c>
      <c r="E51" s="24" t="str">
        <f>+'LGA-103.014'!$F$5</f>
        <v>LGA - Pump Houses 2 and 3 Rehabilitation</v>
      </c>
      <c r="F51" s="25">
        <f>+'LGA-103.014'!$F$6</f>
        <v>42394</v>
      </c>
      <c r="G51" s="46" t="str">
        <f>+'LGA-103.014'!$G$7</f>
        <v>Public</v>
      </c>
      <c r="H51" s="27">
        <f>+'LGA-103.014'!$F$7</f>
        <v>2530000</v>
      </c>
      <c r="I51" s="27">
        <f>+'LGA-103.014'!$F$8</f>
        <v>1836000</v>
      </c>
      <c r="J51" s="27"/>
      <c r="K51" s="26">
        <f>+'LGA-103.014'!$G$9</f>
        <v>-0.27430830039525694</v>
      </c>
      <c r="L51" s="11" t="str">
        <f>+'LGA-103.014'!$F$11</f>
        <v>GOOD</v>
      </c>
      <c r="M51" s="15">
        <f>+'LGA-103.014'!$H$12</f>
        <v>7</v>
      </c>
      <c r="N51" s="35" t="s">
        <v>93</v>
      </c>
      <c r="O51" s="15">
        <v>1</v>
      </c>
      <c r="P51" s="35" t="s">
        <v>458</v>
      </c>
      <c r="Q51" s="15"/>
      <c r="R51" s="24"/>
      <c r="S51" s="15" t="str">
        <f>+'LGA-103.014'!$J$4</f>
        <v>Lucita Mendoza</v>
      </c>
      <c r="T51" s="15"/>
      <c r="U51" s="15"/>
      <c r="V51" s="54">
        <f t="shared" si="8"/>
        <v>2530000</v>
      </c>
      <c r="W51" s="54">
        <f t="shared" si="8"/>
        <v>1836000</v>
      </c>
      <c r="X51" s="54">
        <f t="shared" si="9"/>
        <v>694000</v>
      </c>
    </row>
    <row r="52" spans="3:24" x14ac:dyDescent="0.25">
      <c r="C52" s="39">
        <v>2016</v>
      </c>
      <c r="D52" s="15" t="str">
        <f>+'PAT-774.154'!$F$4</f>
        <v>PAT-774.154</v>
      </c>
      <c r="E52" s="24" t="str">
        <f>+'PAT-774.154'!$F$5</f>
        <v>PATH - Hoboken Station Under-Platform Fan Replacement</v>
      </c>
      <c r="F52" s="25">
        <f>+'PAT-774.154'!$F$6</f>
        <v>42391</v>
      </c>
      <c r="G52" s="46" t="str">
        <f>+'PAT-774.154'!$G$7</f>
        <v>Public</v>
      </c>
      <c r="H52" s="27">
        <f>+'PAT-774.154'!$F$7</f>
        <v>4574000</v>
      </c>
      <c r="I52" s="27">
        <f>+'PAT-774.154'!$F$8</f>
        <v>3774000</v>
      </c>
      <c r="J52" s="27">
        <v>3774000</v>
      </c>
      <c r="K52" s="26">
        <f>+'PAT-774.154'!$G$9</f>
        <v>-0.17490161783996502</v>
      </c>
      <c r="L52" s="11" t="str">
        <f>+'PAT-774.154'!$F$11</f>
        <v>GOOD</v>
      </c>
      <c r="M52" s="15">
        <f>+'PAT-774.154'!$H$12</f>
        <v>4</v>
      </c>
      <c r="N52" s="35" t="s">
        <v>25</v>
      </c>
      <c r="O52" s="15">
        <v>1</v>
      </c>
      <c r="P52" s="35" t="s">
        <v>459</v>
      </c>
      <c r="Q52" s="15"/>
      <c r="R52" s="24"/>
      <c r="S52" s="15" t="str">
        <f>+'PAT-774.154'!$J$4</f>
        <v>Nathan Demaisip</v>
      </c>
      <c r="T52" s="15"/>
      <c r="U52" s="15"/>
      <c r="V52" s="54">
        <f t="shared" si="8"/>
        <v>4574000</v>
      </c>
      <c r="W52" s="54">
        <f t="shared" si="8"/>
        <v>3774000</v>
      </c>
      <c r="X52" s="54">
        <f t="shared" si="9"/>
        <v>800000</v>
      </c>
    </row>
    <row r="53" spans="3:24" x14ac:dyDescent="0.25">
      <c r="C53" s="39">
        <v>2016</v>
      </c>
      <c r="D53" s="15" t="str">
        <f>+'PN-654.544'!$F$4</f>
        <v>PN-654.544</v>
      </c>
      <c r="E53" s="24" t="str">
        <f>+'PN-654.544'!$F$5</f>
        <v>Port Newark - Install Intelligent Transport Devices and Traffic Signals</v>
      </c>
      <c r="F53" s="25">
        <f>+'PN-654.544'!$F$6</f>
        <v>42389</v>
      </c>
      <c r="G53" s="46" t="str">
        <f>+'PN-654.544'!$G$7</f>
        <v>Public</v>
      </c>
      <c r="H53" s="27">
        <f>+'PN-654.544'!$F$7</f>
        <v>10000000</v>
      </c>
      <c r="I53" s="27">
        <f>+'PN-654.544'!$F$8</f>
        <v>6499990</v>
      </c>
      <c r="J53" s="27"/>
      <c r="K53" s="26">
        <f>+'PN-654.544'!$G$9</f>
        <v>-0.35000100000000001</v>
      </c>
      <c r="L53" s="11" t="str">
        <f>+'PN-654.544'!$F$11</f>
        <v>FAIL</v>
      </c>
      <c r="M53" s="15">
        <f>+'PN-654.544'!$H$12</f>
        <v>6</v>
      </c>
      <c r="N53" s="35" t="s">
        <v>25</v>
      </c>
      <c r="O53" s="15">
        <v>1</v>
      </c>
      <c r="P53" s="35" t="s">
        <v>492</v>
      </c>
      <c r="Q53" s="15"/>
      <c r="R53" s="24"/>
      <c r="S53" s="15" t="str">
        <f>+'PN-654.544'!$J$4</f>
        <v>Wen Chang</v>
      </c>
      <c r="T53" s="15"/>
      <c r="U53" s="15"/>
      <c r="V53" s="54">
        <f t="shared" si="8"/>
        <v>10000000</v>
      </c>
      <c r="W53" s="54">
        <f t="shared" si="8"/>
        <v>6499990</v>
      </c>
      <c r="X53" s="54">
        <f t="shared" si="9"/>
        <v>3500010</v>
      </c>
    </row>
    <row r="54" spans="3:24" x14ac:dyDescent="0.25">
      <c r="C54" s="39">
        <v>2016</v>
      </c>
      <c r="D54" s="15" t="str">
        <f>+'WTC-222.004'!$F$4</f>
        <v>WTC-222.004</v>
      </c>
      <c r="E54" s="24" t="str">
        <f>+'WTC-222.004'!$F$5</f>
        <v>WTC - Tower One Public Safety Radio Room</v>
      </c>
      <c r="F54" s="25">
        <f>+'WTC-222.004'!$F$6</f>
        <v>42388</v>
      </c>
      <c r="G54" s="46" t="str">
        <f>+'WTC-222.004'!$G$7</f>
        <v>PQL</v>
      </c>
      <c r="H54" s="27">
        <f>+'WTC-222.004'!$F$7</f>
        <v>9000000</v>
      </c>
      <c r="I54" s="27">
        <f>+'WTC-222.004'!$F$8</f>
        <v>8936000</v>
      </c>
      <c r="J54" s="27"/>
      <c r="K54" s="26">
        <f>+'WTC-222.004'!$G$9</f>
        <v>-7.1111111111111115E-3</v>
      </c>
      <c r="L54" s="11" t="str">
        <f>+'WTC-222.004'!$F$11</f>
        <v>GOOD</v>
      </c>
      <c r="M54" s="15">
        <f>+'WTC-222.004'!$H$12</f>
        <v>3</v>
      </c>
      <c r="N54" s="35" t="s">
        <v>93</v>
      </c>
      <c r="O54" s="15">
        <v>1</v>
      </c>
      <c r="P54" s="35" t="s">
        <v>455</v>
      </c>
      <c r="Q54" s="15"/>
      <c r="R54" s="24"/>
      <c r="S54" s="15" t="str">
        <f>+'WTC-222.004'!$J$4</f>
        <v>Nathan Demaisip</v>
      </c>
      <c r="T54" s="15"/>
      <c r="U54" s="15"/>
      <c r="V54" s="54">
        <f t="shared" si="8"/>
        <v>9000000</v>
      </c>
      <c r="W54" s="54">
        <f t="shared" si="8"/>
        <v>8936000</v>
      </c>
      <c r="X54" s="54">
        <f t="shared" si="9"/>
        <v>64000</v>
      </c>
    </row>
    <row r="55" spans="3:24" x14ac:dyDescent="0.25">
      <c r="C55" s="39">
        <v>2016</v>
      </c>
      <c r="D55" s="15" t="str">
        <f>+'PN-654.041'!$F$4</f>
        <v>PN-654.041</v>
      </c>
      <c r="E55" s="24" t="str">
        <f>+'PN-654.041'!$F$5</f>
        <v>Port Newark - Davit Street Extension</v>
      </c>
      <c r="F55" s="25">
        <f>+'PN-654.041'!$F$6</f>
        <v>42383</v>
      </c>
      <c r="G55" s="46" t="str">
        <f>+'PN-654.041'!$G$7</f>
        <v>M/WBE</v>
      </c>
      <c r="H55" s="27">
        <f>+'PN-654.041'!$F$7</f>
        <v>1200000</v>
      </c>
      <c r="I55" s="27">
        <f>+'PN-654.041'!$F$8</f>
        <v>1050050</v>
      </c>
      <c r="J55" s="27"/>
      <c r="K55" s="26">
        <f>+'PN-654.041'!$G$9</f>
        <v>-0.12495833333333334</v>
      </c>
      <c r="L55" s="11" t="str">
        <f>+'PN-654.041'!$F$11</f>
        <v>GOOD</v>
      </c>
      <c r="M55" s="15">
        <f>+'PN-654.041'!$H$12</f>
        <v>6</v>
      </c>
      <c r="N55" s="35" t="s">
        <v>25</v>
      </c>
      <c r="O55" s="15">
        <v>1</v>
      </c>
      <c r="P55" s="35" t="s">
        <v>492</v>
      </c>
      <c r="Q55" s="15"/>
      <c r="R55" s="24"/>
      <c r="S55" s="15" t="str">
        <f>+'PN-654.041'!$J$4</f>
        <v>Wen Chang</v>
      </c>
      <c r="T55" s="15"/>
      <c r="U55" s="15"/>
      <c r="V55" s="54">
        <f t="shared" si="8"/>
        <v>1200000</v>
      </c>
      <c r="W55" s="54">
        <f t="shared" si="8"/>
        <v>1050050</v>
      </c>
      <c r="X55" s="54">
        <f t="shared" si="9"/>
        <v>149950</v>
      </c>
    </row>
    <row r="56" spans="3:24" x14ac:dyDescent="0.25">
      <c r="C56" s="39">
        <v>2016</v>
      </c>
      <c r="D56" s="15" t="str">
        <f>+'WTC-222.004 Void'!$F$4</f>
        <v>WTC-222.004</v>
      </c>
      <c r="E56" s="24" t="str">
        <f>+'WTC-222.004 Void'!$F$5</f>
        <v>WTC - Tower One Public Safety Radio Room</v>
      </c>
      <c r="F56" s="25">
        <f>+'WTC-222.004 Void'!$F$6</f>
        <v>42374</v>
      </c>
      <c r="G56" s="46" t="str">
        <f>+'WTC-222.004 Void'!$G$7</f>
        <v>PQL</v>
      </c>
      <c r="H56" s="27"/>
      <c r="I56" s="27"/>
      <c r="J56" s="27"/>
      <c r="K56" s="26"/>
      <c r="L56" s="11"/>
      <c r="M56" s="15">
        <f>+'WTC-222.004 Void'!$H$12</f>
        <v>3</v>
      </c>
      <c r="N56" s="35" t="s">
        <v>93</v>
      </c>
      <c r="O56" s="15">
        <v>1</v>
      </c>
      <c r="P56" s="35" t="s">
        <v>455</v>
      </c>
      <c r="Q56" s="15"/>
      <c r="R56" s="24" t="s">
        <v>472</v>
      </c>
      <c r="S56" s="15" t="str">
        <f>+'WTC-222.004 Void'!$J$4</f>
        <v>Nathan Demaisip</v>
      </c>
      <c r="T56" s="15"/>
      <c r="U56" s="15"/>
      <c r="V56" s="54">
        <f t="shared" si="8"/>
        <v>0</v>
      </c>
      <c r="W56" s="54">
        <f t="shared" si="8"/>
        <v>0</v>
      </c>
      <c r="X56" s="54">
        <f t="shared" si="9"/>
        <v>0</v>
      </c>
    </row>
    <row r="57" spans="3:24" ht="7.5" customHeight="1" x14ac:dyDescent="0.25">
      <c r="C57" s="39"/>
      <c r="G57" s="45"/>
      <c r="P57" s="11"/>
      <c r="S57" s="15"/>
      <c r="V57" s="54"/>
      <c r="W57" s="54"/>
      <c r="X57" s="54"/>
    </row>
    <row r="58" spans="3:24" x14ac:dyDescent="0.25">
      <c r="C58" s="39"/>
      <c r="D58" s="15"/>
      <c r="E58" s="24"/>
      <c r="F58" s="25"/>
      <c r="G58" s="46"/>
      <c r="H58" s="27"/>
      <c r="I58" s="27"/>
      <c r="J58" s="27"/>
      <c r="K58" s="26"/>
      <c r="L58" s="11"/>
      <c r="M58" s="15"/>
      <c r="P58" s="11"/>
      <c r="V58" s="54"/>
      <c r="W58" s="54"/>
      <c r="X58" s="54"/>
    </row>
    <row r="59" spans="3:24" x14ac:dyDescent="0.25">
      <c r="C59" s="39"/>
      <c r="D59" s="15"/>
      <c r="E59" s="24"/>
      <c r="F59" s="25"/>
      <c r="G59" s="46"/>
      <c r="H59" s="27"/>
      <c r="I59" s="27"/>
      <c r="J59" s="27"/>
      <c r="K59" s="26"/>
      <c r="L59" s="11"/>
      <c r="M59" s="15"/>
      <c r="P59" s="11"/>
      <c r="V59" s="54"/>
      <c r="W59" s="54"/>
      <c r="X59" s="54"/>
    </row>
    <row r="60" spans="3:24" x14ac:dyDescent="0.25">
      <c r="C60" s="39"/>
      <c r="G60" s="46"/>
      <c r="H60" s="68">
        <v>7</v>
      </c>
      <c r="I60" t="s">
        <v>791</v>
      </c>
      <c r="L60">
        <f>COUNTA(L6:L58)</f>
        <v>43</v>
      </c>
      <c r="P60" s="11"/>
      <c r="V60" s="54"/>
      <c r="W60" s="54"/>
      <c r="X60" s="54"/>
    </row>
    <row r="61" spans="3:24" x14ac:dyDescent="0.25">
      <c r="C61" s="39"/>
      <c r="G61" s="45"/>
      <c r="H61" s="69">
        <v>3</v>
      </c>
      <c r="I61" t="s">
        <v>789</v>
      </c>
      <c r="L61">
        <v>16</v>
      </c>
      <c r="M61" t="s">
        <v>789</v>
      </c>
      <c r="N61" s="76" t="s">
        <v>819</v>
      </c>
      <c r="P61" s="11"/>
      <c r="V61" s="54"/>
      <c r="W61" s="54"/>
      <c r="X61" s="54"/>
    </row>
    <row r="62" spans="3:24" x14ac:dyDescent="0.25">
      <c r="C62" s="39"/>
      <c r="G62" s="45"/>
      <c r="H62" s="69">
        <v>4</v>
      </c>
      <c r="I62" t="s">
        <v>790</v>
      </c>
      <c r="L62">
        <f>+L60-L61</f>
        <v>27</v>
      </c>
      <c r="M62" t="s">
        <v>790</v>
      </c>
      <c r="P62" s="11"/>
      <c r="V62" s="54"/>
      <c r="W62" s="54"/>
      <c r="X62" s="54"/>
    </row>
    <row r="63" spans="3:24" x14ac:dyDescent="0.25">
      <c r="C63" s="39"/>
      <c r="G63" s="45"/>
      <c r="H63" s="67">
        <f>+H62/H60</f>
        <v>0.5714285714285714</v>
      </c>
      <c r="L63">
        <f>+L62/L60</f>
        <v>0.62790697674418605</v>
      </c>
      <c r="P63" s="11"/>
    </row>
    <row r="64" spans="3:24" x14ac:dyDescent="0.25">
      <c r="C64" s="39"/>
      <c r="G64" s="45"/>
      <c r="P64" s="11"/>
    </row>
    <row r="65" spans="3:16" x14ac:dyDescent="0.25">
      <c r="C65" s="39"/>
      <c r="G65" s="45"/>
      <c r="H65">
        <f>SUM(H6:H57)</f>
        <v>417321000</v>
      </c>
      <c r="I65">
        <f>SUM(I6:I57)</f>
        <v>348829688</v>
      </c>
      <c r="J65">
        <f>+I65/H65</f>
        <v>0.83587858746624299</v>
      </c>
      <c r="L65" s="4">
        <f>COUNTA(L6:L58)-H60</f>
        <v>36</v>
      </c>
      <c r="P65" s="11"/>
    </row>
    <row r="66" spans="3:16" x14ac:dyDescent="0.25">
      <c r="C66" s="39"/>
      <c r="G66" s="45"/>
      <c r="L66">
        <f>+L61-H61</f>
        <v>13</v>
      </c>
      <c r="M66" t="s">
        <v>789</v>
      </c>
      <c r="P66" s="11"/>
    </row>
    <row r="67" spans="3:16" x14ac:dyDescent="0.25">
      <c r="C67" s="39"/>
      <c r="G67" s="45"/>
      <c r="L67">
        <f>+L62-H62</f>
        <v>23</v>
      </c>
      <c r="M67" t="s">
        <v>790</v>
      </c>
      <c r="P67" s="11"/>
    </row>
    <row r="68" spans="3:16" x14ac:dyDescent="0.25">
      <c r="C68" s="39"/>
      <c r="G68" s="45"/>
      <c r="L68">
        <f>+L67/L65</f>
        <v>0.63888888888888884</v>
      </c>
      <c r="P68" s="11"/>
    </row>
    <row r="69" spans="3:16" x14ac:dyDescent="0.25">
      <c r="C69" s="39"/>
      <c r="G69" s="45"/>
      <c r="P69" s="11"/>
    </row>
    <row r="70" spans="3:16" x14ac:dyDescent="0.25">
      <c r="C70" s="39"/>
      <c r="G70" s="45"/>
      <c r="P70" s="11"/>
    </row>
    <row r="71" spans="3:16" x14ac:dyDescent="0.25">
      <c r="C71" s="39"/>
      <c r="E71" s="73"/>
      <c r="F71" s="70" t="str">
        <f>"'15 final"</f>
        <v>'15 final</v>
      </c>
      <c r="G71" s="70" t="str">
        <f>"'16 final"</f>
        <v>'16 final</v>
      </c>
      <c r="P71" s="11"/>
    </row>
    <row r="72" spans="3:16" x14ac:dyDescent="0.25">
      <c r="C72" s="39"/>
      <c r="E72" s="71" t="s">
        <v>800</v>
      </c>
      <c r="F72" s="11">
        <v>36</v>
      </c>
      <c r="G72" s="11">
        <f>+L60</f>
        <v>43</v>
      </c>
      <c r="P72" s="11"/>
    </row>
    <row r="73" spans="3:16" x14ac:dyDescent="0.25">
      <c r="C73" s="39"/>
      <c r="E73" s="72" t="s">
        <v>801</v>
      </c>
      <c r="F73" s="11">
        <f>+F72-F74</f>
        <v>24</v>
      </c>
      <c r="G73" s="11">
        <f>+G72-G74</f>
        <v>36</v>
      </c>
      <c r="P73" s="11"/>
    </row>
    <row r="74" spans="3:16" x14ac:dyDescent="0.25">
      <c r="C74" s="39"/>
      <c r="E74" s="72" t="s">
        <v>802</v>
      </c>
      <c r="F74" s="11">
        <v>12</v>
      </c>
      <c r="G74" s="11">
        <v>7</v>
      </c>
      <c r="P74" s="11"/>
    </row>
    <row r="75" spans="3:16" x14ac:dyDescent="0.25">
      <c r="C75" s="39"/>
      <c r="E75" s="72"/>
      <c r="F75" s="11"/>
      <c r="G75" s="11"/>
      <c r="P75" s="11"/>
    </row>
    <row r="76" spans="3:16" x14ac:dyDescent="0.25">
      <c r="C76" s="39"/>
      <c r="E76" s="72" t="s">
        <v>808</v>
      </c>
      <c r="F76" s="78">
        <v>170</v>
      </c>
      <c r="G76" s="78">
        <f>SUM(I6:I57)/1000000</f>
        <v>348.82968799999998</v>
      </c>
      <c r="P76" s="11"/>
    </row>
    <row r="77" spans="3:16" x14ac:dyDescent="0.25">
      <c r="C77" s="39"/>
      <c r="E77" s="72" t="s">
        <v>806</v>
      </c>
      <c r="F77" s="75">
        <f>231/F72</f>
        <v>6.416666666666667</v>
      </c>
      <c r="G77" s="75">
        <f>(SUM(M6:M57)-M27-M37-M56)/G72</f>
        <v>5.8837209302325579</v>
      </c>
      <c r="P77" s="11"/>
    </row>
    <row r="78" spans="3:16" x14ac:dyDescent="0.25">
      <c r="C78" s="39"/>
      <c r="E78" s="72" t="s">
        <v>807</v>
      </c>
      <c r="F78" s="74">
        <v>1.024</v>
      </c>
      <c r="G78" s="74">
        <f>SUM(I6:I57)/SUM(H6:H57)</f>
        <v>0.83587858746624299</v>
      </c>
      <c r="P78" s="11"/>
    </row>
    <row r="79" spans="3:16" x14ac:dyDescent="0.25">
      <c r="C79" s="39"/>
      <c r="E79" s="72"/>
      <c r="F79" s="11"/>
      <c r="G79" s="11"/>
      <c r="P79" s="11"/>
    </row>
    <row r="80" spans="3:16" x14ac:dyDescent="0.25">
      <c r="C80" s="39"/>
      <c r="E80" s="72" t="s">
        <v>803</v>
      </c>
      <c r="F80" s="74">
        <v>0.55500000000000005</v>
      </c>
      <c r="G80" s="74">
        <f>+L63</f>
        <v>0.62790697674418605</v>
      </c>
      <c r="P80" s="11"/>
    </row>
    <row r="81" spans="3:24" x14ac:dyDescent="0.25">
      <c r="C81" s="39"/>
      <c r="E81" s="72" t="s">
        <v>804</v>
      </c>
      <c r="F81" s="74">
        <v>0.5</v>
      </c>
      <c r="G81" s="74">
        <f>+L68</f>
        <v>0.63888888888888884</v>
      </c>
      <c r="P81" s="11"/>
    </row>
    <row r="82" spans="3:24" x14ac:dyDescent="0.25">
      <c r="C82" s="39"/>
      <c r="E82" s="72" t="s">
        <v>805</v>
      </c>
      <c r="F82" s="74">
        <v>0.66700000000000004</v>
      </c>
      <c r="G82" s="74">
        <f>+H63</f>
        <v>0.5714285714285714</v>
      </c>
      <c r="P82" s="11"/>
    </row>
    <row r="83" spans="3:24" x14ac:dyDescent="0.25">
      <c r="C83" s="39"/>
      <c r="E83" s="72"/>
      <c r="F83" s="11"/>
      <c r="G83" s="11"/>
      <c r="P83" s="11"/>
    </row>
    <row r="84" spans="3:24" x14ac:dyDescent="0.25">
      <c r="C84" s="39"/>
      <c r="E84" s="72"/>
      <c r="F84" s="11"/>
      <c r="G84" s="11"/>
    </row>
    <row r="85" spans="3:24" x14ac:dyDescent="0.25">
      <c r="C85" s="79"/>
      <c r="D85" s="80"/>
      <c r="E85" s="81"/>
      <c r="F85" s="82"/>
      <c r="G85" s="82"/>
      <c r="H85" s="80"/>
      <c r="I85" s="80"/>
      <c r="J85" s="80"/>
      <c r="K85" s="80"/>
      <c r="L85" s="80"/>
      <c r="M85" s="80"/>
      <c r="N85" s="82"/>
      <c r="O85" s="80"/>
      <c r="P85" s="80"/>
      <c r="Q85" s="80"/>
      <c r="R85" s="80"/>
      <c r="S85" s="80"/>
    </row>
    <row r="86" spans="3:24" x14ac:dyDescent="0.25">
      <c r="C86" s="39"/>
      <c r="E86" s="36"/>
      <c r="G86" s="45"/>
    </row>
    <row r="87" spans="3:24" x14ac:dyDescent="0.25">
      <c r="C87" s="39"/>
      <c r="G87" s="45"/>
    </row>
    <row r="88" spans="3:24" x14ac:dyDescent="0.25">
      <c r="C88" s="39"/>
      <c r="D88" s="31" t="s">
        <v>837</v>
      </c>
      <c r="G88" s="45"/>
    </row>
    <row r="89" spans="3:24" x14ac:dyDescent="0.25">
      <c r="C89" s="39">
        <v>2016</v>
      </c>
      <c r="D89" s="62" t="s">
        <v>821</v>
      </c>
      <c r="E89" s="63" t="s">
        <v>822</v>
      </c>
      <c r="F89" s="64">
        <v>42725</v>
      </c>
      <c r="G89" s="65" t="s">
        <v>693</v>
      </c>
      <c r="H89" s="27">
        <v>600000</v>
      </c>
      <c r="I89" s="27">
        <v>421111</v>
      </c>
      <c r="J89" s="27"/>
      <c r="K89" s="26">
        <v>-0.29814833333333335</v>
      </c>
      <c r="L89" s="11" t="s">
        <v>464</v>
      </c>
      <c r="M89" s="15">
        <v>8</v>
      </c>
      <c r="N89" s="35" t="s">
        <v>25</v>
      </c>
      <c r="O89" s="15">
        <v>4</v>
      </c>
      <c r="P89" s="35" t="s">
        <v>458</v>
      </c>
      <c r="Q89" s="15"/>
      <c r="R89" s="24"/>
      <c r="S89" s="62" t="s">
        <v>616</v>
      </c>
      <c r="T89" s="15"/>
      <c r="U89" s="15">
        <v>1</v>
      </c>
      <c r="V89" s="54"/>
      <c r="W89" s="54"/>
      <c r="X89" s="54"/>
    </row>
    <row r="90" spans="3:24" x14ac:dyDescent="0.25">
      <c r="C90" s="39">
        <v>2016</v>
      </c>
      <c r="D90" s="62" t="s">
        <v>817</v>
      </c>
      <c r="E90" s="63" t="s">
        <v>818</v>
      </c>
      <c r="F90" s="64">
        <v>42719</v>
      </c>
      <c r="G90" s="65" t="s">
        <v>756</v>
      </c>
      <c r="H90" s="27">
        <v>2212000</v>
      </c>
      <c r="I90" s="27">
        <v>3028000</v>
      </c>
      <c r="J90" s="27"/>
      <c r="K90" s="26">
        <v>0.36889692585895117</v>
      </c>
      <c r="L90" s="11" t="s">
        <v>465</v>
      </c>
      <c r="M90" s="15">
        <v>1</v>
      </c>
      <c r="N90" s="35" t="s">
        <v>25</v>
      </c>
      <c r="O90" s="15">
        <v>4</v>
      </c>
      <c r="P90" s="35" t="s">
        <v>459</v>
      </c>
      <c r="Q90" s="15"/>
      <c r="R90" s="24" t="s">
        <v>782</v>
      </c>
      <c r="S90" s="62" t="s">
        <v>447</v>
      </c>
      <c r="T90" s="15"/>
      <c r="U90" s="15">
        <v>0</v>
      </c>
      <c r="V90" s="54"/>
      <c r="W90" s="54"/>
      <c r="X90" s="54"/>
    </row>
    <row r="91" spans="3:24" x14ac:dyDescent="0.25">
      <c r="C91" s="39">
        <v>2016</v>
      </c>
      <c r="D91" s="62" t="s">
        <v>812</v>
      </c>
      <c r="E91" s="63" t="s">
        <v>813</v>
      </c>
      <c r="F91" s="64">
        <v>42719</v>
      </c>
      <c r="G91" s="65" t="s">
        <v>693</v>
      </c>
      <c r="H91" s="27">
        <v>1460000</v>
      </c>
      <c r="I91" s="27">
        <v>1457020</v>
      </c>
      <c r="J91" s="27"/>
      <c r="K91" s="26">
        <v>-2.0410958904109591E-3</v>
      </c>
      <c r="L91" s="11" t="s">
        <v>464</v>
      </c>
      <c r="M91" s="15">
        <v>7</v>
      </c>
      <c r="N91" s="35" t="s">
        <v>25</v>
      </c>
      <c r="O91" s="15">
        <v>4</v>
      </c>
      <c r="P91" s="35" t="s">
        <v>492</v>
      </c>
      <c r="Q91" s="15"/>
      <c r="R91" s="24"/>
      <c r="S91" s="62" t="s">
        <v>816</v>
      </c>
      <c r="T91" s="15"/>
      <c r="U91" s="15">
        <v>1</v>
      </c>
      <c r="V91" s="54"/>
      <c r="W91" s="54"/>
      <c r="X91" s="54"/>
    </row>
    <row r="92" spans="3:24" x14ac:dyDescent="0.25">
      <c r="C92" s="39">
        <v>2016</v>
      </c>
      <c r="D92" s="62" t="s">
        <v>809</v>
      </c>
      <c r="E92" s="63" t="s">
        <v>810</v>
      </c>
      <c r="F92" s="64">
        <v>42718</v>
      </c>
      <c r="G92" s="65" t="s">
        <v>34</v>
      </c>
      <c r="H92" s="27">
        <v>61900000</v>
      </c>
      <c r="I92" s="27">
        <v>47681062</v>
      </c>
      <c r="J92" s="27"/>
      <c r="K92" s="26">
        <v>-0.22970820678513731</v>
      </c>
      <c r="L92" s="11" t="s">
        <v>464</v>
      </c>
      <c r="M92" s="15">
        <v>7</v>
      </c>
      <c r="N92" s="35" t="s">
        <v>25</v>
      </c>
      <c r="O92" s="15">
        <v>4</v>
      </c>
      <c r="P92" s="35" t="s">
        <v>492</v>
      </c>
      <c r="Q92" s="15"/>
      <c r="R92" s="24"/>
      <c r="S92" s="62" t="s">
        <v>442</v>
      </c>
      <c r="T92" s="15"/>
      <c r="U92" s="15">
        <v>1</v>
      </c>
      <c r="V92" s="54"/>
      <c r="W92" s="54"/>
      <c r="X92" s="54"/>
    </row>
    <row r="93" spans="3:24" x14ac:dyDescent="0.25">
      <c r="C93" s="39">
        <v>2016</v>
      </c>
      <c r="D93" s="62" t="s">
        <v>770</v>
      </c>
      <c r="E93" s="63" t="s">
        <v>771</v>
      </c>
      <c r="F93" s="64">
        <v>42681</v>
      </c>
      <c r="G93" s="65" t="s">
        <v>190</v>
      </c>
      <c r="H93" s="27">
        <v>850000</v>
      </c>
      <c r="I93" s="27">
        <v>651800</v>
      </c>
      <c r="J93" s="27"/>
      <c r="K93" s="26">
        <v>-0.23317647058823529</v>
      </c>
      <c r="L93" s="11" t="s">
        <v>464</v>
      </c>
      <c r="M93" s="15">
        <v>9</v>
      </c>
      <c r="N93" s="35" t="s">
        <v>25</v>
      </c>
      <c r="O93" s="15">
        <v>4</v>
      </c>
      <c r="P93" s="35" t="s">
        <v>457</v>
      </c>
      <c r="Q93" s="15"/>
      <c r="R93" s="24"/>
      <c r="S93" s="62" t="s">
        <v>630</v>
      </c>
      <c r="T93" s="15"/>
      <c r="U93" s="15">
        <v>1</v>
      </c>
      <c r="V93" s="54"/>
      <c r="W93" s="54"/>
      <c r="X93" s="54"/>
    </row>
    <row r="94" spans="3:24" x14ac:dyDescent="0.25">
      <c r="C94" s="39">
        <v>2016</v>
      </c>
      <c r="D94" s="62" t="s">
        <v>767</v>
      </c>
      <c r="E94" s="63" t="s">
        <v>768</v>
      </c>
      <c r="F94" s="64">
        <v>42668</v>
      </c>
      <c r="G94" s="65" t="s">
        <v>34</v>
      </c>
      <c r="H94" s="27">
        <v>67636000</v>
      </c>
      <c r="I94" s="27">
        <v>49942700</v>
      </c>
      <c r="J94" s="27"/>
      <c r="K94" s="26">
        <v>-0.26159589567685848</v>
      </c>
      <c r="L94" s="11" t="s">
        <v>465</v>
      </c>
      <c r="M94" s="15">
        <v>7</v>
      </c>
      <c r="N94" s="35" t="s">
        <v>25</v>
      </c>
      <c r="O94" s="15">
        <v>4</v>
      </c>
      <c r="P94" s="35" t="s">
        <v>457</v>
      </c>
      <c r="Q94" s="15"/>
      <c r="R94" s="24"/>
      <c r="S94" s="62" t="s">
        <v>630</v>
      </c>
      <c r="T94" s="15"/>
      <c r="U94" s="15">
        <v>0</v>
      </c>
      <c r="V94" s="54"/>
      <c r="W94" s="54"/>
      <c r="X94" s="54"/>
    </row>
    <row r="95" spans="3:24" x14ac:dyDescent="0.25">
      <c r="C95" s="39">
        <v>2016</v>
      </c>
      <c r="D95" s="62" t="s">
        <v>746</v>
      </c>
      <c r="E95" s="63" t="s">
        <v>747</v>
      </c>
      <c r="F95" s="64">
        <v>42648</v>
      </c>
      <c r="G95" s="65" t="s">
        <v>34</v>
      </c>
      <c r="H95" s="27">
        <v>3120000</v>
      </c>
      <c r="I95" s="27">
        <v>2147100</v>
      </c>
      <c r="J95" s="27"/>
      <c r="K95" s="26">
        <v>-0.31182692307692306</v>
      </c>
      <c r="L95" s="11" t="s">
        <v>464</v>
      </c>
      <c r="M95" s="15">
        <v>7</v>
      </c>
      <c r="N95" s="35" t="s">
        <v>25</v>
      </c>
      <c r="O95" s="15">
        <v>4</v>
      </c>
      <c r="P95" s="35" t="s">
        <v>492</v>
      </c>
      <c r="Q95" s="15"/>
      <c r="R95" s="24"/>
      <c r="S95" s="62" t="s">
        <v>752</v>
      </c>
      <c r="T95" s="15"/>
      <c r="U95" s="15">
        <v>1</v>
      </c>
      <c r="V95" s="54"/>
      <c r="W95" s="54"/>
      <c r="X95" s="54"/>
    </row>
    <row r="96" spans="3:24" x14ac:dyDescent="0.25">
      <c r="C96" s="39">
        <v>2016</v>
      </c>
      <c r="D96" s="62" t="s">
        <v>731</v>
      </c>
      <c r="E96" s="63" t="s">
        <v>732</v>
      </c>
      <c r="F96" s="64">
        <v>42612</v>
      </c>
      <c r="G96" s="65" t="s">
        <v>34</v>
      </c>
      <c r="H96" s="27">
        <v>2000000</v>
      </c>
      <c r="I96" s="27">
        <v>1460000</v>
      </c>
      <c r="J96" s="27"/>
      <c r="K96" s="26">
        <v>-0.27</v>
      </c>
      <c r="L96" s="11" t="s">
        <v>464</v>
      </c>
      <c r="M96" s="15">
        <v>10</v>
      </c>
      <c r="N96" s="35" t="s">
        <v>25</v>
      </c>
      <c r="O96" s="15">
        <v>3</v>
      </c>
      <c r="P96" s="35" t="s">
        <v>492</v>
      </c>
      <c r="Q96" s="15"/>
      <c r="R96" s="24"/>
      <c r="S96" s="62" t="s">
        <v>442</v>
      </c>
      <c r="T96" s="15"/>
      <c r="U96" s="15">
        <v>1</v>
      </c>
      <c r="V96" s="54"/>
      <c r="W96" s="54"/>
      <c r="X96" s="54"/>
    </row>
    <row r="97" spans="3:28" x14ac:dyDescent="0.25">
      <c r="C97" s="39">
        <v>2016</v>
      </c>
      <c r="D97" s="62" t="s">
        <v>727</v>
      </c>
      <c r="E97" s="63" t="s">
        <v>728</v>
      </c>
      <c r="F97" s="64">
        <v>42606</v>
      </c>
      <c r="G97" s="65" t="s">
        <v>693</v>
      </c>
      <c r="H97" s="27">
        <v>230000</v>
      </c>
      <c r="I97" s="27">
        <v>274450</v>
      </c>
      <c r="J97" s="27"/>
      <c r="K97" s="26">
        <v>0.1932608695652174</v>
      </c>
      <c r="L97" s="11" t="s">
        <v>465</v>
      </c>
      <c r="M97" s="15">
        <v>3</v>
      </c>
      <c r="N97" s="35" t="s">
        <v>25</v>
      </c>
      <c r="O97" s="15">
        <v>3</v>
      </c>
      <c r="P97" s="35" t="s">
        <v>458</v>
      </c>
      <c r="Q97" s="15"/>
      <c r="R97" s="24"/>
      <c r="S97" s="62" t="s">
        <v>616</v>
      </c>
      <c r="T97" s="15"/>
      <c r="U97" s="15">
        <v>0</v>
      </c>
      <c r="V97" s="54"/>
      <c r="W97" s="54"/>
      <c r="X97" s="54"/>
    </row>
    <row r="98" spans="3:28" x14ac:dyDescent="0.25">
      <c r="C98" s="39">
        <v>2016</v>
      </c>
      <c r="D98" s="62" t="s">
        <v>719</v>
      </c>
      <c r="E98" s="63" t="s">
        <v>720</v>
      </c>
      <c r="F98" s="64">
        <v>42601</v>
      </c>
      <c r="G98" s="65" t="s">
        <v>34</v>
      </c>
      <c r="H98" s="27">
        <v>6120000</v>
      </c>
      <c r="I98" s="27">
        <v>4674300</v>
      </c>
      <c r="J98" s="27">
        <v>4753054</v>
      </c>
      <c r="K98" s="26">
        <v>-0.23622549019607844</v>
      </c>
      <c r="L98" s="11" t="s">
        <v>464</v>
      </c>
      <c r="M98" s="15">
        <v>6</v>
      </c>
      <c r="N98" s="35" t="s">
        <v>25</v>
      </c>
      <c r="O98" s="15">
        <v>3</v>
      </c>
      <c r="P98" s="35" t="s">
        <v>459</v>
      </c>
      <c r="Q98" s="15"/>
      <c r="R98" s="24" t="s">
        <v>726</v>
      </c>
      <c r="S98" s="62" t="s">
        <v>447</v>
      </c>
      <c r="T98" s="15"/>
      <c r="U98" s="15">
        <v>1</v>
      </c>
      <c r="V98" s="54"/>
      <c r="W98" s="54"/>
      <c r="X98" s="54"/>
    </row>
    <row r="99" spans="3:28" x14ac:dyDescent="0.25">
      <c r="C99" s="39">
        <v>2016</v>
      </c>
      <c r="D99" s="62" t="s">
        <v>705</v>
      </c>
      <c r="E99" s="63" t="s">
        <v>706</v>
      </c>
      <c r="F99" s="64">
        <v>42586</v>
      </c>
      <c r="G99" s="65" t="s">
        <v>693</v>
      </c>
      <c r="H99" s="27">
        <v>800000</v>
      </c>
      <c r="I99" s="27">
        <v>485250</v>
      </c>
      <c r="J99" s="27"/>
      <c r="K99" s="26">
        <v>-0.3934375</v>
      </c>
      <c r="L99" s="11" t="s">
        <v>464</v>
      </c>
      <c r="M99" s="15">
        <v>4</v>
      </c>
      <c r="N99" s="35" t="s">
        <v>25</v>
      </c>
      <c r="O99" s="15">
        <v>3</v>
      </c>
      <c r="P99" s="35" t="s">
        <v>457</v>
      </c>
      <c r="Q99" s="15"/>
      <c r="R99" s="24"/>
      <c r="S99" s="62" t="s">
        <v>630</v>
      </c>
      <c r="T99" s="15"/>
      <c r="U99" s="15">
        <v>1</v>
      </c>
      <c r="V99" s="54"/>
      <c r="W99" s="54"/>
      <c r="X99" s="54"/>
    </row>
    <row r="100" spans="3:28" x14ac:dyDescent="0.25">
      <c r="C100" s="39">
        <v>2016</v>
      </c>
      <c r="D100" s="62" t="s">
        <v>682</v>
      </c>
      <c r="E100" s="63" t="s">
        <v>688</v>
      </c>
      <c r="F100" s="64">
        <v>42523</v>
      </c>
      <c r="G100" s="65" t="s">
        <v>689</v>
      </c>
      <c r="H100" s="27">
        <v>2253000</v>
      </c>
      <c r="I100" s="27">
        <v>2665637</v>
      </c>
      <c r="J100" s="27"/>
      <c r="K100" s="26">
        <v>0.18315002219263204</v>
      </c>
      <c r="L100" s="11" t="s">
        <v>465</v>
      </c>
      <c r="M100" s="15">
        <v>4</v>
      </c>
      <c r="N100" s="35" t="s">
        <v>25</v>
      </c>
      <c r="O100" s="15">
        <v>2</v>
      </c>
      <c r="P100" s="35" t="s">
        <v>492</v>
      </c>
      <c r="Q100" s="15"/>
      <c r="R100" s="24"/>
      <c r="S100" s="62" t="s">
        <v>634</v>
      </c>
      <c r="T100" s="15"/>
      <c r="U100" s="15">
        <v>0</v>
      </c>
      <c r="V100" s="54"/>
      <c r="W100" s="54"/>
      <c r="X100" s="54"/>
    </row>
    <row r="101" spans="3:28" x14ac:dyDescent="0.25">
      <c r="C101" s="39">
        <v>2016</v>
      </c>
      <c r="D101" s="62" t="s">
        <v>648</v>
      </c>
      <c r="E101" s="63" t="s">
        <v>649</v>
      </c>
      <c r="F101" s="64">
        <v>42500</v>
      </c>
      <c r="G101" s="65" t="s">
        <v>34</v>
      </c>
      <c r="H101" s="27">
        <v>4000000</v>
      </c>
      <c r="I101" s="27">
        <v>3838287</v>
      </c>
      <c r="J101" s="27"/>
      <c r="K101" s="26">
        <v>-4.0428249999999999E-2</v>
      </c>
      <c r="L101" s="11" t="s">
        <v>464</v>
      </c>
      <c r="M101" s="15">
        <v>11</v>
      </c>
      <c r="N101" s="35" t="s">
        <v>25</v>
      </c>
      <c r="O101" s="15">
        <v>2</v>
      </c>
      <c r="P101" s="35" t="s">
        <v>492</v>
      </c>
      <c r="Q101" s="15"/>
      <c r="R101" s="24"/>
      <c r="S101" s="62" t="s">
        <v>442</v>
      </c>
      <c r="T101" s="15"/>
      <c r="U101" s="15">
        <v>1</v>
      </c>
      <c r="V101" s="54"/>
      <c r="W101" s="54"/>
      <c r="X101" s="54"/>
    </row>
    <row r="102" spans="3:28" x14ac:dyDescent="0.25">
      <c r="C102" s="39">
        <v>2016</v>
      </c>
      <c r="D102" s="62" t="s">
        <v>635</v>
      </c>
      <c r="E102" s="63" t="s">
        <v>636</v>
      </c>
      <c r="F102" s="64">
        <v>42496</v>
      </c>
      <c r="G102" s="65" t="s">
        <v>34</v>
      </c>
      <c r="H102" s="27">
        <v>2000000</v>
      </c>
      <c r="I102" s="27">
        <v>2059960</v>
      </c>
      <c r="J102" s="27">
        <v>2059960</v>
      </c>
      <c r="K102" s="26">
        <v>2.998E-2</v>
      </c>
      <c r="L102" s="11" t="s">
        <v>464</v>
      </c>
      <c r="M102" s="15">
        <v>2</v>
      </c>
      <c r="N102" s="35" t="s">
        <v>25</v>
      </c>
      <c r="O102" s="15">
        <v>2</v>
      </c>
      <c r="P102" s="35" t="s">
        <v>457</v>
      </c>
      <c r="Q102" s="15"/>
      <c r="R102" s="24"/>
      <c r="S102" s="62" t="s">
        <v>630</v>
      </c>
      <c r="T102" s="15"/>
      <c r="U102" s="15">
        <v>1</v>
      </c>
      <c r="V102" s="54"/>
      <c r="W102" s="54"/>
      <c r="X102" s="54"/>
    </row>
    <row r="103" spans="3:28" x14ac:dyDescent="0.25">
      <c r="C103" s="39">
        <v>2016</v>
      </c>
      <c r="D103" s="62" t="s">
        <v>629</v>
      </c>
      <c r="E103" s="63" t="s">
        <v>633</v>
      </c>
      <c r="F103" s="64">
        <v>42488</v>
      </c>
      <c r="G103" s="65" t="s">
        <v>190</v>
      </c>
      <c r="H103" s="27">
        <v>1700000</v>
      </c>
      <c r="I103" s="27">
        <v>815000</v>
      </c>
      <c r="J103" s="27">
        <v>815000</v>
      </c>
      <c r="K103" s="26">
        <v>-0.52058823529411768</v>
      </c>
      <c r="L103" s="11" t="s">
        <v>465</v>
      </c>
      <c r="M103" s="15">
        <v>7</v>
      </c>
      <c r="N103" s="35" t="s">
        <v>25</v>
      </c>
      <c r="O103" s="15">
        <v>2</v>
      </c>
      <c r="P103" s="35" t="s">
        <v>457</v>
      </c>
      <c r="Q103" s="15"/>
      <c r="R103" s="24" t="s">
        <v>662</v>
      </c>
      <c r="S103" s="62" t="s">
        <v>630</v>
      </c>
      <c r="T103" s="15"/>
      <c r="U103" s="15">
        <v>0</v>
      </c>
      <c r="V103" s="54"/>
      <c r="W103" s="54"/>
      <c r="X103" s="54"/>
    </row>
    <row r="104" spans="3:28" x14ac:dyDescent="0.25">
      <c r="C104" s="39">
        <v>2016</v>
      </c>
      <c r="D104" s="62" t="s">
        <v>614</v>
      </c>
      <c r="E104" s="63" t="s">
        <v>615</v>
      </c>
      <c r="F104" s="64">
        <v>42479</v>
      </c>
      <c r="G104" s="65" t="s">
        <v>34</v>
      </c>
      <c r="H104" s="27">
        <v>670000</v>
      </c>
      <c r="I104" s="27">
        <v>897950</v>
      </c>
      <c r="J104" s="27"/>
      <c r="K104" s="26">
        <v>0.34022388059701492</v>
      </c>
      <c r="L104" s="11" t="s">
        <v>465</v>
      </c>
      <c r="M104" s="15">
        <v>5</v>
      </c>
      <c r="N104" s="35" t="s">
        <v>25</v>
      </c>
      <c r="O104" s="15">
        <v>2</v>
      </c>
      <c r="P104" s="35" t="s">
        <v>458</v>
      </c>
      <c r="Q104" s="15"/>
      <c r="R104" s="24"/>
      <c r="S104" s="62" t="s">
        <v>616</v>
      </c>
      <c r="T104" s="15"/>
      <c r="U104" s="15">
        <v>0</v>
      </c>
      <c r="V104" s="54"/>
      <c r="W104" s="54"/>
      <c r="X104" s="54"/>
    </row>
    <row r="105" spans="3:28" x14ac:dyDescent="0.25">
      <c r="C105" s="39">
        <v>2016</v>
      </c>
      <c r="D105" s="62" t="s">
        <v>609</v>
      </c>
      <c r="E105" s="63" t="s">
        <v>443</v>
      </c>
      <c r="F105" s="64">
        <v>42474</v>
      </c>
      <c r="G105" s="65" t="s">
        <v>34</v>
      </c>
      <c r="H105" s="27">
        <v>700000</v>
      </c>
      <c r="I105" s="27">
        <v>442247</v>
      </c>
      <c r="J105" s="27"/>
      <c r="K105" s="26">
        <v>-0.36821857142857145</v>
      </c>
      <c r="L105" s="11" t="s">
        <v>464</v>
      </c>
      <c r="M105" s="15">
        <v>6</v>
      </c>
      <c r="N105" s="35" t="s">
        <v>25</v>
      </c>
      <c r="O105" s="15">
        <v>2</v>
      </c>
      <c r="P105" s="35" t="s">
        <v>492</v>
      </c>
      <c r="Q105" s="15"/>
      <c r="R105" s="24"/>
      <c r="S105" s="62" t="s">
        <v>442</v>
      </c>
      <c r="T105" s="15"/>
      <c r="U105" s="15">
        <v>1</v>
      </c>
      <c r="V105" s="54"/>
      <c r="W105" s="54"/>
      <c r="X105" s="54"/>
    </row>
    <row r="106" spans="3:28" x14ac:dyDescent="0.25">
      <c r="C106" s="39">
        <v>2016</v>
      </c>
      <c r="D106" s="62" t="s">
        <v>599</v>
      </c>
      <c r="E106" s="63" t="s">
        <v>600</v>
      </c>
      <c r="F106" s="64">
        <v>42473</v>
      </c>
      <c r="G106" s="65" t="s">
        <v>34</v>
      </c>
      <c r="H106" s="27">
        <v>1900000</v>
      </c>
      <c r="I106" s="27">
        <v>1348800</v>
      </c>
      <c r="J106" s="27">
        <v>1348800</v>
      </c>
      <c r="K106" s="26">
        <v>-0.29010526315789475</v>
      </c>
      <c r="L106" s="11" t="s">
        <v>464</v>
      </c>
      <c r="M106" s="15">
        <v>11</v>
      </c>
      <c r="N106" s="35" t="s">
        <v>25</v>
      </c>
      <c r="O106" s="15">
        <v>2</v>
      </c>
      <c r="P106" s="35" t="s">
        <v>459</v>
      </c>
      <c r="Q106" s="15"/>
      <c r="R106" s="24" t="s">
        <v>608</v>
      </c>
      <c r="S106" s="62" t="s">
        <v>447</v>
      </c>
      <c r="T106" s="15"/>
      <c r="U106" s="15">
        <v>1</v>
      </c>
      <c r="V106" s="54"/>
      <c r="W106" s="54"/>
      <c r="X106" s="54"/>
    </row>
    <row r="107" spans="3:28" x14ac:dyDescent="0.25">
      <c r="C107" s="39">
        <v>2016</v>
      </c>
      <c r="D107" s="15" t="s">
        <v>565</v>
      </c>
      <c r="E107" s="24" t="s">
        <v>566</v>
      </c>
      <c r="F107" s="25">
        <v>42450</v>
      </c>
      <c r="G107" s="46" t="s">
        <v>190</v>
      </c>
      <c r="H107" s="27">
        <v>13100000</v>
      </c>
      <c r="I107" s="27">
        <v>14145813</v>
      </c>
      <c r="J107" s="27"/>
      <c r="K107" s="26">
        <v>7.9833053435114501E-2</v>
      </c>
      <c r="L107" s="11" t="s">
        <v>464</v>
      </c>
      <c r="M107" s="15">
        <v>5</v>
      </c>
      <c r="N107" s="35" t="s">
        <v>25</v>
      </c>
      <c r="O107" s="15">
        <v>1</v>
      </c>
      <c r="P107" s="35" t="s">
        <v>492</v>
      </c>
      <c r="Q107" s="15"/>
      <c r="R107" s="24"/>
      <c r="S107" s="15" t="s">
        <v>442</v>
      </c>
      <c r="T107" s="15"/>
      <c r="U107" s="15">
        <v>1</v>
      </c>
      <c r="V107" s="54"/>
      <c r="W107" s="54"/>
      <c r="X107" s="54"/>
      <c r="Z107" s="4"/>
      <c r="AA107" s="4">
        <v>116652275</v>
      </c>
      <c r="AB107" s="7">
        <v>1.2241595802567931</v>
      </c>
    </row>
    <row r="108" spans="3:28" x14ac:dyDescent="0.25">
      <c r="C108" s="39">
        <v>2016</v>
      </c>
      <c r="D108" s="15" t="s">
        <v>552</v>
      </c>
      <c r="E108" s="24" t="s">
        <v>553</v>
      </c>
      <c r="F108" s="25">
        <v>42438</v>
      </c>
      <c r="G108" s="46" t="s">
        <v>34</v>
      </c>
      <c r="H108" s="27">
        <v>25210000</v>
      </c>
      <c r="I108" s="27">
        <v>17827873</v>
      </c>
      <c r="J108" s="27"/>
      <c r="K108" s="26">
        <v>-0.29282534708449026</v>
      </c>
      <c r="L108" s="11" t="s">
        <v>465</v>
      </c>
      <c r="M108" s="15">
        <v>13</v>
      </c>
      <c r="N108" s="35" t="s">
        <v>25</v>
      </c>
      <c r="O108" s="15">
        <v>1</v>
      </c>
      <c r="P108" s="35" t="s">
        <v>458</v>
      </c>
      <c r="Q108" s="15"/>
      <c r="R108" s="24"/>
      <c r="S108" s="15" t="s">
        <v>447</v>
      </c>
      <c r="T108" s="15"/>
      <c r="U108" s="15">
        <v>0</v>
      </c>
      <c r="V108" s="54"/>
      <c r="W108" s="54"/>
      <c r="X108" s="54"/>
    </row>
    <row r="109" spans="3:28" x14ac:dyDescent="0.25">
      <c r="C109" s="39">
        <v>2016</v>
      </c>
      <c r="D109" s="15" t="s">
        <v>503</v>
      </c>
      <c r="E109" s="24" t="s">
        <v>518</v>
      </c>
      <c r="F109" s="25">
        <v>42411</v>
      </c>
      <c r="G109" s="46" t="s">
        <v>34</v>
      </c>
      <c r="H109" s="27">
        <v>69865000</v>
      </c>
      <c r="I109" s="27">
        <v>57000000</v>
      </c>
      <c r="J109" s="27"/>
      <c r="K109" s="26">
        <v>-0.18414084305446218</v>
      </c>
      <c r="L109" s="11" t="s">
        <v>464</v>
      </c>
      <c r="M109" s="15">
        <v>11</v>
      </c>
      <c r="N109" s="35" t="s">
        <v>25</v>
      </c>
      <c r="O109" s="15">
        <v>1</v>
      </c>
      <c r="P109" s="35" t="s">
        <v>457</v>
      </c>
      <c r="Q109" s="15"/>
      <c r="R109" s="24"/>
      <c r="S109" s="15" t="s">
        <v>840</v>
      </c>
      <c r="T109" s="15"/>
      <c r="U109" s="15">
        <v>1</v>
      </c>
      <c r="V109" s="54"/>
      <c r="W109" s="54"/>
      <c r="X109" s="54"/>
    </row>
    <row r="110" spans="3:28" x14ac:dyDescent="0.25">
      <c r="C110" s="39">
        <v>2016</v>
      </c>
      <c r="D110" s="15" t="s">
        <v>543</v>
      </c>
      <c r="E110" s="24" t="s">
        <v>544</v>
      </c>
      <c r="F110" s="25">
        <v>42391</v>
      </c>
      <c r="G110" s="46" t="s">
        <v>34</v>
      </c>
      <c r="H110" s="27">
        <v>4574000</v>
      </c>
      <c r="I110" s="27">
        <v>3774000</v>
      </c>
      <c r="J110" s="27">
        <v>3774000</v>
      </c>
      <c r="K110" s="26">
        <v>-0.17490161783996502</v>
      </c>
      <c r="L110" s="11" t="s">
        <v>464</v>
      </c>
      <c r="M110" s="15">
        <v>4</v>
      </c>
      <c r="N110" s="35" t="s">
        <v>25</v>
      </c>
      <c r="O110" s="15">
        <v>1</v>
      </c>
      <c r="P110" s="35" t="s">
        <v>459</v>
      </c>
      <c r="Q110" s="15"/>
      <c r="R110" s="24"/>
      <c r="S110" s="15" t="s">
        <v>447</v>
      </c>
      <c r="T110" s="15"/>
      <c r="U110" s="15">
        <v>1</v>
      </c>
      <c r="V110" s="54"/>
      <c r="W110" s="54"/>
      <c r="X110" s="54"/>
    </row>
    <row r="111" spans="3:28" x14ac:dyDescent="0.25">
      <c r="C111" s="39">
        <v>2016</v>
      </c>
      <c r="D111" s="15" t="s">
        <v>481</v>
      </c>
      <c r="E111" s="24" t="s">
        <v>482</v>
      </c>
      <c r="F111" s="25">
        <v>42389</v>
      </c>
      <c r="G111" s="46" t="s">
        <v>34</v>
      </c>
      <c r="H111" s="27">
        <v>10000000</v>
      </c>
      <c r="I111" s="27">
        <v>6499990</v>
      </c>
      <c r="J111" s="27"/>
      <c r="K111" s="26">
        <v>-0.35000100000000001</v>
      </c>
      <c r="L111" s="11" t="s">
        <v>465</v>
      </c>
      <c r="M111" s="15">
        <v>6</v>
      </c>
      <c r="N111" s="35" t="s">
        <v>25</v>
      </c>
      <c r="O111" s="15">
        <v>1</v>
      </c>
      <c r="P111" s="35" t="s">
        <v>492</v>
      </c>
      <c r="Q111" s="15"/>
      <c r="R111" s="24"/>
      <c r="S111" s="15" t="s">
        <v>442</v>
      </c>
      <c r="T111" s="15"/>
      <c r="U111" s="15">
        <v>0</v>
      </c>
      <c r="V111" s="54"/>
      <c r="W111" s="54"/>
      <c r="X111" s="54"/>
    </row>
    <row r="112" spans="3:28" x14ac:dyDescent="0.25">
      <c r="C112" s="39">
        <v>2016</v>
      </c>
      <c r="D112" s="15" t="s">
        <v>467</v>
      </c>
      <c r="E112" s="24" t="s">
        <v>468</v>
      </c>
      <c r="F112" s="25">
        <v>42383</v>
      </c>
      <c r="G112" s="46" t="s">
        <v>177</v>
      </c>
      <c r="H112" s="27">
        <v>1200000</v>
      </c>
      <c r="I112" s="27">
        <v>1050050</v>
      </c>
      <c r="J112" s="27"/>
      <c r="K112" s="26">
        <v>-0.12495833333333334</v>
      </c>
      <c r="L112" s="11" t="s">
        <v>464</v>
      </c>
      <c r="M112" s="15">
        <v>6</v>
      </c>
      <c r="N112" s="35" t="s">
        <v>25</v>
      </c>
      <c r="O112" s="15">
        <v>1</v>
      </c>
      <c r="P112" s="35" t="s">
        <v>492</v>
      </c>
      <c r="Q112" s="15"/>
      <c r="R112" s="24"/>
      <c r="S112" s="15" t="s">
        <v>442</v>
      </c>
      <c r="T112" s="15"/>
      <c r="U112" s="15">
        <v>1</v>
      </c>
      <c r="V112" s="54"/>
      <c r="W112" s="54"/>
      <c r="X112" s="54"/>
    </row>
    <row r="113" spans="3:24" x14ac:dyDescent="0.25">
      <c r="C113" s="39"/>
      <c r="E113" s="85"/>
      <c r="F113" s="85"/>
      <c r="G113" s="85"/>
      <c r="H113" s="86">
        <f>SUM(H89:H112)</f>
        <v>284100000</v>
      </c>
      <c r="I113" s="86">
        <f>SUM(I89:I112)</f>
        <v>224588400</v>
      </c>
      <c r="J113" s="85"/>
      <c r="K113" s="87">
        <f>+I113/H113</f>
        <v>0.79052587117212247</v>
      </c>
      <c r="L113" s="85">
        <f>COUNTA(L88:L112)</f>
        <v>24</v>
      </c>
      <c r="M113" s="88">
        <f>SUM(M89:M112)/L113</f>
        <v>6.666666666666667</v>
      </c>
      <c r="N113" s="89">
        <v>0.67</v>
      </c>
      <c r="O113" s="85"/>
      <c r="P113" s="85"/>
      <c r="Q113" s="85"/>
    </row>
    <row r="114" spans="3:24" x14ac:dyDescent="0.25">
      <c r="C114" s="39"/>
      <c r="G114" s="45"/>
    </row>
    <row r="115" spans="3:24" x14ac:dyDescent="0.25">
      <c r="C115" s="39"/>
      <c r="D115" s="83" t="s">
        <v>838</v>
      </c>
      <c r="G115" s="45"/>
    </row>
    <row r="116" spans="3:24" x14ac:dyDescent="0.25">
      <c r="C116" s="39">
        <v>2016</v>
      </c>
      <c r="D116" s="62" t="s">
        <v>796</v>
      </c>
      <c r="E116" s="63" t="s">
        <v>797</v>
      </c>
      <c r="F116" s="64">
        <v>42712</v>
      </c>
      <c r="G116" s="65" t="s">
        <v>34</v>
      </c>
      <c r="H116" s="27">
        <v>2170000</v>
      </c>
      <c r="I116" s="27">
        <v>1903225</v>
      </c>
      <c r="J116" s="27"/>
      <c r="K116" s="26">
        <v>-0.12293778801843318</v>
      </c>
      <c r="L116" s="11" t="s">
        <v>464</v>
      </c>
      <c r="M116" s="15">
        <v>5</v>
      </c>
      <c r="N116" s="35" t="s">
        <v>93</v>
      </c>
      <c r="O116" s="15">
        <v>4</v>
      </c>
      <c r="P116" s="35" t="s">
        <v>458</v>
      </c>
      <c r="Q116" s="15"/>
      <c r="R116" s="24"/>
      <c r="S116" s="62" t="s">
        <v>616</v>
      </c>
      <c r="T116" s="15"/>
      <c r="U116" s="15">
        <v>1</v>
      </c>
      <c r="V116" s="54"/>
      <c r="W116" s="54"/>
      <c r="X116" s="54"/>
    </row>
    <row r="117" spans="3:24" x14ac:dyDescent="0.25">
      <c r="C117" s="39">
        <v>2016</v>
      </c>
      <c r="D117" s="62" t="s">
        <v>783</v>
      </c>
      <c r="E117" s="63" t="s">
        <v>785</v>
      </c>
      <c r="F117" s="64">
        <v>42703</v>
      </c>
      <c r="G117" s="65" t="s">
        <v>34</v>
      </c>
      <c r="H117" s="27">
        <v>1763000</v>
      </c>
      <c r="I117" s="27">
        <v>2233850</v>
      </c>
      <c r="J117" s="27"/>
      <c r="K117" s="26">
        <v>0.26707317073170733</v>
      </c>
      <c r="L117" s="11" t="s">
        <v>465</v>
      </c>
      <c r="M117" s="15">
        <v>2</v>
      </c>
      <c r="N117" s="35" t="s">
        <v>93</v>
      </c>
      <c r="O117" s="15">
        <v>4</v>
      </c>
      <c r="P117" s="35" t="s">
        <v>458</v>
      </c>
      <c r="Q117" s="15"/>
      <c r="R117" s="24"/>
      <c r="S117" s="62" t="s">
        <v>784</v>
      </c>
      <c r="T117" s="15"/>
      <c r="U117" s="15">
        <v>0</v>
      </c>
      <c r="V117" s="54"/>
      <c r="W117" s="54"/>
      <c r="X117" s="54"/>
    </row>
    <row r="118" spans="3:24" x14ac:dyDescent="0.25">
      <c r="C118" s="39">
        <v>2016</v>
      </c>
      <c r="D118" s="62" t="s">
        <v>758</v>
      </c>
      <c r="E118" s="63" t="s">
        <v>759</v>
      </c>
      <c r="F118" s="64">
        <v>42667</v>
      </c>
      <c r="G118" s="65" t="s">
        <v>34</v>
      </c>
      <c r="H118" s="27">
        <v>2400000</v>
      </c>
      <c r="I118" s="27">
        <v>3617000</v>
      </c>
      <c r="J118" s="27"/>
      <c r="K118" s="26">
        <v>0.50708333333333333</v>
      </c>
      <c r="L118" s="11" t="s">
        <v>465</v>
      </c>
      <c r="M118" s="15">
        <v>2</v>
      </c>
      <c r="N118" s="35" t="s">
        <v>93</v>
      </c>
      <c r="O118" s="15">
        <v>4</v>
      </c>
      <c r="P118" s="35" t="s">
        <v>459</v>
      </c>
      <c r="Q118" s="15"/>
      <c r="R118" s="24"/>
      <c r="S118" s="62" t="s">
        <v>447</v>
      </c>
      <c r="T118" s="15"/>
      <c r="U118" s="15">
        <v>0</v>
      </c>
      <c r="V118" s="54"/>
      <c r="W118" s="54"/>
      <c r="X118" s="54"/>
    </row>
    <row r="119" spans="3:24" x14ac:dyDescent="0.25">
      <c r="C119" s="39">
        <v>2016</v>
      </c>
      <c r="D119" s="62" t="s">
        <v>743</v>
      </c>
      <c r="E119" s="63" t="s">
        <v>744</v>
      </c>
      <c r="F119" s="64">
        <v>42626</v>
      </c>
      <c r="G119" s="65" t="s">
        <v>190</v>
      </c>
      <c r="H119" s="27">
        <v>73640000</v>
      </c>
      <c r="I119" s="27">
        <v>68462700</v>
      </c>
      <c r="J119" s="27"/>
      <c r="K119" s="26">
        <v>-7.0305540467137426E-2</v>
      </c>
      <c r="L119" s="11" t="s">
        <v>464</v>
      </c>
      <c r="M119" s="15">
        <v>2</v>
      </c>
      <c r="N119" s="35" t="s">
        <v>93</v>
      </c>
      <c r="O119" s="15">
        <v>3</v>
      </c>
      <c r="P119" s="35" t="s">
        <v>458</v>
      </c>
      <c r="Q119" s="15"/>
      <c r="R119" s="24"/>
      <c r="S119" s="62" t="s">
        <v>442</v>
      </c>
      <c r="T119" s="15"/>
      <c r="U119" s="15">
        <v>1</v>
      </c>
      <c r="V119" s="54"/>
      <c r="W119" s="54"/>
      <c r="X119" s="54"/>
    </row>
    <row r="120" spans="3:24" x14ac:dyDescent="0.25">
      <c r="C120" s="39">
        <v>2016</v>
      </c>
      <c r="D120" s="62" t="s">
        <v>716</v>
      </c>
      <c r="E120" s="63" t="s">
        <v>717</v>
      </c>
      <c r="F120" s="64">
        <v>42593</v>
      </c>
      <c r="G120" s="65" t="s">
        <v>34</v>
      </c>
      <c r="H120" s="27">
        <v>1450000</v>
      </c>
      <c r="I120" s="27">
        <v>763000</v>
      </c>
      <c r="J120" s="27"/>
      <c r="K120" s="26">
        <v>-0.47379310344827585</v>
      </c>
      <c r="L120" s="11" t="s">
        <v>464</v>
      </c>
      <c r="M120" s="15">
        <v>6</v>
      </c>
      <c r="N120" s="35" t="s">
        <v>93</v>
      </c>
      <c r="O120" s="15">
        <v>3</v>
      </c>
      <c r="P120" s="35" t="s">
        <v>457</v>
      </c>
      <c r="Q120" s="15"/>
      <c r="R120" s="24"/>
      <c r="S120" s="62" t="s">
        <v>630</v>
      </c>
      <c r="T120" s="15"/>
      <c r="U120" s="15">
        <v>1</v>
      </c>
      <c r="V120" s="54"/>
      <c r="W120" s="54"/>
      <c r="X120" s="54"/>
    </row>
    <row r="121" spans="3:24" x14ac:dyDescent="0.25">
      <c r="C121" s="39">
        <v>2016</v>
      </c>
      <c r="D121" s="62" t="s">
        <v>711</v>
      </c>
      <c r="E121" s="63" t="s">
        <v>712</v>
      </c>
      <c r="F121" s="64">
        <v>42587</v>
      </c>
      <c r="G121" s="65"/>
      <c r="H121" s="27"/>
      <c r="I121" s="27"/>
      <c r="J121" s="27"/>
      <c r="K121" s="26"/>
      <c r="L121" s="11"/>
      <c r="M121" s="15">
        <v>4</v>
      </c>
      <c r="N121" s="35" t="s">
        <v>93</v>
      </c>
      <c r="O121" s="15">
        <v>3</v>
      </c>
      <c r="P121" s="35" t="s">
        <v>457</v>
      </c>
      <c r="Q121" s="15"/>
      <c r="R121" s="24" t="s">
        <v>753</v>
      </c>
      <c r="S121" s="62" t="s">
        <v>630</v>
      </c>
      <c r="T121" s="15"/>
      <c r="U121" s="15"/>
      <c r="V121" s="54"/>
      <c r="W121" s="54"/>
      <c r="X121" s="54"/>
    </row>
    <row r="122" spans="3:24" x14ac:dyDescent="0.25">
      <c r="C122" s="39">
        <v>2016</v>
      </c>
      <c r="D122" s="62" t="s">
        <v>694</v>
      </c>
      <c r="E122" s="63" t="s">
        <v>695</v>
      </c>
      <c r="F122" s="64">
        <v>42584</v>
      </c>
      <c r="G122" s="65" t="s">
        <v>34</v>
      </c>
      <c r="H122" s="27">
        <v>1750000</v>
      </c>
      <c r="I122" s="27">
        <v>1930000</v>
      </c>
      <c r="J122" s="27">
        <v>1930000</v>
      </c>
      <c r="K122" s="26">
        <v>0.10285714285714286</v>
      </c>
      <c r="L122" s="11" t="s">
        <v>464</v>
      </c>
      <c r="M122" s="15">
        <v>9</v>
      </c>
      <c r="N122" s="35" t="s">
        <v>93</v>
      </c>
      <c r="O122" s="15">
        <v>3</v>
      </c>
      <c r="P122" s="35" t="s">
        <v>458</v>
      </c>
      <c r="Q122" s="15"/>
      <c r="R122" s="24"/>
      <c r="S122" s="62" t="s">
        <v>442</v>
      </c>
      <c r="T122" s="15"/>
      <c r="U122" s="15">
        <v>1</v>
      </c>
      <c r="V122" s="54"/>
      <c r="W122" s="54"/>
      <c r="X122" s="54"/>
    </row>
    <row r="123" spans="3:24" x14ac:dyDescent="0.25">
      <c r="C123" s="39">
        <v>2016</v>
      </c>
      <c r="D123" s="62" t="s">
        <v>691</v>
      </c>
      <c r="E123" s="63" t="s">
        <v>692</v>
      </c>
      <c r="F123" s="64">
        <v>42579</v>
      </c>
      <c r="G123" s="65" t="s">
        <v>693</v>
      </c>
      <c r="H123" s="27">
        <v>1636000</v>
      </c>
      <c r="I123" s="27">
        <v>1365000</v>
      </c>
      <c r="J123" s="27"/>
      <c r="K123" s="26">
        <v>-0.1656479217603912</v>
      </c>
      <c r="L123" s="11" t="s">
        <v>464</v>
      </c>
      <c r="M123" s="15">
        <v>3</v>
      </c>
      <c r="N123" s="35" t="s">
        <v>93</v>
      </c>
      <c r="O123" s="15">
        <v>3</v>
      </c>
      <c r="P123" s="35" t="s">
        <v>457</v>
      </c>
      <c r="Q123" s="15"/>
      <c r="R123" s="24"/>
      <c r="S123" s="62" t="s">
        <v>630</v>
      </c>
      <c r="T123" s="15"/>
      <c r="U123" s="15">
        <v>1</v>
      </c>
      <c r="V123" s="54"/>
      <c r="W123" s="54"/>
      <c r="X123" s="54"/>
    </row>
    <row r="124" spans="3:24" x14ac:dyDescent="0.25">
      <c r="C124" s="39">
        <v>2016</v>
      </c>
      <c r="D124" s="62" t="s">
        <v>670</v>
      </c>
      <c r="E124" s="63" t="s">
        <v>671</v>
      </c>
      <c r="F124" s="64">
        <v>42538</v>
      </c>
      <c r="G124" s="65" t="s">
        <v>34</v>
      </c>
      <c r="H124" s="27">
        <v>1800000</v>
      </c>
      <c r="I124" s="27">
        <v>1628370</v>
      </c>
      <c r="J124" s="27">
        <v>1628370</v>
      </c>
      <c r="K124" s="26">
        <v>-9.5350000000000004E-2</v>
      </c>
      <c r="L124" s="11" t="s">
        <v>464</v>
      </c>
      <c r="M124" s="15">
        <v>13</v>
      </c>
      <c r="N124" s="35" t="s">
        <v>93</v>
      </c>
      <c r="O124" s="15">
        <v>2</v>
      </c>
      <c r="P124" s="35" t="s">
        <v>457</v>
      </c>
      <c r="Q124" s="15"/>
      <c r="R124" s="24"/>
      <c r="S124" s="62" t="s">
        <v>630</v>
      </c>
      <c r="T124" s="15"/>
      <c r="U124" s="15">
        <v>1</v>
      </c>
      <c r="V124" s="54"/>
      <c r="W124" s="54"/>
      <c r="X124" s="54"/>
    </row>
    <row r="125" spans="3:24" x14ac:dyDescent="0.25">
      <c r="C125" s="39">
        <v>2016</v>
      </c>
      <c r="D125" s="62" t="s">
        <v>663</v>
      </c>
      <c r="E125" s="63" t="s">
        <v>664</v>
      </c>
      <c r="F125" s="64">
        <v>42514</v>
      </c>
      <c r="G125" s="65" t="s">
        <v>190</v>
      </c>
      <c r="H125" s="27">
        <v>1930000</v>
      </c>
      <c r="I125" s="27">
        <v>2277000</v>
      </c>
      <c r="J125" s="27"/>
      <c r="K125" s="26">
        <v>0.17979274611398963</v>
      </c>
      <c r="L125" s="11" t="s">
        <v>465</v>
      </c>
      <c r="M125" s="15">
        <v>4</v>
      </c>
      <c r="N125" s="35" t="s">
        <v>93</v>
      </c>
      <c r="O125" s="15">
        <v>2</v>
      </c>
      <c r="P125" s="35" t="s">
        <v>458</v>
      </c>
      <c r="Q125" s="15"/>
      <c r="R125" s="24" t="s">
        <v>667</v>
      </c>
      <c r="S125" s="62" t="s">
        <v>841</v>
      </c>
      <c r="T125" s="15"/>
      <c r="U125" s="15">
        <v>0</v>
      </c>
      <c r="V125" s="54"/>
      <c r="W125" s="54"/>
      <c r="X125" s="54"/>
    </row>
    <row r="126" spans="3:24" x14ac:dyDescent="0.25">
      <c r="C126" s="39">
        <v>2016</v>
      </c>
      <c r="D126" s="62" t="s">
        <v>625</v>
      </c>
      <c r="E126" s="63" t="s">
        <v>632</v>
      </c>
      <c r="F126" s="64">
        <v>42486</v>
      </c>
      <c r="G126" s="65" t="s">
        <v>34</v>
      </c>
      <c r="H126" s="27">
        <v>600000</v>
      </c>
      <c r="I126" s="27">
        <v>675000</v>
      </c>
      <c r="J126" s="27">
        <v>675000</v>
      </c>
      <c r="K126" s="26">
        <v>0.125</v>
      </c>
      <c r="L126" s="11" t="s">
        <v>465</v>
      </c>
      <c r="M126" s="15">
        <v>3</v>
      </c>
      <c r="N126" s="35" t="s">
        <v>93</v>
      </c>
      <c r="O126" s="15">
        <v>2</v>
      </c>
      <c r="P126" s="35" t="s">
        <v>457</v>
      </c>
      <c r="Q126" s="15"/>
      <c r="R126" s="24"/>
      <c r="S126" s="62" t="s">
        <v>447</v>
      </c>
      <c r="T126" s="15"/>
      <c r="U126" s="15">
        <v>0</v>
      </c>
      <c r="V126" s="54"/>
      <c r="W126" s="54"/>
      <c r="X126" s="54"/>
    </row>
    <row r="127" spans="3:24" x14ac:dyDescent="0.25">
      <c r="C127" s="39">
        <v>2016</v>
      </c>
      <c r="D127" s="62" t="s">
        <v>590</v>
      </c>
      <c r="E127" s="63" t="s">
        <v>591</v>
      </c>
      <c r="F127" s="64">
        <v>42465</v>
      </c>
      <c r="G127" s="65" t="s">
        <v>34</v>
      </c>
      <c r="H127" s="27">
        <v>1300000</v>
      </c>
      <c r="I127" s="27">
        <v>1334000</v>
      </c>
      <c r="J127" s="27"/>
      <c r="K127" s="26">
        <v>2.6153846153846153E-2</v>
      </c>
      <c r="L127" s="11" t="s">
        <v>464</v>
      </c>
      <c r="M127" s="15">
        <v>6</v>
      </c>
      <c r="N127" s="35" t="s">
        <v>93</v>
      </c>
      <c r="O127" s="15">
        <v>2</v>
      </c>
      <c r="P127" s="35" t="s">
        <v>458</v>
      </c>
      <c r="Q127" s="15"/>
      <c r="R127" s="24"/>
      <c r="S127" s="62" t="s">
        <v>494</v>
      </c>
      <c r="T127" s="15"/>
      <c r="U127" s="15">
        <v>1</v>
      </c>
      <c r="V127" s="54"/>
      <c r="W127" s="54"/>
      <c r="X127" s="54"/>
    </row>
    <row r="128" spans="3:24" x14ac:dyDescent="0.25">
      <c r="C128" s="39">
        <v>2016</v>
      </c>
      <c r="D128" s="15" t="s">
        <v>520</v>
      </c>
      <c r="E128" s="24" t="s">
        <v>550</v>
      </c>
      <c r="F128" s="25">
        <v>42418</v>
      </c>
      <c r="G128" s="46" t="s">
        <v>34</v>
      </c>
      <c r="H128" s="27">
        <v>3250000</v>
      </c>
      <c r="I128" s="27">
        <v>2849549</v>
      </c>
      <c r="J128" s="27"/>
      <c r="K128" s="26">
        <v>-0.1232156923076923</v>
      </c>
      <c r="L128" s="11" t="s">
        <v>464</v>
      </c>
      <c r="M128" s="15">
        <v>12</v>
      </c>
      <c r="N128" s="35" t="s">
        <v>93</v>
      </c>
      <c r="O128" s="15">
        <v>1</v>
      </c>
      <c r="P128" s="35" t="s">
        <v>458</v>
      </c>
      <c r="Q128" s="15"/>
      <c r="R128" s="24"/>
      <c r="S128" s="15" t="s">
        <v>494</v>
      </c>
      <c r="T128" s="15"/>
      <c r="U128" s="15">
        <v>1</v>
      </c>
      <c r="V128" s="54"/>
      <c r="W128" s="54"/>
      <c r="X128" s="54"/>
    </row>
    <row r="129" spans="3:24" x14ac:dyDescent="0.25">
      <c r="C129" s="39">
        <v>2016</v>
      </c>
      <c r="D129" s="15" t="s">
        <v>538</v>
      </c>
      <c r="E129" s="24" t="s">
        <v>539</v>
      </c>
      <c r="F129" s="25">
        <v>42404</v>
      </c>
      <c r="G129" s="46" t="s">
        <v>34</v>
      </c>
      <c r="H129" s="27">
        <v>4072000</v>
      </c>
      <c r="I129" s="27">
        <v>2733000</v>
      </c>
      <c r="J129" s="27"/>
      <c r="K129" s="26">
        <v>-0.3288310412573674</v>
      </c>
      <c r="L129" s="11" t="s">
        <v>465</v>
      </c>
      <c r="M129" s="15">
        <v>3</v>
      </c>
      <c r="N129" s="35" t="s">
        <v>93</v>
      </c>
      <c r="O129" s="15">
        <v>1</v>
      </c>
      <c r="P129" s="35" t="s">
        <v>458</v>
      </c>
      <c r="Q129" s="15"/>
      <c r="R129" s="24"/>
      <c r="S129" s="15" t="s">
        <v>494</v>
      </c>
      <c r="T129" s="15"/>
      <c r="U129" s="15">
        <v>0</v>
      </c>
      <c r="V129" s="54"/>
      <c r="W129" s="54"/>
      <c r="X129" s="54"/>
    </row>
    <row r="130" spans="3:24" x14ac:dyDescent="0.25">
      <c r="C130" s="39">
        <v>2016</v>
      </c>
      <c r="D130" s="15" t="s">
        <v>493</v>
      </c>
      <c r="E130" s="24" t="s">
        <v>495</v>
      </c>
      <c r="F130" s="25">
        <v>42394</v>
      </c>
      <c r="G130" s="46" t="s">
        <v>34</v>
      </c>
      <c r="H130" s="27">
        <v>2530000</v>
      </c>
      <c r="I130" s="27">
        <v>1836000</v>
      </c>
      <c r="J130" s="27"/>
      <c r="K130" s="26">
        <v>-0.27430830039525694</v>
      </c>
      <c r="L130" s="11" t="s">
        <v>464</v>
      </c>
      <c r="M130" s="15">
        <v>7</v>
      </c>
      <c r="N130" s="35" t="s">
        <v>93</v>
      </c>
      <c r="O130" s="15">
        <v>1</v>
      </c>
      <c r="P130" s="35" t="s">
        <v>458</v>
      </c>
      <c r="Q130" s="15"/>
      <c r="R130" s="24"/>
      <c r="S130" s="15" t="s">
        <v>494</v>
      </c>
      <c r="T130" s="15"/>
      <c r="U130" s="15">
        <v>1</v>
      </c>
      <c r="V130" s="54"/>
      <c r="W130" s="54"/>
      <c r="X130" s="54"/>
    </row>
    <row r="131" spans="3:24" x14ac:dyDescent="0.25">
      <c r="C131" s="39">
        <v>2016</v>
      </c>
      <c r="D131" s="15" t="s">
        <v>448</v>
      </c>
      <c r="E131" s="24" t="s">
        <v>449</v>
      </c>
      <c r="F131" s="25">
        <v>42388</v>
      </c>
      <c r="G131" s="46" t="s">
        <v>190</v>
      </c>
      <c r="H131" s="27">
        <v>9000000</v>
      </c>
      <c r="I131" s="27">
        <v>8936000</v>
      </c>
      <c r="J131" s="27"/>
      <c r="K131" s="26">
        <v>-7.1111111111111115E-3</v>
      </c>
      <c r="L131" s="11" t="s">
        <v>464</v>
      </c>
      <c r="M131" s="15">
        <v>3</v>
      </c>
      <c r="N131" s="35" t="s">
        <v>93</v>
      </c>
      <c r="O131" s="15">
        <v>1</v>
      </c>
      <c r="P131" s="35" t="s">
        <v>455</v>
      </c>
      <c r="Q131" s="15"/>
      <c r="R131" s="24"/>
      <c r="S131" s="15" t="s">
        <v>447</v>
      </c>
      <c r="T131" s="15"/>
      <c r="U131" s="15">
        <v>1</v>
      </c>
      <c r="V131" s="54"/>
      <c r="W131" s="54"/>
      <c r="X131" s="54"/>
    </row>
    <row r="132" spans="3:24" x14ac:dyDescent="0.25">
      <c r="C132" s="39">
        <v>2016</v>
      </c>
      <c r="D132" s="15" t="s">
        <v>448</v>
      </c>
      <c r="E132" s="24" t="s">
        <v>449</v>
      </c>
      <c r="F132" s="25">
        <v>42374</v>
      </c>
      <c r="G132" s="46" t="s">
        <v>190</v>
      </c>
      <c r="H132" s="27"/>
      <c r="I132" s="27"/>
      <c r="J132" s="27"/>
      <c r="K132" s="26"/>
      <c r="L132" s="11"/>
      <c r="M132" s="15">
        <v>3</v>
      </c>
      <c r="N132" s="35" t="s">
        <v>93</v>
      </c>
      <c r="O132" s="15">
        <v>1</v>
      </c>
      <c r="P132" s="35" t="s">
        <v>455</v>
      </c>
      <c r="Q132" s="15"/>
      <c r="R132" s="24" t="s">
        <v>472</v>
      </c>
      <c r="S132" s="15" t="s">
        <v>447</v>
      </c>
      <c r="T132" s="15"/>
      <c r="U132" s="15"/>
      <c r="V132" s="54"/>
      <c r="W132" s="54"/>
      <c r="X132" s="54"/>
    </row>
    <row r="133" spans="3:24" x14ac:dyDescent="0.25">
      <c r="C133" s="39"/>
      <c r="E133" s="85"/>
      <c r="F133" s="85"/>
      <c r="G133" s="85"/>
      <c r="H133" s="86">
        <f>SUM(H115:H132)</f>
        <v>109291000</v>
      </c>
      <c r="I133" s="86">
        <f>SUM(I115:I132)</f>
        <v>102543694</v>
      </c>
      <c r="J133" s="85"/>
      <c r="K133" s="87">
        <f>+I133/H133</f>
        <v>0.93826293107392189</v>
      </c>
      <c r="L133" s="85">
        <f>COUNTA(L115:L132)</f>
        <v>15</v>
      </c>
      <c r="M133" s="88">
        <f>SUM(M115:M132)/L133</f>
        <v>5.8</v>
      </c>
      <c r="N133" s="89">
        <v>0.75</v>
      </c>
      <c r="O133" s="85"/>
      <c r="P133" s="85"/>
      <c r="Q133" s="85"/>
    </row>
    <row r="134" spans="3:24" x14ac:dyDescent="0.25">
      <c r="C134" s="39"/>
    </row>
    <row r="135" spans="3:24" x14ac:dyDescent="0.25">
      <c r="C135" s="39"/>
      <c r="D135" s="31" t="s">
        <v>839</v>
      </c>
    </row>
    <row r="136" spans="3:24" x14ac:dyDescent="0.25">
      <c r="C136" s="39">
        <v>2016</v>
      </c>
      <c r="D136" s="62" t="s">
        <v>825</v>
      </c>
      <c r="E136" s="63" t="s">
        <v>826</v>
      </c>
      <c r="F136" s="64">
        <v>42731</v>
      </c>
      <c r="G136" s="65" t="s">
        <v>190</v>
      </c>
      <c r="H136" s="27">
        <v>18500000</v>
      </c>
      <c r="I136" s="27">
        <v>15978000</v>
      </c>
      <c r="J136" s="27"/>
      <c r="K136" s="26">
        <v>-0.13632432432432431</v>
      </c>
      <c r="L136" s="11" t="s">
        <v>464</v>
      </c>
      <c r="M136" s="15">
        <v>2</v>
      </c>
      <c r="N136" s="35" t="s">
        <v>226</v>
      </c>
      <c r="O136" s="15">
        <v>4</v>
      </c>
      <c r="P136" s="35" t="s">
        <v>459</v>
      </c>
      <c r="Q136" s="15"/>
      <c r="R136" s="24"/>
      <c r="S136" s="62" t="s">
        <v>447</v>
      </c>
      <c r="T136" s="15"/>
      <c r="U136" s="15">
        <v>1</v>
      </c>
      <c r="V136" s="54"/>
      <c r="W136" s="54"/>
      <c r="X136" s="54"/>
    </row>
    <row r="137" spans="3:24" x14ac:dyDescent="0.25">
      <c r="C137" s="39">
        <v>2016</v>
      </c>
      <c r="D137" s="62" t="s">
        <v>763</v>
      </c>
      <c r="E137" s="63" t="s">
        <v>764</v>
      </c>
      <c r="F137" s="64">
        <v>42677</v>
      </c>
      <c r="G137" s="65" t="s">
        <v>693</v>
      </c>
      <c r="H137" s="27">
        <v>480000</v>
      </c>
      <c r="I137" s="27">
        <v>770000</v>
      </c>
      <c r="J137" s="27"/>
      <c r="K137" s="26">
        <v>0.60416666666666663</v>
      </c>
      <c r="L137" s="11" t="s">
        <v>465</v>
      </c>
      <c r="M137" s="15">
        <v>4</v>
      </c>
      <c r="N137" s="35" t="s">
        <v>226</v>
      </c>
      <c r="O137" s="15">
        <v>4</v>
      </c>
      <c r="P137" s="35" t="s">
        <v>457</v>
      </c>
      <c r="Q137" s="15"/>
      <c r="R137" s="24"/>
      <c r="S137" s="62" t="s">
        <v>630</v>
      </c>
      <c r="T137" s="15"/>
      <c r="U137" s="15">
        <v>0</v>
      </c>
      <c r="V137" s="54"/>
      <c r="W137" s="54"/>
      <c r="X137" s="54"/>
    </row>
    <row r="138" spans="3:24" x14ac:dyDescent="0.25">
      <c r="C138" s="39">
        <v>2016</v>
      </c>
      <c r="D138" s="62" t="s">
        <v>760</v>
      </c>
      <c r="E138" s="63" t="s">
        <v>761</v>
      </c>
      <c r="F138" s="64">
        <v>42670</v>
      </c>
      <c r="G138" s="65" t="s">
        <v>34</v>
      </c>
      <c r="H138" s="27">
        <v>2150000</v>
      </c>
      <c r="I138" s="27">
        <v>1654320</v>
      </c>
      <c r="J138" s="27"/>
      <c r="K138" s="26">
        <v>-0.23054883720930233</v>
      </c>
      <c r="L138" s="11" t="s">
        <v>465</v>
      </c>
      <c r="M138" s="15">
        <v>1</v>
      </c>
      <c r="N138" s="35" t="s">
        <v>226</v>
      </c>
      <c r="O138" s="15">
        <v>4</v>
      </c>
      <c r="P138" s="35" t="s">
        <v>457</v>
      </c>
      <c r="Q138" s="15"/>
      <c r="R138" s="24" t="s">
        <v>782</v>
      </c>
      <c r="S138" s="62" t="s">
        <v>630</v>
      </c>
      <c r="T138" s="15"/>
      <c r="U138" s="15">
        <v>0</v>
      </c>
      <c r="V138" s="54"/>
      <c r="W138" s="54"/>
      <c r="X138" s="54"/>
    </row>
    <row r="139" spans="3:24" x14ac:dyDescent="0.25">
      <c r="C139" s="39">
        <v>2016</v>
      </c>
      <c r="D139" s="62" t="s">
        <v>668</v>
      </c>
      <c r="E139" s="63" t="s">
        <v>669</v>
      </c>
      <c r="F139" s="64">
        <v>42517</v>
      </c>
      <c r="G139" s="65" t="s">
        <v>34</v>
      </c>
      <c r="H139" s="27">
        <v>2800000</v>
      </c>
      <c r="I139" s="27">
        <v>3295274</v>
      </c>
      <c r="J139" s="27"/>
      <c r="K139" s="26">
        <v>0.17688357142857142</v>
      </c>
      <c r="L139" s="11" t="s">
        <v>465</v>
      </c>
      <c r="M139" s="15">
        <v>6</v>
      </c>
      <c r="N139" s="35" t="s">
        <v>226</v>
      </c>
      <c r="O139" s="15">
        <v>2</v>
      </c>
      <c r="P139" s="35" t="s">
        <v>457</v>
      </c>
      <c r="Q139" s="15"/>
      <c r="R139" s="24"/>
      <c r="S139" s="62" t="s">
        <v>630</v>
      </c>
      <c r="T139" s="15"/>
      <c r="U139" s="15">
        <v>0</v>
      </c>
      <c r="V139" s="54"/>
      <c r="W139" s="54"/>
      <c r="X139" s="54"/>
    </row>
    <row r="140" spans="3:24" x14ac:dyDescent="0.25">
      <c r="C140" s="39">
        <v>2016</v>
      </c>
      <c r="D140" s="62" t="s">
        <v>638</v>
      </c>
      <c r="E140" s="63" t="s">
        <v>639</v>
      </c>
      <c r="F140" s="64">
        <v>42496</v>
      </c>
      <c r="G140" s="65" t="s">
        <v>34</v>
      </c>
      <c r="H140" s="27"/>
      <c r="I140" s="27"/>
      <c r="J140" s="27"/>
      <c r="K140" s="26"/>
      <c r="L140" s="11"/>
      <c r="M140" s="15">
        <v>9</v>
      </c>
      <c r="N140" s="35" t="s">
        <v>226</v>
      </c>
      <c r="O140" s="15">
        <v>2</v>
      </c>
      <c r="P140" s="35" t="s">
        <v>457</v>
      </c>
      <c r="Q140" s="15"/>
      <c r="R140" s="24" t="s">
        <v>690</v>
      </c>
      <c r="S140" s="62" t="s">
        <v>630</v>
      </c>
      <c r="T140" s="15"/>
      <c r="U140" s="15"/>
      <c r="V140" s="54"/>
      <c r="W140" s="54"/>
      <c r="X140" s="54"/>
    </row>
    <row r="141" spans="3:24" x14ac:dyDescent="0.25">
      <c r="C141" s="39"/>
      <c r="E141" s="85"/>
      <c r="F141" s="85"/>
      <c r="G141" s="85"/>
      <c r="H141" s="86">
        <f>SUM(H135:H140)</f>
        <v>23930000</v>
      </c>
      <c r="I141" s="86">
        <f>SUM(I135:I140)</f>
        <v>21697594</v>
      </c>
      <c r="J141" s="85"/>
      <c r="K141" s="87">
        <f>+I141/H141</f>
        <v>0.90671099038863356</v>
      </c>
      <c r="L141" s="85">
        <f>COUNTA(L135:L140)</f>
        <v>4</v>
      </c>
      <c r="M141" s="88">
        <f>SUM(M135:M140)/L141</f>
        <v>5.5</v>
      </c>
      <c r="N141" s="89">
        <v>0.25</v>
      </c>
      <c r="O141" s="85"/>
      <c r="P141" s="85"/>
      <c r="Q141" s="85"/>
    </row>
    <row r="142" spans="3:24" x14ac:dyDescent="0.25">
      <c r="C142" s="39"/>
    </row>
    <row r="143" spans="3:24" x14ac:dyDescent="0.25">
      <c r="C143" s="39"/>
      <c r="L143">
        <f>+L141+L133+L113</f>
        <v>43</v>
      </c>
    </row>
    <row r="144" spans="3:24" x14ac:dyDescent="0.25">
      <c r="C144" s="39"/>
      <c r="E144" s="36" t="s">
        <v>852</v>
      </c>
      <c r="F144" s="90" t="s">
        <v>842</v>
      </c>
      <c r="G144" s="90" t="s">
        <v>843</v>
      </c>
      <c r="H144" s="23">
        <f>SUM(F145:G152)</f>
        <v>43</v>
      </c>
    </row>
    <row r="145" spans="3:17" x14ac:dyDescent="0.25">
      <c r="C145" s="39"/>
      <c r="E145" s="2" t="s">
        <v>844</v>
      </c>
      <c r="F145" s="11">
        <v>6</v>
      </c>
      <c r="G145" s="11">
        <v>4</v>
      </c>
      <c r="H145" s="66">
        <f t="shared" ref="H145:H152" si="10">F145/(+F145+G145)</f>
        <v>0.6</v>
      </c>
    </row>
    <row r="146" spans="3:17" x14ac:dyDescent="0.25">
      <c r="C146" s="39"/>
      <c r="E146" s="2" t="s">
        <v>845</v>
      </c>
      <c r="F146" s="11">
        <v>3</v>
      </c>
      <c r="G146" s="11">
        <v>2</v>
      </c>
      <c r="H146" s="66">
        <f t="shared" si="10"/>
        <v>0.6</v>
      </c>
    </row>
    <row r="147" spans="3:17" x14ac:dyDescent="0.25">
      <c r="C147" s="39"/>
      <c r="E147" s="2" t="s">
        <v>846</v>
      </c>
      <c r="F147" s="11">
        <v>6</v>
      </c>
      <c r="G147" s="11">
        <v>5</v>
      </c>
      <c r="H147" s="66">
        <f t="shared" si="10"/>
        <v>0.54545454545454541</v>
      </c>
    </row>
    <row r="148" spans="3:17" x14ac:dyDescent="0.25">
      <c r="C148" s="39"/>
      <c r="E148" s="2" t="s">
        <v>847</v>
      </c>
      <c r="F148" s="11">
        <v>0</v>
      </c>
      <c r="G148" s="11">
        <v>1</v>
      </c>
      <c r="H148" s="66">
        <f t="shared" si="10"/>
        <v>0</v>
      </c>
    </row>
    <row r="149" spans="3:17" x14ac:dyDescent="0.25">
      <c r="C149" s="39"/>
      <c r="E149" s="2" t="s">
        <v>848</v>
      </c>
      <c r="F149" s="11">
        <v>8</v>
      </c>
      <c r="G149" s="11">
        <v>1</v>
      </c>
      <c r="H149" s="66">
        <f t="shared" si="10"/>
        <v>0.88888888888888884</v>
      </c>
    </row>
    <row r="150" spans="3:17" x14ac:dyDescent="0.25">
      <c r="C150" s="39"/>
      <c r="E150" s="2" t="s">
        <v>849</v>
      </c>
      <c r="F150" s="11">
        <v>2</v>
      </c>
      <c r="G150" s="11">
        <v>0</v>
      </c>
      <c r="H150" s="66">
        <f t="shared" si="10"/>
        <v>1</v>
      </c>
    </row>
    <row r="151" spans="3:17" x14ac:dyDescent="0.25">
      <c r="C151" s="39"/>
      <c r="E151" s="2" t="s">
        <v>850</v>
      </c>
      <c r="F151" s="11">
        <v>0</v>
      </c>
      <c r="G151" s="11">
        <v>1</v>
      </c>
      <c r="H151" s="66">
        <f t="shared" si="10"/>
        <v>0</v>
      </c>
    </row>
    <row r="152" spans="3:17" x14ac:dyDescent="0.25">
      <c r="C152" s="39"/>
      <c r="E152" s="2" t="s">
        <v>851</v>
      </c>
      <c r="F152" s="11">
        <v>1</v>
      </c>
      <c r="G152" s="11">
        <v>3</v>
      </c>
      <c r="H152" s="66">
        <f t="shared" si="10"/>
        <v>0.25</v>
      </c>
    </row>
    <row r="153" spans="3:17" x14ac:dyDescent="0.25">
      <c r="C153" s="39"/>
      <c r="E153" s="2"/>
      <c r="F153" s="11"/>
      <c r="G153" s="11"/>
    </row>
    <row r="154" spans="3:17" x14ac:dyDescent="0.25">
      <c r="C154" s="39"/>
      <c r="F154" s="11"/>
      <c r="G154" s="11"/>
    </row>
    <row r="155" spans="3:17" x14ac:dyDescent="0.25">
      <c r="C155" s="39"/>
    </row>
    <row r="156" spans="3:17" x14ac:dyDescent="0.25">
      <c r="C156" s="39"/>
    </row>
    <row r="157" spans="3:17" x14ac:dyDescent="0.25">
      <c r="C157" s="39"/>
    </row>
    <row r="158" spans="3:17" x14ac:dyDescent="0.25">
      <c r="C158" s="39"/>
      <c r="F158" s="31"/>
      <c r="G158" s="36" t="s">
        <v>853</v>
      </c>
      <c r="H158" s="36" t="s">
        <v>854</v>
      </c>
      <c r="I158" s="36" t="s">
        <v>59</v>
      </c>
      <c r="J158" s="36" t="s">
        <v>60</v>
      </c>
      <c r="K158" s="36" t="s">
        <v>856</v>
      </c>
      <c r="L158" s="36" t="s">
        <v>62</v>
      </c>
      <c r="M158" s="37" t="s">
        <v>855</v>
      </c>
      <c r="N158" s="36"/>
      <c r="O158" s="36"/>
      <c r="P158" s="31"/>
      <c r="Q158" s="31"/>
    </row>
    <row r="159" spans="3:17" x14ac:dyDescent="0.25">
      <c r="C159" s="39"/>
      <c r="G159" t="s">
        <v>93</v>
      </c>
      <c r="H159" s="4">
        <f>+H133</f>
        <v>109291000</v>
      </c>
      <c r="I159" s="4">
        <f>+I133</f>
        <v>102543694</v>
      </c>
      <c r="J159" s="91">
        <f>+K133</f>
        <v>0.93826293107392189</v>
      </c>
      <c r="K159" s="92">
        <f>+N113</f>
        <v>0.67</v>
      </c>
      <c r="L159">
        <f>+L113</f>
        <v>24</v>
      </c>
      <c r="M159" s="84">
        <f>+M113</f>
        <v>6.666666666666667</v>
      </c>
    </row>
    <row r="160" spans="3:17" x14ac:dyDescent="0.25">
      <c r="C160" s="39"/>
      <c r="G160" t="s">
        <v>25</v>
      </c>
      <c r="H160" s="4">
        <f>+H113</f>
        <v>284100000</v>
      </c>
      <c r="I160" s="4">
        <f>+I113</f>
        <v>224588400</v>
      </c>
      <c r="J160" s="91">
        <f>+K113</f>
        <v>0.79052587117212247</v>
      </c>
      <c r="K160" s="92">
        <f>+N133</f>
        <v>0.75</v>
      </c>
      <c r="L160">
        <f>+L133</f>
        <v>15</v>
      </c>
      <c r="M160" s="84">
        <f>+M133</f>
        <v>5.8</v>
      </c>
    </row>
    <row r="161" spans="3:24" x14ac:dyDescent="0.25">
      <c r="C161" s="39"/>
      <c r="G161" t="s">
        <v>226</v>
      </c>
      <c r="H161" s="4">
        <f>+H141</f>
        <v>23930000</v>
      </c>
      <c r="I161" s="4">
        <f>+I141</f>
        <v>21697594</v>
      </c>
      <c r="J161" s="91">
        <f>+K141</f>
        <v>0.90671099038863356</v>
      </c>
      <c r="K161" s="92">
        <f>+N141</f>
        <v>0.25</v>
      </c>
      <c r="L161">
        <f>+L141</f>
        <v>4</v>
      </c>
      <c r="M161" s="84">
        <f>+M141</f>
        <v>5.5</v>
      </c>
    </row>
    <row r="162" spans="3:24" x14ac:dyDescent="0.25">
      <c r="C162" s="39"/>
    </row>
    <row r="163" spans="3:24" x14ac:dyDescent="0.25">
      <c r="C163" s="39"/>
    </row>
    <row r="164" spans="3:24" x14ac:dyDescent="0.25">
      <c r="C164" s="39"/>
    </row>
    <row r="165" spans="3:24" x14ac:dyDescent="0.25">
      <c r="C165" s="39"/>
    </row>
    <row r="166" spans="3:24" x14ac:dyDescent="0.25">
      <c r="C166" s="39"/>
    </row>
    <row r="167" spans="3:24" x14ac:dyDescent="0.25">
      <c r="C167" s="39">
        <v>2016</v>
      </c>
      <c r="D167" s="62" t="str">
        <f>+'GWB-563'!$F$4</f>
        <v>GWB-563</v>
      </c>
      <c r="E167" s="63" t="str">
        <f>+'GWB-563'!$F$5</f>
        <v>Sanitary Sewer Rehab at NJ Admin Bldg Lower Parking Lot</v>
      </c>
      <c r="F167" s="64">
        <f>+'GWB-563'!$F$6</f>
        <v>42681</v>
      </c>
      <c r="G167" s="65" t="str">
        <f>+'GWB-563'!$G$7</f>
        <v>PQL</v>
      </c>
      <c r="H167" s="27">
        <f>+'GWB-563'!$F$7</f>
        <v>850000</v>
      </c>
      <c r="I167" s="27">
        <f>+'GWB-563'!$F$8</f>
        <v>651800</v>
      </c>
      <c r="J167" s="27"/>
      <c r="K167" s="26">
        <f>+'GWB-563'!$G$9</f>
        <v>-0.23317647058823529</v>
      </c>
      <c r="L167" s="11" t="str">
        <f>+'GWB-563'!$F$11</f>
        <v>GOOD</v>
      </c>
      <c r="M167" s="15">
        <f>+'GWB-563'!$H$12</f>
        <v>9</v>
      </c>
      <c r="N167" s="35" t="s">
        <v>25</v>
      </c>
      <c r="O167" s="15">
        <v>4</v>
      </c>
      <c r="P167" s="35" t="s">
        <v>457</v>
      </c>
      <c r="Q167" s="15"/>
      <c r="R167" s="24"/>
      <c r="S167" s="62" t="str">
        <f>+'GWB-563'!$J$4</f>
        <v>Reddy Gunda</v>
      </c>
      <c r="T167" s="15"/>
      <c r="U167" s="15"/>
      <c r="V167" s="54">
        <f t="shared" ref="V167:W174" si="11">+H167</f>
        <v>850000</v>
      </c>
      <c r="W167" s="54">
        <f t="shared" si="11"/>
        <v>651800</v>
      </c>
      <c r="X167" s="54">
        <f t="shared" ref="X167:X174" si="12">+V167-W167</f>
        <v>198200</v>
      </c>
    </row>
    <row r="168" spans="3:24" x14ac:dyDescent="0.25">
      <c r="C168" s="39">
        <v>2016</v>
      </c>
      <c r="D168" s="62" t="str">
        <f>+'HT-924.097'!$F$4</f>
        <v>HT-924.097</v>
      </c>
      <c r="E168" s="63" t="str">
        <f>+'HT-924.097'!$F$5</f>
        <v>Ventilation Bldg Evac Stack Inspection Structures</v>
      </c>
      <c r="F168" s="64">
        <f>+'HT-924.097'!$F$6</f>
        <v>42677</v>
      </c>
      <c r="G168" s="65" t="str">
        <f>+'HT-924.097'!$G$7</f>
        <v>MWBE</v>
      </c>
      <c r="H168" s="27">
        <f>+'HT-924.097'!$F$7</f>
        <v>480000</v>
      </c>
      <c r="I168" s="27">
        <f>+'HT-924.097'!$F$8</f>
        <v>770000</v>
      </c>
      <c r="J168" s="27"/>
      <c r="K168" s="26">
        <f>+'HT-924.097'!$G$9</f>
        <v>0.60416666666666663</v>
      </c>
      <c r="L168" s="11" t="str">
        <f>+'HT-924.097'!$F$11</f>
        <v>FAIL</v>
      </c>
      <c r="M168" s="15">
        <f>+'HT-924.097'!$H$12</f>
        <v>4</v>
      </c>
      <c r="N168" s="35" t="s">
        <v>226</v>
      </c>
      <c r="O168" s="15">
        <v>4</v>
      </c>
      <c r="P168" s="35" t="s">
        <v>457</v>
      </c>
      <c r="Q168" s="15"/>
      <c r="R168" s="24"/>
      <c r="S168" s="62" t="str">
        <f>+'HT-924.097'!$J$4</f>
        <v>Reddy Gunda</v>
      </c>
      <c r="T168" s="15"/>
      <c r="U168" s="15"/>
      <c r="V168" s="54">
        <f t="shared" si="11"/>
        <v>480000</v>
      </c>
      <c r="W168" s="54">
        <f t="shared" si="11"/>
        <v>770000</v>
      </c>
      <c r="X168" s="54">
        <f t="shared" si="12"/>
        <v>-290000</v>
      </c>
    </row>
    <row r="169" spans="3:24" x14ac:dyDescent="0.25">
      <c r="C169" s="39">
        <v>2016</v>
      </c>
      <c r="D169" s="62" t="str">
        <f>+'AKO-924.054'!$F$4</f>
        <v>AKO-924.054</v>
      </c>
      <c r="E169" s="63" t="str">
        <f>+'AKO-924.054'!$F$5</f>
        <v>OBX - Structural Rehabilitation</v>
      </c>
      <c r="F169" s="64">
        <f>+'AKO-924.054'!$F$6</f>
        <v>42670</v>
      </c>
      <c r="G169" s="65" t="str">
        <f>+'AKO-924.054'!$G$7</f>
        <v>Public</v>
      </c>
      <c r="H169" s="27">
        <f>+'AKO-924.054'!$F$7</f>
        <v>2150000</v>
      </c>
      <c r="I169" s="27">
        <f>+'AKO-924.054'!$F$8</f>
        <v>1654320</v>
      </c>
      <c r="J169" s="27"/>
      <c r="K169" s="26">
        <f>+'AKO-924.054'!$G$9</f>
        <v>-0.23054883720930233</v>
      </c>
      <c r="L169" s="11" t="str">
        <f>+'AKO-924.054'!$F$11</f>
        <v>FAIL</v>
      </c>
      <c r="M169" s="15">
        <f>+'AKO-924.054'!$H$12</f>
        <v>1</v>
      </c>
      <c r="N169" s="35" t="s">
        <v>226</v>
      </c>
      <c r="O169" s="15">
        <v>4</v>
      </c>
      <c r="P169" s="35" t="s">
        <v>457</v>
      </c>
      <c r="Q169" s="15"/>
      <c r="R169" s="24" t="s">
        <v>782</v>
      </c>
      <c r="S169" s="62" t="str">
        <f>+'AKO-924.054'!$J$4</f>
        <v>Reddy Gunda</v>
      </c>
      <c r="T169" s="15"/>
      <c r="U169" s="15"/>
      <c r="V169" s="54">
        <f t="shared" si="11"/>
        <v>2150000</v>
      </c>
      <c r="W169" s="54">
        <f t="shared" si="11"/>
        <v>1654320</v>
      </c>
      <c r="X169" s="54">
        <f t="shared" si="12"/>
        <v>495680</v>
      </c>
    </row>
    <row r="170" spans="3:24" x14ac:dyDescent="0.25">
      <c r="C170" s="39">
        <v>2016</v>
      </c>
      <c r="D170" s="62" t="str">
        <f>+'HT-224.127'!$F$4</f>
        <v>HT-224.127</v>
      </c>
      <c r="E170" s="63" t="str">
        <f>+'HT-224.127'!$F$5</f>
        <v>Replacement of Piers 9 and 204 Phase II</v>
      </c>
      <c r="F170" s="64">
        <f>+'HT-224.127'!$F$6</f>
        <v>42668</v>
      </c>
      <c r="G170" s="65" t="str">
        <f>+'HT-224.127'!$G$7</f>
        <v>Public</v>
      </c>
      <c r="H170" s="27">
        <f>+'HT-224.127'!$F$7</f>
        <v>67636000</v>
      </c>
      <c r="I170" s="27">
        <f>+'HT-224.127'!$F$8</f>
        <v>49942700</v>
      </c>
      <c r="J170" s="27"/>
      <c r="K170" s="26">
        <f>+'HT-224.127'!$G$9</f>
        <v>-0.26159589567685848</v>
      </c>
      <c r="L170" s="11" t="str">
        <f>+'HT-224.127'!$F$11</f>
        <v>FAIL</v>
      </c>
      <c r="M170" s="15">
        <f>+'HT-224.127'!$H$12</f>
        <v>7</v>
      </c>
      <c r="N170" s="35" t="s">
        <v>25</v>
      </c>
      <c r="O170" s="15">
        <v>4</v>
      </c>
      <c r="P170" s="35" t="s">
        <v>457</v>
      </c>
      <c r="Q170" s="15"/>
      <c r="R170" s="24"/>
      <c r="S170" s="62" t="str">
        <f>+'HT-224.127'!$J$4</f>
        <v>Reddy Gunda</v>
      </c>
      <c r="T170" s="15"/>
      <c r="U170" s="15"/>
      <c r="V170" s="54">
        <f t="shared" si="11"/>
        <v>67636000</v>
      </c>
      <c r="W170" s="54">
        <f t="shared" si="11"/>
        <v>49942700</v>
      </c>
      <c r="X170" s="54">
        <f t="shared" si="12"/>
        <v>17693300</v>
      </c>
    </row>
    <row r="171" spans="3:24" x14ac:dyDescent="0.25">
      <c r="C171" s="39">
        <v>2016</v>
      </c>
      <c r="D171" s="62" t="str">
        <f>+'LT-534'!$F$4</f>
        <v>LT-534</v>
      </c>
      <c r="E171" s="63" t="str">
        <f>+'LT-534'!$F$5</f>
        <v>Maintenance Pavement Repairs via Work Order</v>
      </c>
      <c r="F171" s="64">
        <f>+'LT-534'!$F$6</f>
        <v>42593</v>
      </c>
      <c r="G171" s="65" t="str">
        <f>+'LT-534'!$G$7</f>
        <v>Public</v>
      </c>
      <c r="H171" s="27">
        <f>+'LT-534'!$F$7</f>
        <v>1450000</v>
      </c>
      <c r="I171" s="27">
        <f>+'LT-534'!$F$8</f>
        <v>763000</v>
      </c>
      <c r="J171" s="27"/>
      <c r="K171" s="26">
        <f>+'LT-534'!$G$9</f>
        <v>-0.47379310344827585</v>
      </c>
      <c r="L171" s="11" t="str">
        <f>+'LT-534'!$F$11</f>
        <v>GOOD</v>
      </c>
      <c r="M171" s="15">
        <f>+'LT-534'!$H$12</f>
        <v>6</v>
      </c>
      <c r="N171" s="35" t="s">
        <v>93</v>
      </c>
      <c r="O171" s="15">
        <v>3</v>
      </c>
      <c r="P171" s="35" t="s">
        <v>457</v>
      </c>
      <c r="Q171" s="15"/>
      <c r="R171" s="24"/>
      <c r="S171" s="62" t="str">
        <f>+'LT-534'!$J$4</f>
        <v>Reddy Gunda</v>
      </c>
      <c r="T171" s="15"/>
      <c r="U171" s="15"/>
      <c r="V171" s="54">
        <f t="shared" si="11"/>
        <v>1450000</v>
      </c>
      <c r="W171" s="54">
        <f t="shared" si="11"/>
        <v>763000</v>
      </c>
      <c r="X171" s="54">
        <f t="shared" si="12"/>
        <v>687000</v>
      </c>
    </row>
    <row r="172" spans="3:24" x14ac:dyDescent="0.25">
      <c r="C172" s="39">
        <v>2016</v>
      </c>
      <c r="D172" s="62" t="str">
        <f>+'LT-944.096 Void'!$F$4</f>
        <v>LT-944.096</v>
      </c>
      <c r="E172" s="63" t="str">
        <f>+'LT-944.096 Void'!$F$5</f>
        <v>Replacement of Aboveground Storage Tanks</v>
      </c>
      <c r="F172" s="64">
        <f>+'LT-944.096 Void'!$F$6</f>
        <v>42587</v>
      </c>
      <c r="G172" s="65"/>
      <c r="H172" s="27"/>
      <c r="I172" s="27"/>
      <c r="J172" s="27"/>
      <c r="K172" s="26"/>
      <c r="L172" s="11"/>
      <c r="M172" s="15">
        <f>+'LT-944.096 Void'!$H$12</f>
        <v>4</v>
      </c>
      <c r="N172" s="35" t="s">
        <v>93</v>
      </c>
      <c r="O172" s="15">
        <v>3</v>
      </c>
      <c r="P172" s="35" t="s">
        <v>457</v>
      </c>
      <c r="Q172" s="15"/>
      <c r="R172" s="24" t="s">
        <v>753</v>
      </c>
      <c r="S172" s="62" t="str">
        <f>+'LT-944.096 Void'!$J$4</f>
        <v>Reddy Gunda</v>
      </c>
      <c r="T172" s="15"/>
      <c r="U172" s="15"/>
      <c r="V172" s="54">
        <f t="shared" si="11"/>
        <v>0</v>
      </c>
      <c r="W172" s="54">
        <f t="shared" si="11"/>
        <v>0</v>
      </c>
      <c r="X172" s="54">
        <f t="shared" si="12"/>
        <v>0</v>
      </c>
    </row>
    <row r="173" spans="3:24" x14ac:dyDescent="0.25">
      <c r="C173" s="39">
        <v>2016</v>
      </c>
      <c r="D173" s="62" t="str">
        <f>+'LT-934.027'!$F$4</f>
        <v>LT-934.027</v>
      </c>
      <c r="E173" s="63" t="str">
        <f>+'LT-934.027'!$F$5</f>
        <v>NJ Admin Bldg - Emergency Power Modifications</v>
      </c>
      <c r="F173" s="64">
        <f>+'LT-934.027'!$F$6</f>
        <v>42586</v>
      </c>
      <c r="G173" s="65" t="str">
        <f>+'LT-934.027'!$G$7</f>
        <v>MWBE</v>
      </c>
      <c r="H173" s="27">
        <f>+'LT-934.027'!$F$7</f>
        <v>800000</v>
      </c>
      <c r="I173" s="27">
        <f>+'LT-934.027'!$F$8</f>
        <v>485250</v>
      </c>
      <c r="J173" s="27"/>
      <c r="K173" s="26">
        <f>+'LT-934.027'!$G$9</f>
        <v>-0.3934375</v>
      </c>
      <c r="L173" s="11" t="str">
        <f>+'LT-934.027'!$F$11</f>
        <v>GOOD</v>
      </c>
      <c r="M173" s="15">
        <f>+'LT-934.027'!$H$12</f>
        <v>4</v>
      </c>
      <c r="N173" s="35" t="s">
        <v>25</v>
      </c>
      <c r="O173" s="15">
        <v>3</v>
      </c>
      <c r="P173" s="35" t="s">
        <v>457</v>
      </c>
      <c r="Q173" s="15"/>
      <c r="R173" s="24"/>
      <c r="S173" s="62" t="str">
        <f>+'LT-934.027'!$J$4</f>
        <v>Reddy Gunda</v>
      </c>
      <c r="T173" s="15"/>
      <c r="U173" s="15"/>
      <c r="V173" s="54">
        <f t="shared" si="11"/>
        <v>800000</v>
      </c>
      <c r="W173" s="54">
        <f t="shared" si="11"/>
        <v>485250</v>
      </c>
      <c r="X173" s="54">
        <f t="shared" si="12"/>
        <v>314750</v>
      </c>
    </row>
    <row r="174" spans="3:24" x14ac:dyDescent="0.25">
      <c r="C174" s="39">
        <v>2016</v>
      </c>
      <c r="D174" s="62" t="str">
        <f>+'LT-800.382'!$F$4</f>
        <v>LT-800.382</v>
      </c>
      <c r="E174" s="63" t="str">
        <f>+'LT-800.382'!$F$5</f>
        <v>North Tube Pump Discharge Line</v>
      </c>
      <c r="F174" s="64">
        <f>+'LT-800.382'!$F$6</f>
        <v>42579</v>
      </c>
      <c r="G174" s="65" t="str">
        <f>+'LT-800.382'!$G$7</f>
        <v>MWBE</v>
      </c>
      <c r="H174" s="27">
        <f>+'LT-800.382'!$F$7</f>
        <v>1636000</v>
      </c>
      <c r="I174" s="27">
        <f>+'LT-800.382'!$F$8</f>
        <v>1365000</v>
      </c>
      <c r="J174" s="27"/>
      <c r="K174" s="26">
        <f>+'LT-800.382'!$G$9</f>
        <v>-0.1656479217603912</v>
      </c>
      <c r="L174" s="11" t="str">
        <f>+'LT-800.382'!$F$11</f>
        <v>GOOD</v>
      </c>
      <c r="M174" s="15">
        <f>+'LT-800.382'!$H$12</f>
        <v>3</v>
      </c>
      <c r="N174" s="35" t="s">
        <v>93</v>
      </c>
      <c r="O174" s="15">
        <v>3</v>
      </c>
      <c r="P174" s="35" t="s">
        <v>457</v>
      </c>
      <c r="Q174" s="15"/>
      <c r="R174" s="24"/>
      <c r="S174" s="62" t="str">
        <f>+'LT-800.382'!$J$4</f>
        <v>Reddy Gunda</v>
      </c>
      <c r="T174" s="15"/>
      <c r="U174" s="15"/>
      <c r="V174" s="54">
        <f t="shared" si="11"/>
        <v>1636000</v>
      </c>
      <c r="W174" s="54">
        <f t="shared" si="11"/>
        <v>1365000</v>
      </c>
      <c r="X174" s="54">
        <f t="shared" si="12"/>
        <v>271000</v>
      </c>
    </row>
    <row r="175" spans="3:24" x14ac:dyDescent="0.25">
      <c r="C175" s="39">
        <v>2016</v>
      </c>
      <c r="D175" s="62" t="str">
        <f>+'LT-924.028'!$F$4</f>
        <v>LT-924.028</v>
      </c>
      <c r="E175" s="63" t="str">
        <f>+'LT-924.028'!$F$5</f>
        <v>Priority Repairs on NY Approach Retaining Walls (Dyer Ave.)</v>
      </c>
      <c r="F175" s="64">
        <f>+'LT-924.028'!$F$6</f>
        <v>42538</v>
      </c>
      <c r="G175" s="65" t="str">
        <f>+'LT-924.028'!$G$7</f>
        <v>Public</v>
      </c>
      <c r="H175" s="27">
        <f>+'LT-924.028'!$F$7</f>
        <v>1800000</v>
      </c>
      <c r="I175" s="27">
        <f>+'LT-924.028'!$F$8</f>
        <v>1628370</v>
      </c>
      <c r="J175" s="27">
        <v>1628370</v>
      </c>
      <c r="K175" s="26">
        <f>+'LT-924.028'!$G$9</f>
        <v>-9.5350000000000004E-2</v>
      </c>
      <c r="L175" s="11" t="str">
        <f>+'LT-924.028'!$F$11</f>
        <v>GOOD</v>
      </c>
      <c r="M175" s="15">
        <f>+'LT-924.028'!$H$12</f>
        <v>13</v>
      </c>
      <c r="N175" s="35" t="s">
        <v>93</v>
      </c>
      <c r="O175" s="15">
        <v>2</v>
      </c>
      <c r="P175" s="35" t="s">
        <v>457</v>
      </c>
      <c r="Q175" s="15"/>
      <c r="R175" s="24"/>
      <c r="S175" s="62" t="str">
        <f>+'LT-924.028'!$J$4</f>
        <v>Reddy Gunda</v>
      </c>
      <c r="T175" s="15"/>
      <c r="U175" s="15"/>
      <c r="V175" s="54">
        <f t="shared" ref="V175:V180" si="13">+H175</f>
        <v>1800000</v>
      </c>
      <c r="W175" s="54">
        <f t="shared" ref="W175:W180" si="14">+I175</f>
        <v>1628370</v>
      </c>
      <c r="X175" s="54">
        <f t="shared" ref="X175:X180" si="15">+V175-W175</f>
        <v>171630</v>
      </c>
    </row>
    <row r="176" spans="3:24" x14ac:dyDescent="0.25">
      <c r="C176" s="39">
        <v>2016</v>
      </c>
      <c r="D176" s="62" t="str">
        <f>+'HT-469'!$F$4</f>
        <v>HT-469</v>
      </c>
      <c r="E176" s="63" t="str">
        <f>+'HT-469'!$F$5</f>
        <v>Mitigate Water Leakage at Ventilation Ducts and Mid-River Pump Room</v>
      </c>
      <c r="F176" s="64">
        <f>+'HT-469'!$F$6</f>
        <v>42517</v>
      </c>
      <c r="G176" s="65" t="str">
        <f>+'HT-469'!$G$7</f>
        <v>Public</v>
      </c>
      <c r="H176" s="27">
        <f>+'HT-469'!$F$7</f>
        <v>2800000</v>
      </c>
      <c r="I176" s="27">
        <f>+'HT-469'!$F$8</f>
        <v>3295274</v>
      </c>
      <c r="J176" s="27"/>
      <c r="K176" s="26">
        <f>+'HT-469'!$G$9</f>
        <v>0.17688357142857142</v>
      </c>
      <c r="L176" s="11" t="str">
        <f>+'HT-469'!$F$11</f>
        <v>FAIL</v>
      </c>
      <c r="M176" s="15">
        <f>+'HT-469'!$H$12</f>
        <v>6</v>
      </c>
      <c r="N176" s="35" t="s">
        <v>226</v>
      </c>
      <c r="O176" s="15">
        <v>2</v>
      </c>
      <c r="P176" s="35" t="s">
        <v>457</v>
      </c>
      <c r="Q176" s="15"/>
      <c r="R176" s="24"/>
      <c r="S176" s="62" t="str">
        <f>+'HT-469'!$J$4</f>
        <v>Reddy Gunda</v>
      </c>
      <c r="T176" s="15"/>
      <c r="U176" s="15"/>
      <c r="V176" s="54">
        <f t="shared" si="13"/>
        <v>2800000</v>
      </c>
      <c r="W176" s="54">
        <f t="shared" si="14"/>
        <v>3295274</v>
      </c>
      <c r="X176" s="54">
        <f t="shared" si="15"/>
        <v>-495274</v>
      </c>
    </row>
    <row r="177" spans="3:24" x14ac:dyDescent="0.25">
      <c r="C177" s="39">
        <v>2016</v>
      </c>
      <c r="D177" s="62" t="str">
        <f>+'HT-473A Void'!$F$4</f>
        <v>HT-473A</v>
      </c>
      <c r="E177" s="63" t="str">
        <f>+'HT-473A Void'!$F$5</f>
        <v>Emerg Gen Infrastructure at NY &amp; NJ Ventilation Bldgs</v>
      </c>
      <c r="F177" s="64">
        <f>+'HT-473A Void'!$F$6</f>
        <v>42496</v>
      </c>
      <c r="G177" s="65" t="str">
        <f>+'HT-473A Void'!$G$7</f>
        <v>Public</v>
      </c>
      <c r="H177" s="27"/>
      <c r="I177" s="27"/>
      <c r="J177" s="27"/>
      <c r="K177" s="26"/>
      <c r="L177" s="11"/>
      <c r="M177" s="15">
        <f>+'HT-473A Void'!$H$12</f>
        <v>9</v>
      </c>
      <c r="N177" s="35" t="s">
        <v>226</v>
      </c>
      <c r="O177" s="15">
        <v>2</v>
      </c>
      <c r="P177" s="35" t="s">
        <v>457</v>
      </c>
      <c r="Q177" s="15"/>
      <c r="R177" s="24" t="s">
        <v>690</v>
      </c>
      <c r="S177" s="62" t="str">
        <f>+'GWB-244.246'!$J$4</f>
        <v>Reddy Gunda</v>
      </c>
      <c r="T177" s="15"/>
      <c r="U177" s="15"/>
      <c r="V177" s="54">
        <f t="shared" si="13"/>
        <v>0</v>
      </c>
      <c r="W177" s="54">
        <f t="shared" si="14"/>
        <v>0</v>
      </c>
      <c r="X177" s="54">
        <f t="shared" si="15"/>
        <v>0</v>
      </c>
    </row>
    <row r="178" spans="3:24" x14ac:dyDescent="0.25">
      <c r="C178" s="39">
        <v>2016</v>
      </c>
      <c r="D178" s="62" t="str">
        <f>+'LT-924.014A'!$F$4</f>
        <v>LT-924.014A</v>
      </c>
      <c r="E178" s="63" t="str">
        <f>+'LT-924.014A'!$F$5</f>
        <v>Water Line Leak Repairs</v>
      </c>
      <c r="F178" s="64">
        <f>+'LT-924.014A'!$F$6</f>
        <v>42496</v>
      </c>
      <c r="G178" s="65" t="str">
        <f>+'LT-924.014A'!$G$7</f>
        <v>Public</v>
      </c>
      <c r="H178" s="27">
        <f>+'LT-924.014A'!$F$7</f>
        <v>2000000</v>
      </c>
      <c r="I178" s="27">
        <f>+'LT-924.014A'!$F$8</f>
        <v>2059960</v>
      </c>
      <c r="J178" s="27">
        <v>2059960</v>
      </c>
      <c r="K178" s="26">
        <f>+'LT-924.014A'!$G$9</f>
        <v>2.998E-2</v>
      </c>
      <c r="L178" s="11" t="str">
        <f>+'LT-924.014A'!$F$11</f>
        <v>GOOD</v>
      </c>
      <c r="M178" s="15">
        <f>+'LT-924.014A'!$H$12</f>
        <v>2</v>
      </c>
      <c r="N178" s="35" t="s">
        <v>25</v>
      </c>
      <c r="O178" s="15">
        <v>2</v>
      </c>
      <c r="P178" s="35" t="s">
        <v>457</v>
      </c>
      <c r="Q178" s="15"/>
      <c r="R178" s="24"/>
      <c r="S178" s="62" t="str">
        <f>+'GWB-244.246'!$J$4</f>
        <v>Reddy Gunda</v>
      </c>
      <c r="T178" s="15"/>
      <c r="U178" s="15"/>
      <c r="V178" s="54">
        <f t="shared" si="13"/>
        <v>2000000</v>
      </c>
      <c r="W178" s="54">
        <f t="shared" si="14"/>
        <v>2059960</v>
      </c>
      <c r="X178" s="54">
        <f t="shared" si="15"/>
        <v>-59960</v>
      </c>
    </row>
    <row r="179" spans="3:24" x14ac:dyDescent="0.25">
      <c r="C179" s="39">
        <v>2016</v>
      </c>
      <c r="D179" s="62" t="str">
        <f>+'GWB-244.246'!$F$4</f>
        <v>GWB-244.246</v>
      </c>
      <c r="E179" s="63" t="str">
        <f>+'GWB-244.246'!$F$5</f>
        <v>Access Ramp Crash Barrier</v>
      </c>
      <c r="F179" s="64">
        <f>+'GWB-244.246'!$F$6</f>
        <v>42488</v>
      </c>
      <c r="G179" s="65" t="str">
        <f>+'GWB-244.246'!$G$7</f>
        <v>PQL</v>
      </c>
      <c r="H179" s="27">
        <f>+'GWB-244.246'!$F$7</f>
        <v>1700000</v>
      </c>
      <c r="I179" s="27">
        <f>+'GWB-244.246'!$F$8</f>
        <v>815000</v>
      </c>
      <c r="J179" s="27">
        <v>815000</v>
      </c>
      <c r="K179" s="26">
        <f>+'GWB-244.246'!$G$9</f>
        <v>-0.52058823529411768</v>
      </c>
      <c r="L179" s="11" t="str">
        <f>+'GWB-244.246'!$F$11</f>
        <v>FAIL</v>
      </c>
      <c r="M179" s="15">
        <f>+'GWB-244.246'!$H$12</f>
        <v>7</v>
      </c>
      <c r="N179" s="35" t="s">
        <v>25</v>
      </c>
      <c r="O179" s="15">
        <v>2</v>
      </c>
      <c r="P179" s="35" t="s">
        <v>457</v>
      </c>
      <c r="Q179" s="15"/>
      <c r="R179" s="24" t="s">
        <v>662</v>
      </c>
      <c r="S179" s="62" t="str">
        <f>+'GWB-244.246'!$J$4</f>
        <v>Reddy Gunda</v>
      </c>
      <c r="T179" s="15"/>
      <c r="U179" s="15"/>
      <c r="V179" s="54">
        <f t="shared" si="13"/>
        <v>1700000</v>
      </c>
      <c r="W179" s="54">
        <f t="shared" si="14"/>
        <v>815000</v>
      </c>
      <c r="X179" s="54">
        <f t="shared" si="15"/>
        <v>885000</v>
      </c>
    </row>
    <row r="180" spans="3:24" x14ac:dyDescent="0.25">
      <c r="C180" s="39">
        <v>2016</v>
      </c>
      <c r="D180" s="62" t="str">
        <f>+'HT-224.117'!$F$4</f>
        <v>HT-224.117</v>
      </c>
      <c r="E180" s="63" t="str">
        <f>+'HT-224.117'!$F$5</f>
        <v>Waterside Buffer Zone Protection</v>
      </c>
      <c r="F180" s="64">
        <f>+'HT-224.117'!$F$6</f>
        <v>42486</v>
      </c>
      <c r="G180" s="65" t="str">
        <f>+'HT-224.117'!$G$7</f>
        <v>Public</v>
      </c>
      <c r="H180" s="27">
        <f>+'HT-224.117'!$F$7</f>
        <v>600000</v>
      </c>
      <c r="I180" s="27">
        <f>+'HT-224.117'!$F$8</f>
        <v>675000</v>
      </c>
      <c r="J180" s="27">
        <v>675000</v>
      </c>
      <c r="K180" s="26">
        <f>+'HT-224.117'!$G$9</f>
        <v>0.125</v>
      </c>
      <c r="L180" s="11" t="str">
        <f>+'HT-224.117'!$F$11</f>
        <v>FAIL</v>
      </c>
      <c r="M180" s="15">
        <f>+'HT-224.117'!$H$12</f>
        <v>3</v>
      </c>
      <c r="N180" s="35" t="s">
        <v>93</v>
      </c>
      <c r="O180" s="15">
        <v>2</v>
      </c>
      <c r="P180" s="35" t="s">
        <v>457</v>
      </c>
      <c r="Q180" s="15"/>
      <c r="R180" s="24"/>
      <c r="S180" s="62" t="str">
        <f>+'HT-224.117'!$J$4</f>
        <v>Nathan Demaisip</v>
      </c>
      <c r="T180" s="15"/>
      <c r="U180" s="15"/>
      <c r="V180" s="54">
        <f t="shared" si="13"/>
        <v>600000</v>
      </c>
      <c r="W180" s="54">
        <f t="shared" si="14"/>
        <v>675000</v>
      </c>
      <c r="X180" s="54">
        <f t="shared" si="15"/>
        <v>-75000</v>
      </c>
    </row>
    <row r="181" spans="3:24" x14ac:dyDescent="0.25">
      <c r="C181" s="39">
        <v>2016</v>
      </c>
      <c r="D181" s="15" t="str">
        <f>+'GWB-244.150'!$F$4</f>
        <v>GWB-244.150</v>
      </c>
      <c r="E181" s="24" t="str">
        <f>+'GWB-244.150'!$F$5</f>
        <v>GWB - Replacement of PIP Helix, et. al.</v>
      </c>
      <c r="F181" s="25">
        <f>+'GWB-244.150'!$F$6</f>
        <v>42411</v>
      </c>
      <c r="G181" s="46" t="str">
        <f>+'GWB-244.150'!$G$7</f>
        <v>Public</v>
      </c>
      <c r="H181" s="27">
        <f>+'GWB-244.150'!$F$7</f>
        <v>69865000</v>
      </c>
      <c r="I181" s="27">
        <f>+'GWB-244.150'!$F$8</f>
        <v>57000000</v>
      </c>
      <c r="J181" s="27"/>
      <c r="K181" s="26">
        <f>+'GWB-244.150'!$G$9</f>
        <v>-0.18414084305446218</v>
      </c>
      <c r="L181" s="11" t="str">
        <f>+'GWB-244.150'!$F$11</f>
        <v>GOOD</v>
      </c>
      <c r="M181" s="15">
        <f>+'GWB-244.150'!$H$12</f>
        <v>11</v>
      </c>
      <c r="N181" s="35" t="s">
        <v>25</v>
      </c>
      <c r="O181" s="15">
        <v>1</v>
      </c>
      <c r="P181" s="35" t="s">
        <v>457</v>
      </c>
      <c r="Q181" s="15"/>
      <c r="R181" s="24"/>
      <c r="S181" s="15" t="str">
        <f>+'GWB-244.150'!$J$4</f>
        <v>Reddy Gunda and Henry Yu</v>
      </c>
      <c r="T181" s="15"/>
      <c r="U181" s="15"/>
      <c r="V181" s="54">
        <f>+H181</f>
        <v>69865000</v>
      </c>
      <c r="W181" s="54">
        <f>+I181</f>
        <v>57000000</v>
      </c>
      <c r="X181" s="54">
        <f>+V181-W181</f>
        <v>12865000</v>
      </c>
    </row>
    <row r="182" spans="3:24" x14ac:dyDescent="0.25">
      <c r="C182" s="39"/>
    </row>
    <row r="183" spans="3:24" x14ac:dyDescent="0.25">
      <c r="C183" s="39"/>
    </row>
    <row r="184" spans="3:24" x14ac:dyDescent="0.25">
      <c r="C184" s="39"/>
    </row>
    <row r="185" spans="3:24" x14ac:dyDescent="0.25">
      <c r="C185" s="39"/>
    </row>
    <row r="186" spans="3:24" x14ac:dyDescent="0.25">
      <c r="C186" s="39"/>
    </row>
    <row r="187" spans="3:24" x14ac:dyDescent="0.25">
      <c r="C187" s="39"/>
    </row>
    <row r="188" spans="3:24" x14ac:dyDescent="0.25">
      <c r="C188" s="39"/>
    </row>
    <row r="189" spans="3:24" x14ac:dyDescent="0.25">
      <c r="C189" s="39"/>
    </row>
    <row r="190" spans="3:24" x14ac:dyDescent="0.25">
      <c r="C190" s="39">
        <v>2016</v>
      </c>
      <c r="D190" s="62" t="str">
        <f>+'EWR-924.288'!$F$4</f>
        <v>EWR-924.288</v>
      </c>
      <c r="E190" s="63" t="str">
        <f>+'EWR-924.288'!$F$5</f>
        <v>Fuel Farm Roadway Drainage Improvements</v>
      </c>
      <c r="F190" s="64">
        <f>+'EWR-924.288'!$F$6</f>
        <v>42725</v>
      </c>
      <c r="G190" s="65" t="str">
        <f>+'EWR-924.288'!$G$7</f>
        <v>MWBE</v>
      </c>
      <c r="H190" s="27">
        <f>+'EWR-924.288'!$F$7</f>
        <v>600000</v>
      </c>
      <c r="I190" s="27">
        <f>+'EWR-924.288'!$F$8</f>
        <v>421111</v>
      </c>
      <c r="J190" s="27"/>
      <c r="K190" s="26">
        <f>+'EWR-924.288'!$G$9</f>
        <v>-0.29814833333333335</v>
      </c>
      <c r="L190" s="11" t="str">
        <f>+'EWR-924.288'!$F$11</f>
        <v>GOOD</v>
      </c>
      <c r="M190" s="15">
        <f>+'EWR-924.288'!$H$12</f>
        <v>8</v>
      </c>
      <c r="N190" s="35" t="s">
        <v>25</v>
      </c>
      <c r="O190" s="15">
        <v>4</v>
      </c>
      <c r="P190" s="35" t="s">
        <v>458</v>
      </c>
      <c r="Q190" s="15"/>
      <c r="R190" s="24"/>
      <c r="S190" s="62" t="str">
        <f>+'EWR-924.288'!$J$4</f>
        <v>Henry Yu</v>
      </c>
      <c r="T190" s="15"/>
      <c r="U190" s="15"/>
      <c r="V190" s="54">
        <f t="shared" ref="V190:V202" si="16">+H190</f>
        <v>600000</v>
      </c>
      <c r="W190" s="54">
        <f t="shared" ref="W190:W202" si="17">+I190</f>
        <v>421111</v>
      </c>
      <c r="X190" s="54">
        <f t="shared" ref="X190:X202" si="18">+V190-W190</f>
        <v>178889</v>
      </c>
    </row>
    <row r="191" spans="3:24" x14ac:dyDescent="0.25">
      <c r="C191" s="39">
        <v>2016</v>
      </c>
      <c r="D191" s="62" t="str">
        <f>+'LGA-124.236'!$F$4</f>
        <v>LGA-124.236</v>
      </c>
      <c r="E191" s="63" t="str">
        <f>+'LGA-124.236'!$F$5</f>
        <v>Wetland Mitigation at Westchester Creek</v>
      </c>
      <c r="F191" s="64">
        <f>+'LGA-124.236'!$F$6</f>
        <v>42712</v>
      </c>
      <c r="G191" s="65" t="str">
        <f>+'LGA-124.236'!$G$7</f>
        <v>Public</v>
      </c>
      <c r="H191" s="27">
        <f>+'LGA-124.236'!$F$7</f>
        <v>2170000</v>
      </c>
      <c r="I191" s="27">
        <f>+'LGA-124.236'!$F$8</f>
        <v>1903225</v>
      </c>
      <c r="J191" s="27"/>
      <c r="K191" s="26">
        <f>+'LGA-124.236'!$G$9</f>
        <v>-0.12293778801843318</v>
      </c>
      <c r="L191" s="11" t="str">
        <f>+'LGA-124.236'!$F$11</f>
        <v>GOOD</v>
      </c>
      <c r="M191" s="15">
        <f>+'LGA-124.236'!$H$12</f>
        <v>5</v>
      </c>
      <c r="N191" s="35" t="s">
        <v>93</v>
      </c>
      <c r="O191" s="15">
        <v>4</v>
      </c>
      <c r="P191" s="35" t="s">
        <v>458</v>
      </c>
      <c r="Q191" s="15"/>
      <c r="R191" s="24"/>
      <c r="S191" s="62" t="str">
        <f>+'LGA-124.236'!$J$4</f>
        <v>Henry Yu</v>
      </c>
      <c r="T191" s="15"/>
      <c r="U191" s="15"/>
      <c r="V191" s="54">
        <f t="shared" si="16"/>
        <v>2170000</v>
      </c>
      <c r="W191" s="54">
        <f t="shared" si="17"/>
        <v>1903225</v>
      </c>
      <c r="X191" s="54">
        <f t="shared" si="18"/>
        <v>266775</v>
      </c>
    </row>
    <row r="192" spans="3:24" x14ac:dyDescent="0.25">
      <c r="C192" s="39">
        <v>2016</v>
      </c>
      <c r="D192" s="62" t="str">
        <f>+'SWF-017'!$F$4</f>
        <v>SWF-017</v>
      </c>
      <c r="E192" s="63" t="str">
        <f>+'SWF-017'!$F$5</f>
        <v>Asphalt and Concrete Repairs via Work Order</v>
      </c>
      <c r="F192" s="64">
        <f>+'SWF-017'!$F$6</f>
        <v>42703</v>
      </c>
      <c r="G192" s="65" t="str">
        <f>+'SWF-017'!$G$7</f>
        <v>Public</v>
      </c>
      <c r="H192" s="27">
        <f>+'SWF-017'!$F$7</f>
        <v>1763000</v>
      </c>
      <c r="I192" s="27">
        <f>+'SWF-017'!$F$8</f>
        <v>2233850</v>
      </c>
      <c r="J192" s="27"/>
      <c r="K192" s="26">
        <f>+'SWF-017'!$G$9</f>
        <v>0.26707317073170733</v>
      </c>
      <c r="L192" s="11" t="str">
        <f>+'SWF-017'!$F$11</f>
        <v>FAIL</v>
      </c>
      <c r="M192" s="15">
        <f>+'SWF-017'!$H$12</f>
        <v>2</v>
      </c>
      <c r="N192" s="35" t="s">
        <v>93</v>
      </c>
      <c r="O192" s="15">
        <v>4</v>
      </c>
      <c r="P192" s="35" t="s">
        <v>458</v>
      </c>
      <c r="Q192" s="15"/>
      <c r="R192" s="24"/>
      <c r="S192" s="62" t="str">
        <f>+'SWF-017'!$J$4</f>
        <v>Joe Lucin</v>
      </c>
      <c r="T192" s="15"/>
      <c r="U192" s="15"/>
      <c r="V192" s="54">
        <f t="shared" si="16"/>
        <v>1763000</v>
      </c>
      <c r="W192" s="54">
        <f t="shared" si="17"/>
        <v>2233850</v>
      </c>
      <c r="X192" s="54">
        <f t="shared" si="18"/>
        <v>-470850</v>
      </c>
    </row>
    <row r="193" spans="3:24" x14ac:dyDescent="0.25">
      <c r="C193" s="39">
        <v>2016</v>
      </c>
      <c r="D193" s="62" t="str">
        <f>+'JFK-144.019'!$F$4</f>
        <v>JFK-144.019</v>
      </c>
      <c r="E193" s="63" t="str">
        <f>+'JFK-144.019'!$F$5</f>
        <v>Rehab Runway4R-22L and Associated Taxiways</v>
      </c>
      <c r="F193" s="64">
        <f>+'JFK-144.019'!$F$6</f>
        <v>42626</v>
      </c>
      <c r="G193" s="65" t="str">
        <f>+'JFK-144.019'!$G$7</f>
        <v>PQL</v>
      </c>
      <c r="H193" s="27">
        <f>+'JFK-144.019'!$F$7</f>
        <v>73640000</v>
      </c>
      <c r="I193" s="27">
        <f>+'JFK-144.019'!$F$8</f>
        <v>68462700</v>
      </c>
      <c r="J193" s="27"/>
      <c r="K193" s="26">
        <f>+'JFK-144.019'!$G$9</f>
        <v>-7.0305540467137426E-2</v>
      </c>
      <c r="L193" s="11" t="str">
        <f>+'JFK-144.019'!$F$11</f>
        <v>GOOD</v>
      </c>
      <c r="M193" s="15">
        <f>+'JFK-144.019'!$H$12</f>
        <v>2</v>
      </c>
      <c r="N193" s="35" t="s">
        <v>93</v>
      </c>
      <c r="O193" s="15">
        <v>3</v>
      </c>
      <c r="P193" s="35" t="s">
        <v>458</v>
      </c>
      <c r="Q193" s="15"/>
      <c r="R193" s="24"/>
      <c r="S193" s="62" t="str">
        <f>+'JFK-144.019'!$J$4</f>
        <v>Wen Chang</v>
      </c>
      <c r="T193" s="15"/>
      <c r="U193" s="15"/>
      <c r="V193" s="54">
        <f t="shared" si="16"/>
        <v>73640000</v>
      </c>
      <c r="W193" s="54">
        <f t="shared" si="17"/>
        <v>68462700</v>
      </c>
      <c r="X193" s="54">
        <f t="shared" si="18"/>
        <v>5177300</v>
      </c>
    </row>
    <row r="194" spans="3:24" x14ac:dyDescent="0.25">
      <c r="C194" s="39">
        <v>2016</v>
      </c>
      <c r="D194" s="62" t="str">
        <f>+'EWR-924.366'!$F$4</f>
        <v>EWR-924.366</v>
      </c>
      <c r="E194" s="63" t="str">
        <f>+'EWR-924.366'!$F$5</f>
        <v>Bridge N5 Flooding Mitigation</v>
      </c>
      <c r="F194" s="64">
        <f>+'EWR-924.366'!$F$6</f>
        <v>42606</v>
      </c>
      <c r="G194" s="65" t="str">
        <f>+'EWR-924.366'!$G$7</f>
        <v>MWBE</v>
      </c>
      <c r="H194" s="27">
        <f>+'EWR-924.366'!$F$7</f>
        <v>230000</v>
      </c>
      <c r="I194" s="27">
        <f>+'EWR-924.366'!$F$8</f>
        <v>274450</v>
      </c>
      <c r="J194" s="27"/>
      <c r="K194" s="26">
        <f>+'EWR-924.366'!$G$9</f>
        <v>0.1932608695652174</v>
      </c>
      <c r="L194" s="11" t="str">
        <f>+'EWR-924.366'!$F$11</f>
        <v>FAIL</v>
      </c>
      <c r="M194" s="15">
        <f>+'EWR-924.366'!$H$12</f>
        <v>3</v>
      </c>
      <c r="N194" s="35" t="s">
        <v>25</v>
      </c>
      <c r="O194" s="15">
        <v>3</v>
      </c>
      <c r="P194" s="35" t="s">
        <v>458</v>
      </c>
      <c r="Q194" s="15"/>
      <c r="R194" s="24"/>
      <c r="S194" s="62" t="str">
        <f>+'EWR-924.366'!$J$4</f>
        <v>Henry Yu</v>
      </c>
      <c r="T194" s="15"/>
      <c r="U194" s="15"/>
      <c r="V194" s="54">
        <f t="shared" si="16"/>
        <v>230000</v>
      </c>
      <c r="W194" s="54">
        <f t="shared" si="17"/>
        <v>274450</v>
      </c>
      <c r="X194" s="54">
        <f t="shared" si="18"/>
        <v>-44450</v>
      </c>
    </row>
    <row r="195" spans="3:24" x14ac:dyDescent="0.25">
      <c r="C195" s="39">
        <v>2016</v>
      </c>
      <c r="D195" s="62" t="str">
        <f>+'JFK-1064'!$F$4</f>
        <v>JFK-1064</v>
      </c>
      <c r="E195" s="63" t="str">
        <f>+'JFK-1064'!$F$5</f>
        <v>Bulk Fuel Farm West End &amp; Satellite Remediation Upgrades</v>
      </c>
      <c r="F195" s="64">
        <f>+'JFK-1064'!$F$6</f>
        <v>42584</v>
      </c>
      <c r="G195" s="65" t="str">
        <f>+'JFK-1064'!$G$7</f>
        <v>Public</v>
      </c>
      <c r="H195" s="27">
        <f>+'JFK-1064'!$F$7</f>
        <v>1750000</v>
      </c>
      <c r="I195" s="27">
        <f>+'JFK-1064'!$F$8</f>
        <v>1930000</v>
      </c>
      <c r="J195" s="27">
        <v>1930000</v>
      </c>
      <c r="K195" s="26">
        <f>+'JFK-1064'!$G$9</f>
        <v>0.10285714285714286</v>
      </c>
      <c r="L195" s="11" t="str">
        <f>+'JFK-1064'!$F$11</f>
        <v>GOOD</v>
      </c>
      <c r="M195" s="15">
        <f>+'JFK-1064'!$H$12</f>
        <v>9</v>
      </c>
      <c r="N195" s="35" t="s">
        <v>93</v>
      </c>
      <c r="O195" s="15">
        <v>3</v>
      </c>
      <c r="P195" s="35" t="s">
        <v>458</v>
      </c>
      <c r="Q195" s="15"/>
      <c r="R195" s="24"/>
      <c r="S195" s="62" t="str">
        <f>+'JFK-1064'!$J$4</f>
        <v>Wen Chang</v>
      </c>
      <c r="T195" s="15"/>
      <c r="U195" s="15"/>
      <c r="V195" s="54">
        <f t="shared" si="16"/>
        <v>1750000</v>
      </c>
      <c r="W195" s="54">
        <f t="shared" si="17"/>
        <v>1930000</v>
      </c>
      <c r="X195" s="54">
        <f t="shared" si="18"/>
        <v>-180000</v>
      </c>
    </row>
    <row r="196" spans="3:24" x14ac:dyDescent="0.25">
      <c r="C196" s="39">
        <v>2016</v>
      </c>
      <c r="D196" s="62" t="str">
        <f>+'LGA-124.086'!$F$4</f>
        <v>LGA-124.086</v>
      </c>
      <c r="E196" s="63" t="str">
        <f>+'LGA-124.086'!$F$5</f>
        <v>Rehab of Runway 22 Deck Wearing Course</v>
      </c>
      <c r="F196" s="64">
        <f>+'LGA-124.086'!$F$6</f>
        <v>42514</v>
      </c>
      <c r="G196" s="65" t="str">
        <f>+'LGA-124.086'!$G$7</f>
        <v>PQL</v>
      </c>
      <c r="H196" s="27">
        <f>+'LGA-124.086'!$F$7</f>
        <v>1930000</v>
      </c>
      <c r="I196" s="27">
        <f>+'LGA-124.086'!$F$8</f>
        <v>2277000</v>
      </c>
      <c r="J196" s="27"/>
      <c r="K196" s="26">
        <f>+'LGA-124.086'!$G$9</f>
        <v>0.17979274611398963</v>
      </c>
      <c r="L196" s="11" t="str">
        <f>+'LGA-124.086'!$F$11</f>
        <v>FAIL</v>
      </c>
      <c r="M196" s="15">
        <f>+'LGA-124.086'!$H$12</f>
        <v>4</v>
      </c>
      <c r="N196" s="35" t="s">
        <v>93</v>
      </c>
      <c r="O196" s="15">
        <v>2</v>
      </c>
      <c r="P196" s="35" t="s">
        <v>458</v>
      </c>
      <c r="Q196" s="15"/>
      <c r="R196" s="24" t="s">
        <v>667</v>
      </c>
      <c r="S196" s="62" t="str">
        <f>+'LGA-124.086'!$J$4</f>
        <v>Lucita Mendoza and Nathan Demaisip</v>
      </c>
      <c r="T196" s="15"/>
      <c r="U196" s="15"/>
      <c r="V196" s="54">
        <f t="shared" si="16"/>
        <v>1930000</v>
      </c>
      <c r="W196" s="54">
        <f t="shared" si="17"/>
        <v>2277000</v>
      </c>
      <c r="X196" s="54">
        <f t="shared" si="18"/>
        <v>-347000</v>
      </c>
    </row>
    <row r="197" spans="3:24" x14ac:dyDescent="0.25">
      <c r="C197" s="39">
        <v>2016</v>
      </c>
      <c r="D197" s="62" t="str">
        <f>+'EWR-924.281'!$F$4</f>
        <v>EWR-924.281</v>
      </c>
      <c r="E197" s="63" t="str">
        <f>+'EWR-924.281'!$F$5</f>
        <v>Peripheral Ditch Tide Gate Valve Repairs</v>
      </c>
      <c r="F197" s="64">
        <f>+'EWR-924.281'!$F$6</f>
        <v>42479</v>
      </c>
      <c r="G197" s="65" t="str">
        <f>+'EWR-924.281'!$G$7</f>
        <v>Public</v>
      </c>
      <c r="H197" s="27">
        <f>+'EWR-924.281'!$F$7</f>
        <v>670000</v>
      </c>
      <c r="I197" s="27">
        <f>+'EWR-924.281'!$F$8</f>
        <v>897950</v>
      </c>
      <c r="J197" s="27"/>
      <c r="K197" s="26">
        <f>+'EWR-924.281'!$G$9</f>
        <v>0.34022388059701492</v>
      </c>
      <c r="L197" s="11" t="str">
        <f>+'EWR-924.281'!$F$11</f>
        <v>FAIL</v>
      </c>
      <c r="M197" s="15">
        <f>+'EWR-924.281'!$H$12</f>
        <v>5</v>
      </c>
      <c r="N197" s="35" t="s">
        <v>25</v>
      </c>
      <c r="O197" s="15">
        <v>2</v>
      </c>
      <c r="P197" s="35" t="s">
        <v>458</v>
      </c>
      <c r="Q197" s="15"/>
      <c r="R197" s="24"/>
      <c r="S197" s="62" t="str">
        <f>+'EWR-924.281'!$J$4</f>
        <v>Henry Yu</v>
      </c>
      <c r="T197" s="15"/>
      <c r="U197" s="15"/>
      <c r="V197" s="54">
        <f t="shared" si="16"/>
        <v>670000</v>
      </c>
      <c r="W197" s="54">
        <f t="shared" si="17"/>
        <v>897950</v>
      </c>
      <c r="X197" s="54">
        <f t="shared" si="18"/>
        <v>-227950</v>
      </c>
    </row>
    <row r="198" spans="3:24" x14ac:dyDescent="0.25">
      <c r="C198" s="39">
        <v>2016</v>
      </c>
      <c r="D198" s="62" t="str">
        <f>+'SWF-164.054'!$F$4</f>
        <v>SWF-164.054</v>
      </c>
      <c r="E198" s="63" t="str">
        <f>+'SWF-164.054'!$F$5</f>
        <v>Stewart Airport - Backflow Prevention and Sump Pumps</v>
      </c>
      <c r="F198" s="64">
        <f>+'SWF-164.054'!$F$6</f>
        <v>42465</v>
      </c>
      <c r="G198" s="65" t="str">
        <f>+'SWF-164.054'!$G$7</f>
        <v>Public</v>
      </c>
      <c r="H198" s="27">
        <f>+'SWF-164.054'!$F$7</f>
        <v>1300000</v>
      </c>
      <c r="I198" s="27">
        <f>+'SWF-164.054'!$F$8</f>
        <v>1334000</v>
      </c>
      <c r="J198" s="27"/>
      <c r="K198" s="26">
        <f>+'SWF-164.054'!$G$9</f>
        <v>2.6153846153846153E-2</v>
      </c>
      <c r="L198" s="11" t="str">
        <f>+'SWF-164.054'!$F$11</f>
        <v>GOOD</v>
      </c>
      <c r="M198" s="15">
        <f>+'SWF-164.054'!$H$12</f>
        <v>6</v>
      </c>
      <c r="N198" s="35" t="s">
        <v>93</v>
      </c>
      <c r="O198" s="15">
        <v>2</v>
      </c>
      <c r="P198" s="35" t="s">
        <v>458</v>
      </c>
      <c r="Q198" s="15"/>
      <c r="R198" s="24"/>
      <c r="S198" s="62" t="str">
        <f>+'SWF-164.054'!$J$4</f>
        <v>Lucita Mendoza</v>
      </c>
      <c r="T198" s="15"/>
      <c r="U198" s="15"/>
      <c r="V198" s="54">
        <f t="shared" si="16"/>
        <v>1300000</v>
      </c>
      <c r="W198" s="54">
        <f t="shared" si="17"/>
        <v>1334000</v>
      </c>
      <c r="X198" s="54">
        <f t="shared" si="18"/>
        <v>-34000</v>
      </c>
    </row>
    <row r="199" spans="3:24" x14ac:dyDescent="0.25">
      <c r="C199" s="39">
        <v>2016</v>
      </c>
      <c r="D199" s="15" t="str">
        <f>+'EWR-154.197'!$F$4</f>
        <v>EWR-154.197</v>
      </c>
      <c r="E199" s="24" t="str">
        <f>+'EWR-154.197'!$F$5</f>
        <v>Newark - Infrastructure Renewal, Electrical</v>
      </c>
      <c r="F199" s="25">
        <f>+'EWR-154.197'!$F$6</f>
        <v>42438</v>
      </c>
      <c r="G199" s="46" t="str">
        <f>+'EWR-154.197'!$G$7</f>
        <v>Public</v>
      </c>
      <c r="H199" s="27">
        <f>+'EWR-154.197'!$F$7</f>
        <v>25210000</v>
      </c>
      <c r="I199" s="27">
        <f>+'EWR-154.197'!$F$8</f>
        <v>17827873</v>
      </c>
      <c r="J199" s="27"/>
      <c r="K199" s="26">
        <f>+'EWR-154.197'!$G$9</f>
        <v>-0.29282534708449026</v>
      </c>
      <c r="L199" s="11" t="str">
        <f>+'EWR-154.197'!$F$11</f>
        <v>FAIL</v>
      </c>
      <c r="M199" s="15">
        <f>+'EWR-154.197'!$H$12</f>
        <v>13</v>
      </c>
      <c r="N199" s="35" t="s">
        <v>25</v>
      </c>
      <c r="O199" s="15">
        <v>1</v>
      </c>
      <c r="P199" s="35" t="s">
        <v>458</v>
      </c>
      <c r="Q199" s="15"/>
      <c r="R199" s="24"/>
      <c r="S199" s="15" t="str">
        <f>+'EWR-154.197'!$J$4</f>
        <v>Nathan Demaisip</v>
      </c>
      <c r="T199" s="15"/>
      <c r="U199" s="15"/>
      <c r="V199" s="54">
        <f t="shared" si="16"/>
        <v>25210000</v>
      </c>
      <c r="W199" s="54">
        <f t="shared" si="17"/>
        <v>17827873</v>
      </c>
      <c r="X199" s="54">
        <f t="shared" si="18"/>
        <v>7382127</v>
      </c>
    </row>
    <row r="200" spans="3:24" x14ac:dyDescent="0.25">
      <c r="C200" s="39">
        <v>2016</v>
      </c>
      <c r="D200" s="15" t="str">
        <f>+'LGA-774.133B'!$F$4</f>
        <v>LGA-774.133B</v>
      </c>
      <c r="E200" s="24" t="str">
        <f>+'LGA-774.133B'!$F$5</f>
        <v>LGA - Emergency Storm Drainage Outfalls</v>
      </c>
      <c r="F200" s="25">
        <f>+'LGA-774.133B'!$F$6</f>
        <v>42418</v>
      </c>
      <c r="G200" s="46" t="str">
        <f>+'LGA-774.133B'!$G$7</f>
        <v>Public</v>
      </c>
      <c r="H200" s="27">
        <f>+'LGA-774.133B'!$F$7</f>
        <v>3250000</v>
      </c>
      <c r="I200" s="27">
        <f>+'LGA-774.133B'!$F$8</f>
        <v>2849549</v>
      </c>
      <c r="J200" s="27"/>
      <c r="K200" s="26">
        <f>+'LGA-774.133B'!$G$9</f>
        <v>-0.1232156923076923</v>
      </c>
      <c r="L200" s="11" t="str">
        <f>+'GWB-244.150'!$F$11</f>
        <v>GOOD</v>
      </c>
      <c r="M200" s="15">
        <f>+'LGA-774.133B'!$H$12</f>
        <v>12</v>
      </c>
      <c r="N200" s="35" t="s">
        <v>93</v>
      </c>
      <c r="O200" s="15">
        <v>1</v>
      </c>
      <c r="P200" s="35" t="s">
        <v>458</v>
      </c>
      <c r="Q200" s="15"/>
      <c r="R200" s="24"/>
      <c r="S200" s="15" t="str">
        <f>+'LGA-774.133B'!$J$4</f>
        <v>Lucita Mendoza</v>
      </c>
      <c r="T200" s="15"/>
      <c r="U200" s="15"/>
      <c r="V200" s="54">
        <f t="shared" si="16"/>
        <v>3250000</v>
      </c>
      <c r="W200" s="54">
        <f t="shared" si="17"/>
        <v>2849549</v>
      </c>
      <c r="X200" s="54">
        <f t="shared" si="18"/>
        <v>400451</v>
      </c>
    </row>
    <row r="201" spans="3:24" x14ac:dyDescent="0.25">
      <c r="C201" s="39">
        <v>2016</v>
      </c>
      <c r="D201" s="15" t="str">
        <f>+'LGA-124.240'!$F$4</f>
        <v>LGA-124.240</v>
      </c>
      <c r="E201" s="24" t="str">
        <f>+'LGA-124.240'!$F$5</f>
        <v>LGA - Rehab Taxiway B between G and CY</v>
      </c>
      <c r="F201" s="25">
        <f>+'LGA-124.240'!$F$6</f>
        <v>42404</v>
      </c>
      <c r="G201" s="46" t="str">
        <f>+'LGA-124.240'!$G$7</f>
        <v>Public</v>
      </c>
      <c r="H201" s="27">
        <f>+'LGA-124.240'!$F$7</f>
        <v>4072000</v>
      </c>
      <c r="I201" s="27">
        <f>+'LGA-124.240'!$F$8</f>
        <v>2733000</v>
      </c>
      <c r="J201" s="27"/>
      <c r="K201" s="26">
        <f>+'LGA-124.240'!$G$9</f>
        <v>-0.3288310412573674</v>
      </c>
      <c r="L201" s="11" t="str">
        <f>+'LGA-124.240'!$F$11</f>
        <v>FAIL</v>
      </c>
      <c r="M201" s="15">
        <f>+'LGA-124.240'!$H$12</f>
        <v>3</v>
      </c>
      <c r="N201" s="35" t="s">
        <v>93</v>
      </c>
      <c r="O201" s="15">
        <v>1</v>
      </c>
      <c r="P201" s="35" t="s">
        <v>458</v>
      </c>
      <c r="Q201" s="15"/>
      <c r="R201" s="24"/>
      <c r="S201" s="15" t="str">
        <f>+'LGA-124.240'!$J$4</f>
        <v>Lucita Mendoza</v>
      </c>
      <c r="T201" s="15"/>
      <c r="U201" s="15"/>
      <c r="V201" s="54">
        <f t="shared" si="16"/>
        <v>4072000</v>
      </c>
      <c r="W201" s="54">
        <f t="shared" si="17"/>
        <v>2733000</v>
      </c>
      <c r="X201" s="54">
        <f t="shared" si="18"/>
        <v>1339000</v>
      </c>
    </row>
    <row r="202" spans="3:24" x14ac:dyDescent="0.25">
      <c r="C202" s="39">
        <v>2016</v>
      </c>
      <c r="D202" s="15" t="str">
        <f>+'LGA-103.014'!$F$4</f>
        <v>LGA-103.014</v>
      </c>
      <c r="E202" s="24" t="str">
        <f>+'LGA-103.014'!$F$5</f>
        <v>LGA - Pump Houses 2 and 3 Rehabilitation</v>
      </c>
      <c r="F202" s="25">
        <f>+'LGA-103.014'!$F$6</f>
        <v>42394</v>
      </c>
      <c r="G202" s="46" t="str">
        <f>+'LGA-103.014'!$G$7</f>
        <v>Public</v>
      </c>
      <c r="H202" s="27">
        <f>+'LGA-103.014'!$F$7</f>
        <v>2530000</v>
      </c>
      <c r="I202" s="27">
        <f>+'LGA-103.014'!$F$8</f>
        <v>1836000</v>
      </c>
      <c r="J202" s="27"/>
      <c r="K202" s="26">
        <f>+'LGA-103.014'!$G$9</f>
        <v>-0.27430830039525694</v>
      </c>
      <c r="L202" s="11" t="str">
        <f>+'LGA-103.014'!$F$11</f>
        <v>GOOD</v>
      </c>
      <c r="M202" s="15">
        <f>+'LGA-103.014'!$H$12</f>
        <v>7</v>
      </c>
      <c r="N202" s="35" t="s">
        <v>93</v>
      </c>
      <c r="O202" s="15">
        <v>1</v>
      </c>
      <c r="P202" s="35" t="s">
        <v>458</v>
      </c>
      <c r="Q202" s="15"/>
      <c r="R202" s="24"/>
      <c r="S202" s="15" t="str">
        <f>+'LGA-103.014'!$J$4</f>
        <v>Lucita Mendoza</v>
      </c>
      <c r="T202" s="15"/>
      <c r="U202" s="15"/>
      <c r="V202" s="54">
        <f t="shared" si="16"/>
        <v>2530000</v>
      </c>
      <c r="W202" s="54">
        <f t="shared" si="17"/>
        <v>1836000</v>
      </c>
      <c r="X202" s="54">
        <f t="shared" si="18"/>
        <v>694000</v>
      </c>
    </row>
    <row r="203" spans="3:24" x14ac:dyDescent="0.25">
      <c r="C203" s="39"/>
    </row>
    <row r="204" spans="3:24" x14ac:dyDescent="0.25">
      <c r="C204" s="39"/>
    </row>
    <row r="205" spans="3:24" x14ac:dyDescent="0.25">
      <c r="C205" s="39"/>
    </row>
    <row r="206" spans="3:24" x14ac:dyDescent="0.25">
      <c r="C206" s="39"/>
    </row>
    <row r="207" spans="3:24" x14ac:dyDescent="0.25">
      <c r="C207" s="39"/>
    </row>
    <row r="208" spans="3:24" x14ac:dyDescent="0.25">
      <c r="C208" s="39"/>
    </row>
    <row r="209" spans="3:28" x14ac:dyDescent="0.25">
      <c r="C209" s="39"/>
    </row>
    <row r="210" spans="3:28" x14ac:dyDescent="0.25">
      <c r="C210" s="39"/>
    </row>
    <row r="211" spans="3:28" x14ac:dyDescent="0.25">
      <c r="C211" s="39">
        <v>2016</v>
      </c>
      <c r="D211" s="62" t="str">
        <f>+'PN-654.551'!$F$4</f>
        <v>PN-654.551</v>
      </c>
      <c r="E211" s="63" t="str">
        <f>+'PN-654.551'!$F$5</f>
        <v>Tyler Street Pavement Rehab</v>
      </c>
      <c r="F211" s="64">
        <f>+'PN-654.551'!$F$6</f>
        <v>42719</v>
      </c>
      <c r="G211" s="65" t="str">
        <f>+'PN-654.551'!$G$7</f>
        <v>MWBE</v>
      </c>
      <c r="H211" s="27">
        <f>+'PN-654.551'!$F$7</f>
        <v>1460000</v>
      </c>
      <c r="I211" s="27">
        <f>+'PN-654.551'!$F$8</f>
        <v>1457020</v>
      </c>
      <c r="J211" s="27"/>
      <c r="K211" s="26">
        <f>+'PN-654.551'!$G$9</f>
        <v>-2.0410958904109591E-3</v>
      </c>
      <c r="L211" s="11" t="str">
        <f>+'PN-654.551'!$F$11</f>
        <v>GOOD</v>
      </c>
      <c r="M211" s="15">
        <f>+'PN-654.551'!$H$12</f>
        <v>7</v>
      </c>
      <c r="N211" s="35" t="s">
        <v>25</v>
      </c>
      <c r="O211" s="15">
        <v>4</v>
      </c>
      <c r="P211" s="35" t="s">
        <v>492</v>
      </c>
      <c r="Q211" s="15"/>
      <c r="R211" s="24"/>
      <c r="S211" s="62" t="str">
        <f>+'PN-654.551'!$J$4</f>
        <v>Ed Minall</v>
      </c>
      <c r="T211" s="15"/>
      <c r="U211" s="15"/>
      <c r="V211" s="54">
        <f t="shared" ref="V211:V220" si="19">+H211</f>
        <v>1460000</v>
      </c>
      <c r="W211" s="54">
        <f t="shared" ref="W211:W220" si="20">+I211</f>
        <v>1457020</v>
      </c>
      <c r="X211" s="54">
        <f t="shared" ref="X211:X220" si="21">+V211-W211</f>
        <v>2980</v>
      </c>
    </row>
    <row r="212" spans="3:28" x14ac:dyDescent="0.25">
      <c r="C212" s="39">
        <v>2016</v>
      </c>
      <c r="D212" s="62" t="str">
        <f>+'PJ-664.503'!$F$4</f>
        <v>PJ-664.503</v>
      </c>
      <c r="E212" s="63" t="str">
        <f>+'PJ-664.503'!$F$5</f>
        <v>Greenville Yard Phase 1</v>
      </c>
      <c r="F212" s="64">
        <f>+'PJ-664.503'!$F$6</f>
        <v>42718</v>
      </c>
      <c r="G212" s="65" t="str">
        <f>+'PJ-664.503'!$G$7</f>
        <v>Public</v>
      </c>
      <c r="H212" s="27">
        <f>+'PJ-664.503'!$F$7</f>
        <v>61900000</v>
      </c>
      <c r="I212" s="27">
        <f>+'PJ-664.503'!$F$8</f>
        <v>47681062</v>
      </c>
      <c r="J212" s="27"/>
      <c r="K212" s="26">
        <f>+'PJ-664.503'!$G$9</f>
        <v>-0.22970820678513731</v>
      </c>
      <c r="L212" s="11" t="str">
        <f>+'PJ-664.503'!$F$11</f>
        <v>GOOD</v>
      </c>
      <c r="M212" s="15">
        <f>+'PJ-664.503'!$H$12</f>
        <v>7</v>
      </c>
      <c r="N212" s="35" t="s">
        <v>25</v>
      </c>
      <c r="O212" s="15">
        <v>4</v>
      </c>
      <c r="P212" s="35" t="s">
        <v>492</v>
      </c>
      <c r="Q212" s="15"/>
      <c r="R212" s="24"/>
      <c r="S212" s="62" t="str">
        <f>+'PJ-664.503'!$J$4</f>
        <v>Wen Chang</v>
      </c>
      <c r="T212" s="15"/>
      <c r="U212" s="15"/>
      <c r="V212" s="54">
        <f t="shared" si="19"/>
        <v>61900000</v>
      </c>
      <c r="W212" s="54">
        <f t="shared" si="20"/>
        <v>47681062</v>
      </c>
      <c r="X212" s="54">
        <f t="shared" si="21"/>
        <v>14218938</v>
      </c>
    </row>
    <row r="213" spans="3:28" x14ac:dyDescent="0.25">
      <c r="C213" s="39">
        <v>2016</v>
      </c>
      <c r="D213" s="62" t="str">
        <f>+'PJ-664.527'!$F$4</f>
        <v>PJ-664.527</v>
      </c>
      <c r="E213" s="63" t="str">
        <f>+'PJ-664.527'!$F$5</f>
        <v>Bldg 108 Switchgear Replacement</v>
      </c>
      <c r="F213" s="64">
        <f>+'PJ-664.527'!$F$6</f>
        <v>42648</v>
      </c>
      <c r="G213" s="65" t="str">
        <f>+'PJ-664.527'!$G$7</f>
        <v>Public</v>
      </c>
      <c r="H213" s="27">
        <f>+'PJ-664.527'!$F$7</f>
        <v>3120000</v>
      </c>
      <c r="I213" s="27">
        <f>+'PJ-664.527'!$F$8</f>
        <v>2147100</v>
      </c>
      <c r="J213" s="27"/>
      <c r="K213" s="26">
        <f>+'PJ-664.527'!$G$9</f>
        <v>-0.31182692307692306</v>
      </c>
      <c r="L213" s="11" t="str">
        <f>+'PJ-664.527'!$F$11</f>
        <v>GOOD</v>
      </c>
      <c r="M213" s="15">
        <f>+'PJ-664.527'!$H$12</f>
        <v>7</v>
      </c>
      <c r="N213" s="35" t="s">
        <v>25</v>
      </c>
      <c r="O213" s="15">
        <v>4</v>
      </c>
      <c r="P213" s="35" t="s">
        <v>492</v>
      </c>
      <c r="Q213" s="15"/>
      <c r="R213" s="24"/>
      <c r="S213" s="62" t="str">
        <f>+'PJ-664.527'!$J$4</f>
        <v>Ramani Sundaram and Ed Minall</v>
      </c>
      <c r="T213" s="15"/>
      <c r="U213" s="15"/>
      <c r="V213" s="54">
        <f t="shared" si="19"/>
        <v>3120000</v>
      </c>
      <c r="W213" s="54">
        <f t="shared" si="20"/>
        <v>2147100</v>
      </c>
      <c r="X213" s="54">
        <f t="shared" si="21"/>
        <v>972900</v>
      </c>
    </row>
    <row r="214" spans="3:28" x14ac:dyDescent="0.25">
      <c r="C214" s="39">
        <v>2016</v>
      </c>
      <c r="D214" s="62" t="str">
        <f>+'PN-654.042A'!$F$4</f>
        <v>PN-654.042A</v>
      </c>
      <c r="E214" s="63" t="str">
        <f>+'PN-654.042A'!$F$5</f>
        <v>Demo Buildings 269 and 270</v>
      </c>
      <c r="F214" s="64">
        <f>+'PN-654.042A'!$F$6</f>
        <v>42612</v>
      </c>
      <c r="G214" s="65" t="str">
        <f>+'PN-654.042A'!$G$7</f>
        <v>Public</v>
      </c>
      <c r="H214" s="27">
        <f>+'PN-654.042A'!$F$7</f>
        <v>2000000</v>
      </c>
      <c r="I214" s="27">
        <f>+'PN-654.042A'!$F$8</f>
        <v>1460000</v>
      </c>
      <c r="J214" s="27"/>
      <c r="K214" s="26">
        <f>+'PN-654.042A'!$G$9</f>
        <v>-0.27</v>
      </c>
      <c r="L214" s="11" t="str">
        <f>+'PN-654.042A'!$F$11</f>
        <v>GOOD</v>
      </c>
      <c r="M214" s="15">
        <f>+'PN-654.042A'!$H$12</f>
        <v>10</v>
      </c>
      <c r="N214" s="35" t="s">
        <v>25</v>
      </c>
      <c r="O214" s="15">
        <v>3</v>
      </c>
      <c r="P214" s="35" t="s">
        <v>492</v>
      </c>
      <c r="Q214" s="15"/>
      <c r="R214" s="24"/>
      <c r="S214" s="62" t="str">
        <f>+'PN-654.042A'!$J$4</f>
        <v>Wen Chang</v>
      </c>
      <c r="T214" s="15"/>
      <c r="U214" s="15"/>
      <c r="V214" s="54">
        <f t="shared" si="19"/>
        <v>2000000</v>
      </c>
      <c r="W214" s="54">
        <f t="shared" si="20"/>
        <v>1460000</v>
      </c>
      <c r="X214" s="54">
        <f t="shared" si="21"/>
        <v>540000</v>
      </c>
    </row>
    <row r="215" spans="3:28" x14ac:dyDescent="0.25">
      <c r="C215" s="39">
        <v>2016</v>
      </c>
      <c r="D215" s="62" t="str">
        <f>+'PN-654.038'!$F$4</f>
        <v>PN-654.038</v>
      </c>
      <c r="E215" s="63" t="str">
        <f>+'PN-654.038'!$F$5</f>
        <v>Expressrail Port Newark Administration Building</v>
      </c>
      <c r="F215" s="64">
        <f>+'PN-654.038'!$F$6</f>
        <v>42523</v>
      </c>
      <c r="G215" s="65" t="str">
        <f>+'PN-654.038'!$G$7</f>
        <v>D-B</v>
      </c>
      <c r="H215" s="27">
        <f>+'PN-654.038'!$F$7</f>
        <v>2253000</v>
      </c>
      <c r="I215" s="27">
        <f>+'PN-654.038'!$F$8</f>
        <v>2665637</v>
      </c>
      <c r="J215" s="27"/>
      <c r="K215" s="26">
        <f>+'PN-654.038'!$G$9</f>
        <v>0.18315002219263204</v>
      </c>
      <c r="L215" s="11" t="str">
        <f>+'PN-654.038'!$F$11</f>
        <v>FAIL</v>
      </c>
      <c r="M215" s="15">
        <f>+'PN-654.038'!$H$12</f>
        <v>4</v>
      </c>
      <c r="N215" s="35" t="s">
        <v>25</v>
      </c>
      <c r="O215" s="15">
        <v>2</v>
      </c>
      <c r="P215" s="35" t="s">
        <v>492</v>
      </c>
      <c r="Q215" s="15"/>
      <c r="R215" s="24"/>
      <c r="S215" s="62" t="str">
        <f>+'PN-654.038'!$J$4</f>
        <v>Ramani Sundaram</v>
      </c>
      <c r="T215" s="15"/>
      <c r="U215" s="15"/>
      <c r="V215" s="54">
        <f t="shared" si="19"/>
        <v>2253000</v>
      </c>
      <c r="W215" s="54">
        <f t="shared" si="20"/>
        <v>2665637</v>
      </c>
      <c r="X215" s="54">
        <f t="shared" si="21"/>
        <v>-412637</v>
      </c>
    </row>
    <row r="216" spans="3:28" x14ac:dyDescent="0.25">
      <c r="C216" s="39">
        <v>2016</v>
      </c>
      <c r="D216" s="62" t="str">
        <f>+'NYNJRR-644.537'!$F$4</f>
        <v>NYNJRR-644.537</v>
      </c>
      <c r="E216" s="63" t="str">
        <f>+'NYNJRR-644.537'!$F$5</f>
        <v>Repl Barge Mooring Structures at Greenville Yard</v>
      </c>
      <c r="F216" s="64">
        <f>+'NYNJRR-644.537'!$F$6</f>
        <v>42500</v>
      </c>
      <c r="G216" s="65" t="str">
        <f>+'NYNJRR-644.537'!$G$7</f>
        <v>Public</v>
      </c>
      <c r="H216" s="27">
        <f>+'NYNJRR-644.537'!$F$7</f>
        <v>4000000</v>
      </c>
      <c r="I216" s="27">
        <f>+'NYNJRR-644.537'!$F$8</f>
        <v>3838287</v>
      </c>
      <c r="J216" s="27"/>
      <c r="K216" s="26">
        <f>+'NYNJRR-644.537'!$G$9</f>
        <v>-4.0428249999999999E-2</v>
      </c>
      <c r="L216" s="11" t="str">
        <f>+'NYNJRR-644.537'!$F$11</f>
        <v>GOOD</v>
      </c>
      <c r="M216" s="15">
        <f>+'NYNJRR-644.537'!$H$12</f>
        <v>11</v>
      </c>
      <c r="N216" s="35" t="s">
        <v>25</v>
      </c>
      <c r="O216" s="15">
        <v>2</v>
      </c>
      <c r="P216" s="35" t="s">
        <v>492</v>
      </c>
      <c r="Q216" s="15"/>
      <c r="R216" s="24"/>
      <c r="S216" s="62" t="str">
        <f>+'NYNJRR-644.537'!$J$4</f>
        <v>Wen Chang</v>
      </c>
      <c r="T216" s="15"/>
      <c r="U216" s="15"/>
      <c r="V216" s="54">
        <f t="shared" si="19"/>
        <v>4000000</v>
      </c>
      <c r="W216" s="54">
        <f t="shared" si="20"/>
        <v>3838287</v>
      </c>
      <c r="X216" s="54">
        <f t="shared" si="21"/>
        <v>161713</v>
      </c>
    </row>
    <row r="217" spans="3:28" x14ac:dyDescent="0.25">
      <c r="C217" s="39">
        <v>2016</v>
      </c>
      <c r="D217" s="62" t="str">
        <f>+'EP-684.509A'!$F$4</f>
        <v>EP-684.509A</v>
      </c>
      <c r="E217" s="63" t="str">
        <f>+'EP-684.509A'!$F$5</f>
        <v>Bldg 1400 Upgrade of Fire Supression System</v>
      </c>
      <c r="F217" s="64">
        <f>+'EP-684.509A'!$F$6</f>
        <v>42474</v>
      </c>
      <c r="G217" s="65" t="str">
        <f>+'PAT-784.163'!$G$7</f>
        <v>Public</v>
      </c>
      <c r="H217" s="27">
        <f>+'EP-684.509A'!$F$7</f>
        <v>700000</v>
      </c>
      <c r="I217" s="27">
        <f>+'EP-684.509A'!$F$8</f>
        <v>442247</v>
      </c>
      <c r="J217" s="27"/>
      <c r="K217" s="26">
        <f>+'EP-684.509A'!$G$9</f>
        <v>-0.36821857142857145</v>
      </c>
      <c r="L217" s="11" t="str">
        <f>+'EP-684.509A'!$F$11</f>
        <v>GOOD</v>
      </c>
      <c r="M217" s="15">
        <f>+'EP-684.509A'!$H$12</f>
        <v>6</v>
      </c>
      <c r="N217" s="35" t="s">
        <v>25</v>
      </c>
      <c r="O217" s="15">
        <v>2</v>
      </c>
      <c r="P217" s="35" t="s">
        <v>492</v>
      </c>
      <c r="Q217" s="15"/>
      <c r="R217" s="24"/>
      <c r="S217" s="62" t="str">
        <f>+'EP-684.509A'!$J$4</f>
        <v>Wen Chang</v>
      </c>
      <c r="T217" s="15"/>
      <c r="U217" s="15"/>
      <c r="V217" s="54">
        <f t="shared" si="19"/>
        <v>700000</v>
      </c>
      <c r="W217" s="54">
        <f t="shared" si="20"/>
        <v>442247</v>
      </c>
      <c r="X217" s="54">
        <f t="shared" si="21"/>
        <v>257753</v>
      </c>
    </row>
    <row r="218" spans="3:28" x14ac:dyDescent="0.25">
      <c r="C218" s="39">
        <v>2016</v>
      </c>
      <c r="D218" s="15" t="str">
        <f>+'MFP-924.638'!$F$4</f>
        <v>MFP-924.638</v>
      </c>
      <c r="E218" s="24" t="str">
        <f>+'MFP-924.638'!$F$5</f>
        <v>NJ Marine Terminals - Dredging via Work Order</v>
      </c>
      <c r="F218" s="25">
        <f>+'MFP-924.638'!$F$6</f>
        <v>42450</v>
      </c>
      <c r="G218" s="46" t="str">
        <f>+'MFP-924.638'!$G$7</f>
        <v>PQL</v>
      </c>
      <c r="H218" s="27">
        <f>+'MFP-924.638'!$F$7</f>
        <v>13100000</v>
      </c>
      <c r="I218" s="27">
        <f>+'MFP-924.638'!$F$8</f>
        <v>14145813</v>
      </c>
      <c r="J218" s="27"/>
      <c r="K218" s="26">
        <f>+'MFP-924.638'!$G$9</f>
        <v>7.9833053435114501E-2</v>
      </c>
      <c r="L218" s="11" t="str">
        <f>+'MFP-924.638'!$F$11</f>
        <v>GOOD</v>
      </c>
      <c r="M218" s="15">
        <f>+'MFP-924.638'!$H$12</f>
        <v>5</v>
      </c>
      <c r="N218" s="35" t="s">
        <v>25</v>
      </c>
      <c r="O218" s="15">
        <v>1</v>
      </c>
      <c r="P218" s="35" t="s">
        <v>492</v>
      </c>
      <c r="Q218" s="15"/>
      <c r="R218" s="24"/>
      <c r="S218" s="15" t="str">
        <f>+'MFP-924.638'!$J$4</f>
        <v>Wen Chang</v>
      </c>
      <c r="T218" s="15"/>
      <c r="U218" s="15"/>
      <c r="V218" s="54">
        <f t="shared" si="19"/>
        <v>13100000</v>
      </c>
      <c r="W218" s="54">
        <f t="shared" si="20"/>
        <v>14145813</v>
      </c>
      <c r="X218" s="54">
        <f t="shared" si="21"/>
        <v>-1045813</v>
      </c>
      <c r="Z218" s="4">
        <f>SUM(V218:V220)</f>
        <v>24300000</v>
      </c>
      <c r="AA218" s="4">
        <f>SUM(W218:W220)</f>
        <v>21695853</v>
      </c>
      <c r="AB218" s="7">
        <f>+Z218/AA218</f>
        <v>1.1200297125906964</v>
      </c>
    </row>
    <row r="219" spans="3:28" x14ac:dyDescent="0.25">
      <c r="C219" s="39">
        <v>2016</v>
      </c>
      <c r="D219" s="15" t="str">
        <f>+'PN-654.544'!$F$4</f>
        <v>PN-654.544</v>
      </c>
      <c r="E219" s="24" t="str">
        <f>+'PN-654.544'!$F$5</f>
        <v>Port Newark - Install Intelligent Transport Devices and Traffic Signals</v>
      </c>
      <c r="F219" s="25">
        <f>+'PN-654.544'!$F$6</f>
        <v>42389</v>
      </c>
      <c r="G219" s="46" t="str">
        <f>+'PN-654.544'!$G$7</f>
        <v>Public</v>
      </c>
      <c r="H219" s="27">
        <f>+'PN-654.544'!$F$7</f>
        <v>10000000</v>
      </c>
      <c r="I219" s="27">
        <f>+'PN-654.544'!$F$8</f>
        <v>6499990</v>
      </c>
      <c r="J219" s="27"/>
      <c r="K219" s="26">
        <f>+'PN-654.544'!$G$9</f>
        <v>-0.35000100000000001</v>
      </c>
      <c r="L219" s="11" t="str">
        <f>+'PN-654.544'!$F$11</f>
        <v>FAIL</v>
      </c>
      <c r="M219" s="15">
        <f>+'PN-654.544'!$H$12</f>
        <v>6</v>
      </c>
      <c r="N219" s="35" t="s">
        <v>25</v>
      </c>
      <c r="O219" s="15">
        <v>1</v>
      </c>
      <c r="P219" s="35" t="s">
        <v>492</v>
      </c>
      <c r="Q219" s="15"/>
      <c r="R219" s="24"/>
      <c r="S219" s="15" t="str">
        <f>+'PN-654.544'!$J$4</f>
        <v>Wen Chang</v>
      </c>
      <c r="T219" s="15"/>
      <c r="U219" s="15"/>
      <c r="V219" s="54">
        <f t="shared" si="19"/>
        <v>10000000</v>
      </c>
      <c r="W219" s="54">
        <f t="shared" si="20"/>
        <v>6499990</v>
      </c>
      <c r="X219" s="54">
        <f t="shared" si="21"/>
        <v>3500010</v>
      </c>
    </row>
    <row r="220" spans="3:28" x14ac:dyDescent="0.25">
      <c r="C220" s="39">
        <v>2016</v>
      </c>
      <c r="D220" s="15" t="str">
        <f>+'PN-654.041'!$F$4</f>
        <v>PN-654.041</v>
      </c>
      <c r="E220" s="24" t="str">
        <f>+'PN-654.041'!$F$5</f>
        <v>Port Newark - Davit Street Extension</v>
      </c>
      <c r="F220" s="25">
        <f>+'PN-654.041'!$F$6</f>
        <v>42383</v>
      </c>
      <c r="G220" s="46" t="str">
        <f>+'PN-654.041'!$G$7</f>
        <v>M/WBE</v>
      </c>
      <c r="H220" s="27">
        <f>+'PN-654.041'!$F$7</f>
        <v>1200000</v>
      </c>
      <c r="I220" s="27">
        <f>+'PN-654.041'!$F$8</f>
        <v>1050050</v>
      </c>
      <c r="J220" s="27"/>
      <c r="K220" s="26">
        <f>+'PN-654.041'!$G$9</f>
        <v>-0.12495833333333334</v>
      </c>
      <c r="L220" s="11" t="str">
        <f>+'PN-654.041'!$F$11</f>
        <v>GOOD</v>
      </c>
      <c r="M220" s="15">
        <f>+'PN-654.041'!$H$12</f>
        <v>6</v>
      </c>
      <c r="N220" s="35" t="s">
        <v>25</v>
      </c>
      <c r="O220" s="15">
        <v>1</v>
      </c>
      <c r="P220" s="35" t="s">
        <v>492</v>
      </c>
      <c r="Q220" s="15"/>
      <c r="R220" s="24"/>
      <c r="S220" s="15" t="str">
        <f>+'PN-654.041'!$J$4</f>
        <v>Wen Chang</v>
      </c>
      <c r="T220" s="15"/>
      <c r="U220" s="15"/>
      <c r="V220" s="54">
        <f t="shared" si="19"/>
        <v>1200000</v>
      </c>
      <c r="W220" s="54">
        <f t="shared" si="20"/>
        <v>1050050</v>
      </c>
      <c r="X220" s="54">
        <f t="shared" si="21"/>
        <v>149950</v>
      </c>
    </row>
    <row r="221" spans="3:28" x14ac:dyDescent="0.25">
      <c r="C221" s="39"/>
    </row>
    <row r="222" spans="3:28" x14ac:dyDescent="0.25">
      <c r="C222" s="39"/>
    </row>
    <row r="223" spans="3:28" x14ac:dyDescent="0.25">
      <c r="C223" s="39"/>
    </row>
    <row r="224" spans="3:28" x14ac:dyDescent="0.25">
      <c r="C224" s="39"/>
    </row>
    <row r="225" spans="3:24" x14ac:dyDescent="0.25">
      <c r="C225" s="39"/>
    </row>
    <row r="226" spans="3:24" x14ac:dyDescent="0.25">
      <c r="C226" s="39"/>
    </row>
    <row r="227" spans="3:24" x14ac:dyDescent="0.25">
      <c r="C227" s="39"/>
    </row>
    <row r="228" spans="3:24" x14ac:dyDescent="0.25">
      <c r="C228" s="39"/>
    </row>
    <row r="229" spans="3:24" x14ac:dyDescent="0.25">
      <c r="C229" s="39"/>
    </row>
    <row r="230" spans="3:24" x14ac:dyDescent="0.25">
      <c r="C230" s="39"/>
    </row>
    <row r="231" spans="3:24" x14ac:dyDescent="0.25">
      <c r="C231" s="39"/>
    </row>
    <row r="232" spans="3:24" x14ac:dyDescent="0.25">
      <c r="C232" s="39">
        <v>2016</v>
      </c>
      <c r="D232" s="62" t="str">
        <f>+'PAT-084.039'!$F$4</f>
        <v>PAT-084.039</v>
      </c>
      <c r="E232" s="63" t="str">
        <f>+'PAT-084.039'!$F$5</f>
        <v>Event Detection Systems for Tunnels E and F</v>
      </c>
      <c r="F232" s="64">
        <f>+'PAT-084.039'!$F$6</f>
        <v>42731</v>
      </c>
      <c r="G232" s="65" t="str">
        <f>+'PAT-084.039'!$G$7</f>
        <v>PQL</v>
      </c>
      <c r="H232" s="27">
        <f>+'PAT-084.039'!$F$7</f>
        <v>18500000</v>
      </c>
      <c r="I232" s="27">
        <f>+'PAT-084.039'!$F$8</f>
        <v>15978000</v>
      </c>
      <c r="J232" s="27"/>
      <c r="K232" s="26">
        <f>+'PAT-084.039'!$G$9</f>
        <v>-0.13632432432432431</v>
      </c>
      <c r="L232" s="11" t="str">
        <f>+'PAT-084.039'!$F$11</f>
        <v>GOOD</v>
      </c>
      <c r="M232" s="15">
        <f>+'PAT-084.039'!$H$12</f>
        <v>2</v>
      </c>
      <c r="N232" s="35" t="s">
        <v>226</v>
      </c>
      <c r="O232" s="15">
        <v>4</v>
      </c>
      <c r="P232" s="35" t="s">
        <v>459</v>
      </c>
      <c r="Q232" s="15"/>
      <c r="R232" s="24"/>
      <c r="S232" s="62" t="str">
        <f>+'PAT-084.039'!$J$4</f>
        <v>Nathan Demaisip</v>
      </c>
      <c r="T232" s="15"/>
      <c r="U232" s="15"/>
      <c r="V232" s="54">
        <f t="shared" ref="V232:W237" si="22">+H232</f>
        <v>18500000</v>
      </c>
      <c r="W232" s="54">
        <f t="shared" si="22"/>
        <v>15978000</v>
      </c>
      <c r="X232" s="54">
        <f t="shared" ref="X232:X237" si="23">+V232-W232</f>
        <v>2522000</v>
      </c>
    </row>
    <row r="233" spans="3:24" x14ac:dyDescent="0.25">
      <c r="C233" s="39">
        <v>2016</v>
      </c>
      <c r="D233" s="62" t="str">
        <f>+'PAT-534.316 Void'!$F$4</f>
        <v>PAT-534.316</v>
      </c>
      <c r="E233" s="63" t="str">
        <f>+'PAT-534.316 Void'!$F$5</f>
        <v>Journal Square Transport Center - Hardening phase 2</v>
      </c>
      <c r="F233" s="64">
        <f>+'PAT-534.316 Void'!$F$6</f>
        <v>42719</v>
      </c>
      <c r="G233" s="65" t="str">
        <f>+'PAT-534.316 Void'!$G$7</f>
        <v>VVP</v>
      </c>
      <c r="H233" s="27">
        <f>+'PAT-534.316 Void'!$F$7</f>
        <v>2212000</v>
      </c>
      <c r="I233" s="27">
        <f>+'PAT-534.316 Void'!$F$8</f>
        <v>3028000</v>
      </c>
      <c r="J233" s="27"/>
      <c r="K233" s="26">
        <f>+'PAT-534.316 Void'!$G$9</f>
        <v>0.36889692585895117</v>
      </c>
      <c r="L233" s="11" t="str">
        <f>+'PAT-534.316 Void'!$F$11</f>
        <v>FAIL</v>
      </c>
      <c r="M233" s="15">
        <f>+'PAT-534.316 Void'!$H$12</f>
        <v>1</v>
      </c>
      <c r="N233" s="35" t="s">
        <v>25</v>
      </c>
      <c r="O233" s="15">
        <v>4</v>
      </c>
      <c r="P233" s="35" t="s">
        <v>459</v>
      </c>
      <c r="Q233" s="15"/>
      <c r="R233" s="24" t="s">
        <v>782</v>
      </c>
      <c r="S233" s="62" t="str">
        <f>+'PAT-534.316 Void'!$J$4</f>
        <v>Nathan Demaisip</v>
      </c>
      <c r="T233" s="15"/>
      <c r="U233" s="15"/>
      <c r="V233" s="54">
        <f t="shared" si="22"/>
        <v>2212000</v>
      </c>
      <c r="W233" s="54">
        <f t="shared" si="22"/>
        <v>3028000</v>
      </c>
      <c r="X233" s="54">
        <f t="shared" si="23"/>
        <v>-816000</v>
      </c>
    </row>
    <row r="234" spans="3:24" x14ac:dyDescent="0.25">
      <c r="C234" s="39">
        <v>2016</v>
      </c>
      <c r="D234" s="62" t="str">
        <f>+'PAT-024.069A'!$F$4</f>
        <v>PAT-024.069A</v>
      </c>
      <c r="E234" s="63" t="str">
        <f>+'PAT-024.069A'!$F$5</f>
        <v>30th Street Mezzanine Rehab</v>
      </c>
      <c r="F234" s="64">
        <f>+'PAT-024.069A'!$F$6</f>
        <v>42667</v>
      </c>
      <c r="G234" s="65" t="str">
        <f>+'PAT-024.069A'!$G$7</f>
        <v>Public</v>
      </c>
      <c r="H234" s="27">
        <f>+'PAT-024.069A'!$F$7</f>
        <v>2400000</v>
      </c>
      <c r="I234" s="27">
        <f>+'PAT-024.069A'!$F$8</f>
        <v>3617000</v>
      </c>
      <c r="J234" s="27"/>
      <c r="K234" s="26">
        <f>+'PAT-024.069A'!$G$9</f>
        <v>0.50708333333333333</v>
      </c>
      <c r="L234" s="11" t="str">
        <f>+'PAT-024.069A'!$F$11</f>
        <v>FAIL</v>
      </c>
      <c r="M234" s="15">
        <f>+'PAT-024.069A'!$H$12</f>
        <v>2</v>
      </c>
      <c r="N234" s="35" t="s">
        <v>93</v>
      </c>
      <c r="O234" s="15">
        <v>4</v>
      </c>
      <c r="P234" s="35" t="s">
        <v>459</v>
      </c>
      <c r="Q234" s="15"/>
      <c r="R234" s="24"/>
      <c r="S234" s="62" t="str">
        <f>+'PAT-024.069A'!$J$4</f>
        <v>Nathan Demaisip</v>
      </c>
      <c r="T234" s="15"/>
      <c r="U234" s="15"/>
      <c r="V234" s="54">
        <f t="shared" si="22"/>
        <v>2400000</v>
      </c>
      <c r="W234" s="54">
        <f t="shared" si="22"/>
        <v>3617000</v>
      </c>
      <c r="X234" s="54">
        <f t="shared" si="23"/>
        <v>-1217000</v>
      </c>
    </row>
    <row r="235" spans="3:24" x14ac:dyDescent="0.25">
      <c r="C235" s="39">
        <v>2016</v>
      </c>
      <c r="D235" s="62" t="str">
        <f>+'PAT-784.164'!$F$4</f>
        <v>PAT-784.164</v>
      </c>
      <c r="E235" s="63" t="str">
        <f>+'PAT-784.164'!$F$5</f>
        <v>Replace Roof - MacMillian-Bloedel Building</v>
      </c>
      <c r="F235" s="64">
        <f>+'PAT-784.164'!$F$6</f>
        <v>42601</v>
      </c>
      <c r="G235" s="65" t="str">
        <f>+'PAT-784.164'!$G$7</f>
        <v>Public</v>
      </c>
      <c r="H235" s="27">
        <f>+'PAT-784.164'!$F$7</f>
        <v>6120000</v>
      </c>
      <c r="I235" s="27">
        <f>+'PAT-784.164'!$F$8</f>
        <v>4674300</v>
      </c>
      <c r="J235" s="27">
        <v>4753054</v>
      </c>
      <c r="K235" s="26">
        <f>+'PAT-784.164'!$G$9</f>
        <v>-0.23622549019607844</v>
      </c>
      <c r="L235" s="11" t="str">
        <f>+'PAT-784.164'!$F$11</f>
        <v>GOOD</v>
      </c>
      <c r="M235" s="15">
        <f>+'PAT-784.164'!$H$12</f>
        <v>6</v>
      </c>
      <c r="N235" s="35" t="s">
        <v>25</v>
      </c>
      <c r="O235" s="15">
        <v>3</v>
      </c>
      <c r="P235" s="35" t="s">
        <v>459</v>
      </c>
      <c r="Q235" s="15"/>
      <c r="R235" s="24" t="s">
        <v>726</v>
      </c>
      <c r="S235" s="62" t="str">
        <f>+'PAT-784.164'!$J$4</f>
        <v>Nathan Demaisip</v>
      </c>
      <c r="T235" s="15"/>
      <c r="U235" s="15"/>
      <c r="V235" s="54">
        <f t="shared" si="22"/>
        <v>6120000</v>
      </c>
      <c r="W235" s="54">
        <f t="shared" si="22"/>
        <v>4674300</v>
      </c>
      <c r="X235" s="54">
        <f t="shared" si="23"/>
        <v>1445700</v>
      </c>
    </row>
    <row r="236" spans="3:24" x14ac:dyDescent="0.25">
      <c r="C236" s="39">
        <v>2016</v>
      </c>
      <c r="D236" s="62" t="str">
        <f>+'PAT-784.163'!$F$4</f>
        <v>PAT-784.163</v>
      </c>
      <c r="E236" s="63" t="str">
        <f>+'PAT-784.163'!$F$5</f>
        <v>PATH - Infrastructure for Standby Generators</v>
      </c>
      <c r="F236" s="64">
        <f>+'PAT-784.163'!$F$6</f>
        <v>42473</v>
      </c>
      <c r="G236" s="65" t="str">
        <f>+'PAT-784.163'!$G$7</f>
        <v>Public</v>
      </c>
      <c r="H236" s="27">
        <f>+'PAT-784.163'!$F$7</f>
        <v>1900000</v>
      </c>
      <c r="I236" s="27">
        <f>+'PAT-784.163'!$F$8</f>
        <v>1348800</v>
      </c>
      <c r="J236" s="27">
        <v>1348800</v>
      </c>
      <c r="K236" s="26">
        <f>+'PAT-784.163'!$G$9</f>
        <v>-0.29010526315789475</v>
      </c>
      <c r="L236" s="11" t="str">
        <f>+'PAT-784.163'!$F$11</f>
        <v>GOOD</v>
      </c>
      <c r="M236" s="15">
        <f>+'PAT-784.163'!$H$12</f>
        <v>11</v>
      </c>
      <c r="N236" s="35" t="s">
        <v>25</v>
      </c>
      <c r="O236" s="15">
        <v>2</v>
      </c>
      <c r="P236" s="35" t="s">
        <v>459</v>
      </c>
      <c r="Q236" s="15"/>
      <c r="R236" s="24" t="s">
        <v>608</v>
      </c>
      <c r="S236" s="62" t="str">
        <f>+'PAT-784.163'!$J$4</f>
        <v>Nathan Demaisip</v>
      </c>
      <c r="T236" s="15"/>
      <c r="U236" s="15"/>
      <c r="V236" s="54">
        <f t="shared" si="22"/>
        <v>1900000</v>
      </c>
      <c r="W236" s="54">
        <f t="shared" si="22"/>
        <v>1348800</v>
      </c>
      <c r="X236" s="54">
        <f t="shared" si="23"/>
        <v>551200</v>
      </c>
    </row>
    <row r="237" spans="3:24" x14ac:dyDescent="0.25">
      <c r="C237" s="39">
        <v>2016</v>
      </c>
      <c r="D237" s="15" t="str">
        <f>+'PAT-774.154'!$F$4</f>
        <v>PAT-774.154</v>
      </c>
      <c r="E237" s="24" t="str">
        <f>+'PAT-774.154'!$F$5</f>
        <v>PATH - Hoboken Station Under-Platform Fan Replacement</v>
      </c>
      <c r="F237" s="25">
        <f>+'PAT-774.154'!$F$6</f>
        <v>42391</v>
      </c>
      <c r="G237" s="46" t="str">
        <f>+'PAT-774.154'!$G$7</f>
        <v>Public</v>
      </c>
      <c r="H237" s="27">
        <f>+'PAT-774.154'!$F$7</f>
        <v>4574000</v>
      </c>
      <c r="I237" s="27">
        <f>+'PAT-774.154'!$F$8</f>
        <v>3774000</v>
      </c>
      <c r="J237" s="27">
        <v>3774000</v>
      </c>
      <c r="K237" s="26">
        <f>+'PAT-774.154'!$G$9</f>
        <v>-0.17490161783996502</v>
      </c>
      <c r="L237" s="11" t="str">
        <f>+'PAT-774.154'!$F$11</f>
        <v>GOOD</v>
      </c>
      <c r="M237" s="15">
        <f>+'PAT-774.154'!$H$12</f>
        <v>4</v>
      </c>
      <c r="N237" s="35" t="s">
        <v>25</v>
      </c>
      <c r="O237" s="15">
        <v>1</v>
      </c>
      <c r="P237" s="35" t="s">
        <v>459</v>
      </c>
      <c r="Q237" s="15"/>
      <c r="R237" s="24"/>
      <c r="S237" s="15" t="str">
        <f>+'PAT-774.154'!$J$4</f>
        <v>Nathan Demaisip</v>
      </c>
      <c r="T237" s="15"/>
      <c r="U237" s="15"/>
      <c r="V237" s="54">
        <f t="shared" si="22"/>
        <v>4574000</v>
      </c>
      <c r="W237" s="54">
        <f t="shared" si="22"/>
        <v>3774000</v>
      </c>
      <c r="X237" s="54">
        <f t="shared" si="23"/>
        <v>800000</v>
      </c>
    </row>
    <row r="238" spans="3:24" x14ac:dyDescent="0.25">
      <c r="C238" s="39"/>
    </row>
    <row r="239" spans="3:24" x14ac:dyDescent="0.25">
      <c r="C239" s="39"/>
    </row>
    <row r="240" spans="3:24" x14ac:dyDescent="0.25">
      <c r="C240" s="39"/>
    </row>
    <row r="241" spans="3:3" x14ac:dyDescent="0.25">
      <c r="C241" s="39"/>
    </row>
    <row r="242" spans="3:3" x14ac:dyDescent="0.25">
      <c r="C242" s="39"/>
    </row>
    <row r="243" spans="3:3" x14ac:dyDescent="0.25">
      <c r="C243" s="39"/>
    </row>
    <row r="244" spans="3:3" x14ac:dyDescent="0.25">
      <c r="C244" s="39"/>
    </row>
    <row r="245" spans="3:3" x14ac:dyDescent="0.25">
      <c r="C245" s="39"/>
    </row>
    <row r="246" spans="3:3" x14ac:dyDescent="0.25">
      <c r="C246" s="39"/>
    </row>
    <row r="247" spans="3:3" x14ac:dyDescent="0.25">
      <c r="C247" s="39"/>
    </row>
    <row r="248" spans="3:3" x14ac:dyDescent="0.25">
      <c r="C248" s="39"/>
    </row>
    <row r="249" spans="3:3" x14ac:dyDescent="0.25">
      <c r="C249" s="39"/>
    </row>
    <row r="250" spans="3:3" x14ac:dyDescent="0.25">
      <c r="C250" s="39"/>
    </row>
    <row r="251" spans="3:3" x14ac:dyDescent="0.25">
      <c r="C251" s="39"/>
    </row>
    <row r="252" spans="3:3" x14ac:dyDescent="0.25">
      <c r="C252" s="39"/>
    </row>
    <row r="253" spans="3:3" x14ac:dyDescent="0.25">
      <c r="C253" s="39"/>
    </row>
    <row r="254" spans="3:3" x14ac:dyDescent="0.25">
      <c r="C254" s="39"/>
    </row>
    <row r="255" spans="3:3" x14ac:dyDescent="0.25">
      <c r="C255" s="39"/>
    </row>
    <row r="256" spans="3:3" x14ac:dyDescent="0.25">
      <c r="C256" s="39"/>
    </row>
    <row r="257" spans="3:3" x14ac:dyDescent="0.25">
      <c r="C257" s="39"/>
    </row>
    <row r="258" spans="3:3" x14ac:dyDescent="0.25">
      <c r="C258" s="39"/>
    </row>
    <row r="259" spans="3:3" x14ac:dyDescent="0.25">
      <c r="C259" s="39"/>
    </row>
    <row r="260" spans="3:3" x14ac:dyDescent="0.25">
      <c r="C260" s="39"/>
    </row>
    <row r="261" spans="3:3" x14ac:dyDescent="0.25">
      <c r="C261" s="39"/>
    </row>
    <row r="262" spans="3:3" x14ac:dyDescent="0.25">
      <c r="C262" s="39"/>
    </row>
    <row r="263" spans="3:3" x14ac:dyDescent="0.25">
      <c r="C263" s="39"/>
    </row>
    <row r="264" spans="3:3" x14ac:dyDescent="0.25">
      <c r="C264" s="39"/>
    </row>
    <row r="265" spans="3:3" x14ac:dyDescent="0.25">
      <c r="C265" s="39"/>
    </row>
    <row r="266" spans="3:3" x14ac:dyDescent="0.25">
      <c r="C266" s="39"/>
    </row>
    <row r="267" spans="3:3" x14ac:dyDescent="0.25">
      <c r="C267" s="39"/>
    </row>
    <row r="268" spans="3:3" x14ac:dyDescent="0.25">
      <c r="C268" s="39"/>
    </row>
    <row r="269" spans="3:3" x14ac:dyDescent="0.25">
      <c r="C269" s="39"/>
    </row>
    <row r="270" spans="3:3" x14ac:dyDescent="0.25">
      <c r="C270" s="39"/>
    </row>
    <row r="271" spans="3:3" x14ac:dyDescent="0.25">
      <c r="C271" s="39"/>
    </row>
    <row r="272" spans="3:3" x14ac:dyDescent="0.25">
      <c r="C272" s="39"/>
    </row>
    <row r="273" spans="3:3" x14ac:dyDescent="0.25">
      <c r="C273" s="39"/>
    </row>
    <row r="274" spans="3:3" x14ac:dyDescent="0.25">
      <c r="C274" s="39"/>
    </row>
    <row r="275" spans="3:3" x14ac:dyDescent="0.25">
      <c r="C275" s="39"/>
    </row>
    <row r="276" spans="3:3" x14ac:dyDescent="0.25">
      <c r="C276" s="39"/>
    </row>
    <row r="277" spans="3:3" x14ac:dyDescent="0.25">
      <c r="C277" s="39"/>
    </row>
    <row r="278" spans="3:3" x14ac:dyDescent="0.25">
      <c r="C278" s="39"/>
    </row>
    <row r="279" spans="3:3" x14ac:dyDescent="0.25">
      <c r="C279" s="39"/>
    </row>
    <row r="280" spans="3:3" x14ac:dyDescent="0.25">
      <c r="C280" s="39"/>
    </row>
    <row r="281" spans="3:3" x14ac:dyDescent="0.25">
      <c r="C281" s="39"/>
    </row>
    <row r="282" spans="3:3" x14ac:dyDescent="0.25">
      <c r="C282" s="39"/>
    </row>
    <row r="283" spans="3:3" x14ac:dyDescent="0.25">
      <c r="C283" s="39"/>
    </row>
    <row r="284" spans="3:3" x14ac:dyDescent="0.25">
      <c r="C284" s="39"/>
    </row>
    <row r="285" spans="3:3" x14ac:dyDescent="0.25">
      <c r="C285" s="39"/>
    </row>
    <row r="286" spans="3:3" x14ac:dyDescent="0.25">
      <c r="C286" s="39"/>
    </row>
    <row r="287" spans="3:3" x14ac:dyDescent="0.25">
      <c r="C287" s="39"/>
    </row>
    <row r="288" spans="3:3" x14ac:dyDescent="0.25">
      <c r="C288" s="39"/>
    </row>
    <row r="289" spans="3:3" x14ac:dyDescent="0.25">
      <c r="C289" s="39"/>
    </row>
    <row r="290" spans="3:3" x14ac:dyDescent="0.25">
      <c r="C290" s="39"/>
    </row>
    <row r="291" spans="3:3" x14ac:dyDescent="0.25">
      <c r="C291" s="39"/>
    </row>
    <row r="292" spans="3:3" x14ac:dyDescent="0.25">
      <c r="C292" s="39"/>
    </row>
    <row r="293" spans="3:3" x14ac:dyDescent="0.25">
      <c r="C293" s="39"/>
    </row>
    <row r="294" spans="3:3" x14ac:dyDescent="0.25">
      <c r="C294" s="39"/>
    </row>
    <row r="295" spans="3:3" x14ac:dyDescent="0.25">
      <c r="C295" s="39"/>
    </row>
    <row r="296" spans="3:3" x14ac:dyDescent="0.25">
      <c r="C296" s="39"/>
    </row>
    <row r="297" spans="3:3" x14ac:dyDescent="0.25">
      <c r="C297" s="39"/>
    </row>
    <row r="298" spans="3:3" x14ac:dyDescent="0.25">
      <c r="C298" s="39"/>
    </row>
    <row r="299" spans="3:3" x14ac:dyDescent="0.25">
      <c r="C299" s="39"/>
    </row>
    <row r="300" spans="3:3" x14ac:dyDescent="0.25">
      <c r="C300" s="39"/>
    </row>
    <row r="301" spans="3:3" x14ac:dyDescent="0.25">
      <c r="C301" s="39"/>
    </row>
    <row r="302" spans="3:3" x14ac:dyDescent="0.25">
      <c r="C302" s="38"/>
    </row>
    <row r="303" spans="3:3" x14ac:dyDescent="0.25">
      <c r="C303" s="38"/>
    </row>
    <row r="304" spans="3:3" x14ac:dyDescent="0.25">
      <c r="C304" s="38"/>
    </row>
    <row r="305" spans="3:3" x14ac:dyDescent="0.25">
      <c r="C305" s="38"/>
    </row>
    <row r="306" spans="3:3" x14ac:dyDescent="0.25">
      <c r="C306" s="38"/>
    </row>
    <row r="307" spans="3:3" x14ac:dyDescent="0.25">
      <c r="C307" s="38"/>
    </row>
    <row r="308" spans="3:3" x14ac:dyDescent="0.25">
      <c r="C308" s="38"/>
    </row>
    <row r="309" spans="3:3" x14ac:dyDescent="0.25">
      <c r="C309" s="38"/>
    </row>
    <row r="310" spans="3:3" x14ac:dyDescent="0.25">
      <c r="C310" s="38"/>
    </row>
    <row r="311" spans="3:3" x14ac:dyDescent="0.25">
      <c r="C311" s="38"/>
    </row>
    <row r="312" spans="3:3" x14ac:dyDescent="0.25">
      <c r="C312" s="38"/>
    </row>
    <row r="313" spans="3:3" x14ac:dyDescent="0.25">
      <c r="C313" s="38"/>
    </row>
    <row r="314" spans="3:3" x14ac:dyDescent="0.25">
      <c r="C314" s="38"/>
    </row>
    <row r="315" spans="3:3" x14ac:dyDescent="0.25">
      <c r="C315" s="38"/>
    </row>
    <row r="316" spans="3:3" x14ac:dyDescent="0.25">
      <c r="C316" s="38"/>
    </row>
    <row r="317" spans="3:3" x14ac:dyDescent="0.25">
      <c r="C317" s="38"/>
    </row>
    <row r="318" spans="3:3" x14ac:dyDescent="0.25">
      <c r="C318" s="38"/>
    </row>
    <row r="319" spans="3:3" x14ac:dyDescent="0.25">
      <c r="C319" s="38"/>
    </row>
    <row r="320" spans="3:3" x14ac:dyDescent="0.25">
      <c r="C320" s="38"/>
    </row>
    <row r="321" spans="3:3" x14ac:dyDescent="0.25">
      <c r="C321" s="38"/>
    </row>
    <row r="322" spans="3:3" x14ac:dyDescent="0.25">
      <c r="C322" s="38"/>
    </row>
    <row r="323" spans="3:3" x14ac:dyDescent="0.25">
      <c r="C323" s="38"/>
    </row>
    <row r="324" spans="3:3" x14ac:dyDescent="0.25">
      <c r="C324" s="38"/>
    </row>
    <row r="325" spans="3:3" x14ac:dyDescent="0.25">
      <c r="C325" s="38"/>
    </row>
    <row r="326" spans="3:3" x14ac:dyDescent="0.25">
      <c r="C326" s="38"/>
    </row>
    <row r="327" spans="3:3" x14ac:dyDescent="0.25">
      <c r="C327" s="38"/>
    </row>
    <row r="328" spans="3:3" x14ac:dyDescent="0.25">
      <c r="C328" s="38"/>
    </row>
    <row r="329" spans="3:3" x14ac:dyDescent="0.25">
      <c r="C329" s="38"/>
    </row>
    <row r="330" spans="3:3" x14ac:dyDescent="0.25">
      <c r="C330" s="38"/>
    </row>
    <row r="331" spans="3:3" x14ac:dyDescent="0.25">
      <c r="C331" s="38"/>
    </row>
    <row r="332" spans="3:3" x14ac:dyDescent="0.25">
      <c r="C332" s="38"/>
    </row>
    <row r="333" spans="3:3" x14ac:dyDescent="0.25">
      <c r="C333" s="38"/>
    </row>
    <row r="334" spans="3:3" x14ac:dyDescent="0.25">
      <c r="C334" s="38"/>
    </row>
    <row r="335" spans="3:3" x14ac:dyDescent="0.25">
      <c r="C335" s="38"/>
    </row>
    <row r="336" spans="3:3" x14ac:dyDescent="0.25">
      <c r="C336" s="38"/>
    </row>
    <row r="337" spans="3:3" x14ac:dyDescent="0.25">
      <c r="C337" s="38"/>
    </row>
    <row r="338" spans="3:3" x14ac:dyDescent="0.25">
      <c r="C338" s="38"/>
    </row>
    <row r="339" spans="3:3" x14ac:dyDescent="0.25">
      <c r="C339" s="38"/>
    </row>
    <row r="340" spans="3:3" x14ac:dyDescent="0.25">
      <c r="C340" s="38"/>
    </row>
    <row r="341" spans="3:3" x14ac:dyDescent="0.25">
      <c r="C341" s="38"/>
    </row>
    <row r="342" spans="3:3" x14ac:dyDescent="0.25">
      <c r="C342" s="38"/>
    </row>
    <row r="343" spans="3:3" x14ac:dyDescent="0.25">
      <c r="C343" s="38"/>
    </row>
    <row r="344" spans="3:3" x14ac:dyDescent="0.25">
      <c r="C344" s="38"/>
    </row>
    <row r="345" spans="3:3" x14ac:dyDescent="0.25">
      <c r="C345" s="38"/>
    </row>
    <row r="346" spans="3:3" x14ac:dyDescent="0.25">
      <c r="C346" s="38"/>
    </row>
    <row r="347" spans="3:3" x14ac:dyDescent="0.25">
      <c r="C347" s="38"/>
    </row>
    <row r="348" spans="3:3" x14ac:dyDescent="0.25">
      <c r="C348" s="38"/>
    </row>
    <row r="349" spans="3:3" x14ac:dyDescent="0.25">
      <c r="C349" s="38"/>
    </row>
    <row r="350" spans="3:3" x14ac:dyDescent="0.25">
      <c r="C350" s="38"/>
    </row>
    <row r="351" spans="3:3" x14ac:dyDescent="0.25">
      <c r="C351" s="38"/>
    </row>
    <row r="352" spans="3:3" x14ac:dyDescent="0.25">
      <c r="C352" s="38"/>
    </row>
    <row r="353" spans="3:3" x14ac:dyDescent="0.25">
      <c r="C353" s="38"/>
    </row>
    <row r="354" spans="3:3" x14ac:dyDescent="0.25">
      <c r="C354" s="38"/>
    </row>
    <row r="355" spans="3:3" x14ac:dyDescent="0.25">
      <c r="C355" s="38"/>
    </row>
    <row r="356" spans="3:3" x14ac:dyDescent="0.25">
      <c r="C356" s="38"/>
    </row>
    <row r="357" spans="3:3" x14ac:dyDescent="0.25">
      <c r="C357" s="38"/>
    </row>
    <row r="358" spans="3:3" x14ac:dyDescent="0.25">
      <c r="C358" s="38"/>
    </row>
    <row r="359" spans="3:3" x14ac:dyDescent="0.25">
      <c r="C359" s="38"/>
    </row>
    <row r="360" spans="3:3" x14ac:dyDescent="0.25">
      <c r="C360" s="38"/>
    </row>
    <row r="361" spans="3:3" x14ac:dyDescent="0.25">
      <c r="C361" s="38"/>
    </row>
    <row r="362" spans="3:3" x14ac:dyDescent="0.25">
      <c r="C362" s="38"/>
    </row>
    <row r="363" spans="3:3" x14ac:dyDescent="0.25">
      <c r="C363" s="38"/>
    </row>
    <row r="364" spans="3:3" x14ac:dyDescent="0.25">
      <c r="C364" s="38"/>
    </row>
    <row r="365" spans="3:3" x14ac:dyDescent="0.25">
      <c r="C365" s="38"/>
    </row>
    <row r="366" spans="3:3" x14ac:dyDescent="0.25">
      <c r="C366" s="38"/>
    </row>
    <row r="367" spans="3:3" x14ac:dyDescent="0.25">
      <c r="C367" s="38"/>
    </row>
    <row r="368" spans="3:3" x14ac:dyDescent="0.25">
      <c r="C368" s="38"/>
    </row>
    <row r="369" spans="3:3" x14ac:dyDescent="0.25">
      <c r="C369" s="38"/>
    </row>
    <row r="370" spans="3:3" x14ac:dyDescent="0.25">
      <c r="C370" s="38"/>
    </row>
    <row r="371" spans="3:3" x14ac:dyDescent="0.25">
      <c r="C371" s="38"/>
    </row>
    <row r="372" spans="3:3" x14ac:dyDescent="0.25">
      <c r="C372" s="38"/>
    </row>
    <row r="373" spans="3:3" x14ac:dyDescent="0.25">
      <c r="C373" s="38"/>
    </row>
    <row r="374" spans="3:3" x14ac:dyDescent="0.25">
      <c r="C374" s="38"/>
    </row>
    <row r="375" spans="3:3" x14ac:dyDescent="0.25">
      <c r="C375" s="38"/>
    </row>
    <row r="376" spans="3:3" x14ac:dyDescent="0.25">
      <c r="C376" s="38"/>
    </row>
    <row r="377" spans="3:3" x14ac:dyDescent="0.25">
      <c r="C377" s="38"/>
    </row>
    <row r="378" spans="3:3" x14ac:dyDescent="0.25">
      <c r="C378" s="38"/>
    </row>
    <row r="379" spans="3:3" x14ac:dyDescent="0.25">
      <c r="C379" s="38"/>
    </row>
    <row r="380" spans="3:3" x14ac:dyDescent="0.25">
      <c r="C380" s="38"/>
    </row>
    <row r="381" spans="3:3" x14ac:dyDescent="0.25">
      <c r="C381" s="38"/>
    </row>
    <row r="382" spans="3:3" x14ac:dyDescent="0.25">
      <c r="C382" s="38"/>
    </row>
    <row r="383" spans="3:3" x14ac:dyDescent="0.25">
      <c r="C383" s="38"/>
    </row>
    <row r="384" spans="3:3" x14ac:dyDescent="0.25">
      <c r="C384" s="38"/>
    </row>
    <row r="385" spans="3:3" x14ac:dyDescent="0.25">
      <c r="C385" s="38"/>
    </row>
    <row r="386" spans="3:3" x14ac:dyDescent="0.25">
      <c r="C386" s="38"/>
    </row>
    <row r="387" spans="3:3" x14ac:dyDescent="0.25">
      <c r="C387" s="38"/>
    </row>
    <row r="388" spans="3:3" x14ac:dyDescent="0.25">
      <c r="C388" s="38"/>
    </row>
    <row r="389" spans="3:3" x14ac:dyDescent="0.25">
      <c r="C389" s="38"/>
    </row>
    <row r="390" spans="3:3" x14ac:dyDescent="0.25">
      <c r="C390" s="38"/>
    </row>
    <row r="391" spans="3:3" x14ac:dyDescent="0.25">
      <c r="C391" s="38"/>
    </row>
    <row r="392" spans="3:3" x14ac:dyDescent="0.25">
      <c r="C392" s="38"/>
    </row>
    <row r="393" spans="3:3" x14ac:dyDescent="0.25">
      <c r="C393" s="38"/>
    </row>
    <row r="394" spans="3:3" x14ac:dyDescent="0.25">
      <c r="C394" s="38"/>
    </row>
    <row r="395" spans="3:3" x14ac:dyDescent="0.25">
      <c r="C395" s="38"/>
    </row>
    <row r="396" spans="3:3" x14ac:dyDescent="0.25">
      <c r="C396" s="38"/>
    </row>
    <row r="397" spans="3:3" x14ac:dyDescent="0.25">
      <c r="C397" s="38"/>
    </row>
    <row r="398" spans="3:3" x14ac:dyDescent="0.25">
      <c r="C398" s="38"/>
    </row>
    <row r="399" spans="3:3" x14ac:dyDescent="0.25">
      <c r="C399" s="38"/>
    </row>
    <row r="400" spans="3:3" x14ac:dyDescent="0.25">
      <c r="C400" s="38"/>
    </row>
    <row r="401" spans="3:3" x14ac:dyDescent="0.25">
      <c r="C401" s="38"/>
    </row>
    <row r="402" spans="3:3" x14ac:dyDescent="0.25">
      <c r="C402" s="38"/>
    </row>
    <row r="403" spans="3:3" x14ac:dyDescent="0.25">
      <c r="C403" s="38"/>
    </row>
    <row r="404" spans="3:3" x14ac:dyDescent="0.25">
      <c r="C404" s="38"/>
    </row>
    <row r="405" spans="3:3" x14ac:dyDescent="0.25">
      <c r="C405" s="38"/>
    </row>
    <row r="406" spans="3:3" x14ac:dyDescent="0.25">
      <c r="C406" s="38"/>
    </row>
    <row r="407" spans="3:3" x14ac:dyDescent="0.25">
      <c r="C407" s="38"/>
    </row>
    <row r="408" spans="3:3" x14ac:dyDescent="0.25">
      <c r="C408" s="38"/>
    </row>
    <row r="409" spans="3:3" x14ac:dyDescent="0.25">
      <c r="C409" s="38"/>
    </row>
    <row r="410" spans="3:3" x14ac:dyDescent="0.25">
      <c r="C410" s="38"/>
    </row>
    <row r="411" spans="3:3" x14ac:dyDescent="0.25">
      <c r="C411" s="38"/>
    </row>
    <row r="412" spans="3:3" x14ac:dyDescent="0.25">
      <c r="C412" s="38"/>
    </row>
    <row r="413" spans="3:3" x14ac:dyDescent="0.25">
      <c r="C413" s="38"/>
    </row>
    <row r="414" spans="3:3" x14ac:dyDescent="0.25">
      <c r="C414" s="38"/>
    </row>
    <row r="415" spans="3:3" x14ac:dyDescent="0.25">
      <c r="C415" s="38"/>
    </row>
    <row r="416" spans="3:3" x14ac:dyDescent="0.25">
      <c r="C416" s="38"/>
    </row>
    <row r="417" spans="3:3" x14ac:dyDescent="0.25">
      <c r="C417" s="38"/>
    </row>
    <row r="418" spans="3:3" x14ac:dyDescent="0.25">
      <c r="C418" s="38"/>
    </row>
    <row r="419" spans="3:3" x14ac:dyDescent="0.25">
      <c r="C419" s="38"/>
    </row>
    <row r="420" spans="3:3" x14ac:dyDescent="0.25">
      <c r="C420" s="38"/>
    </row>
    <row r="421" spans="3:3" x14ac:dyDescent="0.25">
      <c r="C421" s="38"/>
    </row>
    <row r="422" spans="3:3" x14ac:dyDescent="0.25">
      <c r="C422" s="38"/>
    </row>
    <row r="423" spans="3:3" x14ac:dyDescent="0.25">
      <c r="C423" s="38"/>
    </row>
    <row r="424" spans="3:3" x14ac:dyDescent="0.25">
      <c r="C424" s="38"/>
    </row>
    <row r="425" spans="3:3" x14ac:dyDescent="0.25">
      <c r="C425" s="38"/>
    </row>
    <row r="426" spans="3:3" x14ac:dyDescent="0.25">
      <c r="C426" s="38"/>
    </row>
    <row r="427" spans="3:3" x14ac:dyDescent="0.25">
      <c r="C427" s="38"/>
    </row>
    <row r="428" spans="3:3" x14ac:dyDescent="0.25">
      <c r="C428" s="38"/>
    </row>
    <row r="429" spans="3:3" x14ac:dyDescent="0.25">
      <c r="C429" s="38"/>
    </row>
    <row r="430" spans="3:3" x14ac:dyDescent="0.25">
      <c r="C430" s="38"/>
    </row>
    <row r="431" spans="3:3" x14ac:dyDescent="0.25">
      <c r="C431" s="38"/>
    </row>
    <row r="432" spans="3:3" x14ac:dyDescent="0.25">
      <c r="C432" s="38"/>
    </row>
    <row r="433" spans="3:3" x14ac:dyDescent="0.25">
      <c r="C433" s="38"/>
    </row>
    <row r="434" spans="3:3" x14ac:dyDescent="0.25">
      <c r="C434" s="38"/>
    </row>
    <row r="435" spans="3:3" x14ac:dyDescent="0.25">
      <c r="C435" s="38"/>
    </row>
    <row r="436" spans="3:3" x14ac:dyDescent="0.25">
      <c r="C436" s="38"/>
    </row>
    <row r="437" spans="3:3" x14ac:dyDescent="0.25">
      <c r="C437" s="38"/>
    </row>
    <row r="438" spans="3:3" x14ac:dyDescent="0.25">
      <c r="C438" s="38"/>
    </row>
    <row r="439" spans="3:3" x14ac:dyDescent="0.25">
      <c r="C439" s="38"/>
    </row>
    <row r="440" spans="3:3" x14ac:dyDescent="0.25">
      <c r="C440" s="38"/>
    </row>
    <row r="441" spans="3:3" x14ac:dyDescent="0.25">
      <c r="C441" s="38"/>
    </row>
    <row r="442" spans="3:3" x14ac:dyDescent="0.25">
      <c r="C442" s="38"/>
    </row>
    <row r="443" spans="3:3" x14ac:dyDescent="0.25">
      <c r="C443" s="38"/>
    </row>
    <row r="444" spans="3:3" x14ac:dyDescent="0.25">
      <c r="C444" s="38"/>
    </row>
    <row r="445" spans="3:3" x14ac:dyDescent="0.25">
      <c r="C445" s="38"/>
    </row>
    <row r="446" spans="3:3" x14ac:dyDescent="0.25">
      <c r="C446" s="38"/>
    </row>
    <row r="447" spans="3:3" x14ac:dyDescent="0.25">
      <c r="C447" s="38"/>
    </row>
    <row r="448" spans="3:3" x14ac:dyDescent="0.25">
      <c r="C448" s="38"/>
    </row>
    <row r="449" spans="3:3" x14ac:dyDescent="0.25">
      <c r="C449" s="38"/>
    </row>
    <row r="450" spans="3:3" x14ac:dyDescent="0.25">
      <c r="C450" s="38"/>
    </row>
    <row r="451" spans="3:3" x14ac:dyDescent="0.25">
      <c r="C451" s="38"/>
    </row>
    <row r="452" spans="3:3" x14ac:dyDescent="0.25">
      <c r="C452" s="38"/>
    </row>
    <row r="453" spans="3:3" x14ac:dyDescent="0.25">
      <c r="C453" s="38"/>
    </row>
    <row r="454" spans="3:3" x14ac:dyDescent="0.25">
      <c r="C454" s="38"/>
    </row>
    <row r="455" spans="3:3" x14ac:dyDescent="0.25">
      <c r="C455" s="38"/>
    </row>
    <row r="456" spans="3:3" x14ac:dyDescent="0.25">
      <c r="C456" s="38"/>
    </row>
    <row r="457" spans="3:3" x14ac:dyDescent="0.25">
      <c r="C457" s="38"/>
    </row>
    <row r="458" spans="3:3" x14ac:dyDescent="0.25">
      <c r="C458" s="38"/>
    </row>
    <row r="459" spans="3:3" x14ac:dyDescent="0.25">
      <c r="C459" s="38"/>
    </row>
    <row r="460" spans="3:3" x14ac:dyDescent="0.25">
      <c r="C460" s="38"/>
    </row>
    <row r="461" spans="3:3" x14ac:dyDescent="0.25">
      <c r="C461" s="38"/>
    </row>
    <row r="462" spans="3:3" x14ac:dyDescent="0.25">
      <c r="C462" s="38"/>
    </row>
    <row r="463" spans="3:3" x14ac:dyDescent="0.25">
      <c r="C463" s="38"/>
    </row>
    <row r="464" spans="3:3" x14ac:dyDescent="0.25">
      <c r="C464" s="38"/>
    </row>
    <row r="465" spans="3:3" x14ac:dyDescent="0.25">
      <c r="C465" s="38"/>
    </row>
    <row r="466" spans="3:3" x14ac:dyDescent="0.25">
      <c r="C466" s="38"/>
    </row>
    <row r="467" spans="3:3" x14ac:dyDescent="0.25">
      <c r="C467" s="38"/>
    </row>
    <row r="468" spans="3:3" x14ac:dyDescent="0.25">
      <c r="C468" s="38"/>
    </row>
    <row r="469" spans="3:3" x14ac:dyDescent="0.25">
      <c r="C469" s="38"/>
    </row>
    <row r="470" spans="3:3" x14ac:dyDescent="0.25">
      <c r="C470" s="38"/>
    </row>
    <row r="471" spans="3:3" x14ac:dyDescent="0.25">
      <c r="C471" s="38"/>
    </row>
    <row r="472" spans="3:3" x14ac:dyDescent="0.25">
      <c r="C472" s="38"/>
    </row>
    <row r="473" spans="3:3" x14ac:dyDescent="0.25">
      <c r="C473" s="38"/>
    </row>
    <row r="474" spans="3:3" x14ac:dyDescent="0.25">
      <c r="C474" s="38"/>
    </row>
    <row r="475" spans="3:3" x14ac:dyDescent="0.25">
      <c r="C475" s="38"/>
    </row>
    <row r="476" spans="3:3" x14ac:dyDescent="0.25">
      <c r="C476" s="38"/>
    </row>
    <row r="477" spans="3:3" x14ac:dyDescent="0.25">
      <c r="C477" s="38"/>
    </row>
    <row r="478" spans="3:3" x14ac:dyDescent="0.25">
      <c r="C478" s="38"/>
    </row>
    <row r="479" spans="3:3" x14ac:dyDescent="0.25">
      <c r="C479" s="38"/>
    </row>
    <row r="480" spans="3:3" x14ac:dyDescent="0.25">
      <c r="C480" s="38"/>
    </row>
    <row r="481" spans="3:3" x14ac:dyDescent="0.25">
      <c r="C481" s="38"/>
    </row>
    <row r="482" spans="3:3" x14ac:dyDescent="0.25">
      <c r="C482" s="38"/>
    </row>
    <row r="483" spans="3:3" x14ac:dyDescent="0.25">
      <c r="C483" s="38"/>
    </row>
    <row r="484" spans="3:3" x14ac:dyDescent="0.25">
      <c r="C484" s="38"/>
    </row>
    <row r="485" spans="3:3" x14ac:dyDescent="0.25">
      <c r="C485" s="38"/>
    </row>
    <row r="486" spans="3:3" x14ac:dyDescent="0.25">
      <c r="C486" s="38"/>
    </row>
    <row r="487" spans="3:3" x14ac:dyDescent="0.25">
      <c r="C487" s="38"/>
    </row>
    <row r="488" spans="3:3" x14ac:dyDescent="0.25">
      <c r="C488" s="38"/>
    </row>
    <row r="489" spans="3:3" x14ac:dyDescent="0.25">
      <c r="C489" s="38"/>
    </row>
    <row r="490" spans="3:3" x14ac:dyDescent="0.25">
      <c r="C490" s="38"/>
    </row>
    <row r="491" spans="3:3" x14ac:dyDescent="0.25">
      <c r="C491" s="38"/>
    </row>
    <row r="492" spans="3:3" x14ac:dyDescent="0.25">
      <c r="C492" s="38"/>
    </row>
    <row r="493" spans="3:3" x14ac:dyDescent="0.25">
      <c r="C493" s="38"/>
    </row>
    <row r="494" spans="3:3" x14ac:dyDescent="0.25">
      <c r="C494" s="38"/>
    </row>
    <row r="495" spans="3:3" x14ac:dyDescent="0.25">
      <c r="C495" s="38"/>
    </row>
    <row r="496" spans="3:3" x14ac:dyDescent="0.25">
      <c r="C496" s="38"/>
    </row>
    <row r="497" spans="3:3" x14ac:dyDescent="0.25">
      <c r="C497" s="38"/>
    </row>
    <row r="498" spans="3:3" x14ac:dyDescent="0.25">
      <c r="C498" s="38"/>
    </row>
    <row r="499" spans="3:3" x14ac:dyDescent="0.25">
      <c r="C499" s="38"/>
    </row>
    <row r="500" spans="3:3" x14ac:dyDescent="0.25">
      <c r="C500" s="38"/>
    </row>
    <row r="501" spans="3:3" x14ac:dyDescent="0.25">
      <c r="C501" s="38"/>
    </row>
    <row r="502" spans="3:3" x14ac:dyDescent="0.25">
      <c r="C502" s="38"/>
    </row>
    <row r="503" spans="3:3" x14ac:dyDescent="0.25">
      <c r="C503" s="38"/>
    </row>
    <row r="504" spans="3:3" x14ac:dyDescent="0.25">
      <c r="C504" s="38"/>
    </row>
    <row r="505" spans="3:3" x14ac:dyDescent="0.25">
      <c r="C505" s="38"/>
    </row>
    <row r="506" spans="3:3" x14ac:dyDescent="0.25">
      <c r="C506" s="38"/>
    </row>
    <row r="507" spans="3:3" x14ac:dyDescent="0.25">
      <c r="C507" s="38"/>
    </row>
    <row r="508" spans="3:3" x14ac:dyDescent="0.25">
      <c r="C508" s="38"/>
    </row>
    <row r="509" spans="3:3" x14ac:dyDescent="0.25">
      <c r="C509" s="38"/>
    </row>
    <row r="510" spans="3:3" x14ac:dyDescent="0.25">
      <c r="C510" s="38"/>
    </row>
    <row r="511" spans="3:3" x14ac:dyDescent="0.25">
      <c r="C511" s="38"/>
    </row>
    <row r="512" spans="3:3" x14ac:dyDescent="0.25">
      <c r="C512" s="38"/>
    </row>
    <row r="513" spans="3:3" x14ac:dyDescent="0.25">
      <c r="C513" s="38"/>
    </row>
    <row r="514" spans="3:3" x14ac:dyDescent="0.25">
      <c r="C514" s="38"/>
    </row>
    <row r="515" spans="3:3" x14ac:dyDescent="0.25">
      <c r="C515" s="38"/>
    </row>
    <row r="516" spans="3:3" x14ac:dyDescent="0.25">
      <c r="C516" s="38"/>
    </row>
    <row r="517" spans="3:3" x14ac:dyDescent="0.25">
      <c r="C517" s="38"/>
    </row>
    <row r="518" spans="3:3" x14ac:dyDescent="0.25">
      <c r="C518" s="38"/>
    </row>
    <row r="519" spans="3:3" x14ac:dyDescent="0.25">
      <c r="C519" s="38"/>
    </row>
    <row r="520" spans="3:3" x14ac:dyDescent="0.25">
      <c r="C520" s="38"/>
    </row>
    <row r="521" spans="3:3" x14ac:dyDescent="0.25">
      <c r="C521" s="38"/>
    </row>
    <row r="522" spans="3:3" x14ac:dyDescent="0.25">
      <c r="C522" s="38"/>
    </row>
    <row r="523" spans="3:3" x14ac:dyDescent="0.25">
      <c r="C523" s="38"/>
    </row>
    <row r="524" spans="3:3" x14ac:dyDescent="0.25">
      <c r="C524" s="38"/>
    </row>
    <row r="525" spans="3:3" x14ac:dyDescent="0.25">
      <c r="C525" s="38"/>
    </row>
    <row r="526" spans="3:3" x14ac:dyDescent="0.25">
      <c r="C526" s="38"/>
    </row>
    <row r="527" spans="3:3" x14ac:dyDescent="0.25">
      <c r="C527" s="38"/>
    </row>
    <row r="528" spans="3:3" x14ac:dyDescent="0.25">
      <c r="C528" s="38"/>
    </row>
    <row r="529" spans="3:3" x14ac:dyDescent="0.25">
      <c r="C529" s="38"/>
    </row>
    <row r="530" spans="3:3" x14ac:dyDescent="0.25">
      <c r="C530" s="38"/>
    </row>
    <row r="531" spans="3:3" x14ac:dyDescent="0.25">
      <c r="C531" s="38"/>
    </row>
    <row r="532" spans="3:3" x14ac:dyDescent="0.25">
      <c r="C532" s="38"/>
    </row>
    <row r="533" spans="3:3" x14ac:dyDescent="0.25">
      <c r="C533" s="38"/>
    </row>
    <row r="534" spans="3:3" x14ac:dyDescent="0.25">
      <c r="C534" s="38"/>
    </row>
    <row r="535" spans="3:3" x14ac:dyDescent="0.25">
      <c r="C535" s="38"/>
    </row>
    <row r="536" spans="3:3" x14ac:dyDescent="0.25">
      <c r="C536" s="38"/>
    </row>
    <row r="537" spans="3:3" x14ac:dyDescent="0.25">
      <c r="C537" s="38"/>
    </row>
    <row r="538" spans="3:3" x14ac:dyDescent="0.25">
      <c r="C538" s="38"/>
    </row>
    <row r="539" spans="3:3" x14ac:dyDescent="0.25">
      <c r="C539" s="38"/>
    </row>
    <row r="540" spans="3:3" x14ac:dyDescent="0.25">
      <c r="C540" s="38"/>
    </row>
    <row r="541" spans="3:3" x14ac:dyDescent="0.25">
      <c r="C541" s="38"/>
    </row>
    <row r="542" spans="3:3" x14ac:dyDescent="0.25">
      <c r="C542" s="38"/>
    </row>
    <row r="543" spans="3:3" x14ac:dyDescent="0.25">
      <c r="C543" s="38"/>
    </row>
    <row r="544" spans="3:3" x14ac:dyDescent="0.25">
      <c r="C544" s="38"/>
    </row>
    <row r="545" spans="3:3" x14ac:dyDescent="0.25">
      <c r="C545" s="38"/>
    </row>
    <row r="546" spans="3:3" x14ac:dyDescent="0.25">
      <c r="C546" s="38"/>
    </row>
    <row r="547" spans="3:3" x14ac:dyDescent="0.25">
      <c r="C547" s="38"/>
    </row>
    <row r="548" spans="3:3" x14ac:dyDescent="0.25">
      <c r="C548" s="38"/>
    </row>
    <row r="549" spans="3:3" x14ac:dyDescent="0.25">
      <c r="C549" s="38"/>
    </row>
    <row r="550" spans="3:3" x14ac:dyDescent="0.25">
      <c r="C550" s="38"/>
    </row>
    <row r="551" spans="3:3" x14ac:dyDescent="0.25">
      <c r="C551" s="38"/>
    </row>
    <row r="552" spans="3:3" x14ac:dyDescent="0.25">
      <c r="C552" s="38"/>
    </row>
    <row r="553" spans="3:3" x14ac:dyDescent="0.25">
      <c r="C553" s="38"/>
    </row>
    <row r="554" spans="3:3" x14ac:dyDescent="0.25">
      <c r="C554" s="38"/>
    </row>
    <row r="555" spans="3:3" x14ac:dyDescent="0.25">
      <c r="C555" s="38"/>
    </row>
    <row r="556" spans="3:3" x14ac:dyDescent="0.25">
      <c r="C556" s="38"/>
    </row>
    <row r="557" spans="3:3" x14ac:dyDescent="0.25">
      <c r="C557" s="38"/>
    </row>
  </sheetData>
  <conditionalFormatting sqref="L15:L17 L58:L59 L201 L237">
    <cfRule type="containsText" dxfId="5622" priority="500" operator="containsText" text="FAIL">
      <formula>NOT(ISERROR(SEARCH("FAIL",L15)))</formula>
    </cfRule>
  </conditionalFormatting>
  <conditionalFormatting sqref="L15:L17 L58:L59 L201 L237">
    <cfRule type="containsText" dxfId="5621" priority="499" operator="containsText" text="GOOD">
      <formula>NOT(ISERROR(SEARCH("GOOD",L15)))</formula>
    </cfRule>
  </conditionalFormatting>
  <conditionalFormatting sqref="L56">
    <cfRule type="containsText" dxfId="5620" priority="492" operator="containsText" text="FAIL">
      <formula>NOT(ISERROR(SEARCH("FAIL",L56)))</formula>
    </cfRule>
  </conditionalFormatting>
  <conditionalFormatting sqref="L56">
    <cfRule type="containsText" dxfId="5619" priority="491" operator="containsText" text="GOOD">
      <formula>NOT(ISERROR(SEARCH("GOOD",L56)))</formula>
    </cfRule>
  </conditionalFormatting>
  <conditionalFormatting sqref="L55">
    <cfRule type="containsText" dxfId="5618" priority="490" operator="containsText" text="FAIL">
      <formula>NOT(ISERROR(SEARCH("FAIL",L55)))</formula>
    </cfRule>
  </conditionalFormatting>
  <conditionalFormatting sqref="L55">
    <cfRule type="containsText" dxfId="5617" priority="489" operator="containsText" text="GOOD">
      <formula>NOT(ISERROR(SEARCH("GOOD",L55)))</formula>
    </cfRule>
  </conditionalFormatting>
  <conditionalFormatting sqref="L54">
    <cfRule type="containsText" dxfId="5616" priority="488" operator="containsText" text="FAIL">
      <formula>NOT(ISERROR(SEARCH("FAIL",L54)))</formula>
    </cfRule>
  </conditionalFormatting>
  <conditionalFormatting sqref="L54">
    <cfRule type="containsText" dxfId="5615" priority="487" operator="containsText" text="GOOD">
      <formula>NOT(ISERROR(SEARCH("GOOD",L54)))</formula>
    </cfRule>
  </conditionalFormatting>
  <conditionalFormatting sqref="L53">
    <cfRule type="containsText" dxfId="5614" priority="486" operator="containsText" text="FAIL">
      <formula>NOT(ISERROR(SEARCH("FAIL",L53)))</formula>
    </cfRule>
  </conditionalFormatting>
  <conditionalFormatting sqref="L53">
    <cfRule type="containsText" dxfId="5613" priority="485" operator="containsText" text="GOOD">
      <formula>NOT(ISERROR(SEARCH("GOOD",L53)))</formula>
    </cfRule>
  </conditionalFormatting>
  <conditionalFormatting sqref="L51:L52">
    <cfRule type="containsText" dxfId="5612" priority="484" operator="containsText" text="FAIL">
      <formula>NOT(ISERROR(SEARCH("FAIL",L51)))</formula>
    </cfRule>
  </conditionalFormatting>
  <conditionalFormatting sqref="L51:L52">
    <cfRule type="containsText" dxfId="5611" priority="483" operator="containsText" text="GOOD">
      <formula>NOT(ISERROR(SEARCH("GOOD",L51)))</formula>
    </cfRule>
  </conditionalFormatting>
  <conditionalFormatting sqref="L49:L50">
    <cfRule type="containsText" dxfId="5610" priority="482" operator="containsText" text="FAIL">
      <formula>NOT(ISERROR(SEARCH("FAIL",L49)))</formula>
    </cfRule>
  </conditionalFormatting>
  <conditionalFormatting sqref="L49:L50">
    <cfRule type="containsText" dxfId="5609" priority="481" operator="containsText" text="GOOD">
      <formula>NOT(ISERROR(SEARCH("GOOD",L49)))</formula>
    </cfRule>
  </conditionalFormatting>
  <conditionalFormatting sqref="L48">
    <cfRule type="containsText" dxfId="5608" priority="480" operator="containsText" text="FAIL">
      <formula>NOT(ISERROR(SEARCH("FAIL",L48)))</formula>
    </cfRule>
  </conditionalFormatting>
  <conditionalFormatting sqref="L48">
    <cfRule type="containsText" dxfId="5607" priority="479" operator="containsText" text="GOOD">
      <formula>NOT(ISERROR(SEARCH("GOOD",L48)))</formula>
    </cfRule>
  </conditionalFormatting>
  <conditionalFormatting sqref="L52">
    <cfRule type="containsText" dxfId="5606" priority="478" operator="containsText" text="FAIL">
      <formula>NOT(ISERROR(SEARCH("FAIL",L52)))</formula>
    </cfRule>
  </conditionalFormatting>
  <conditionalFormatting sqref="L52">
    <cfRule type="containsText" dxfId="5605" priority="477" operator="containsText" text="GOOD">
      <formula>NOT(ISERROR(SEARCH("GOOD",L52)))</formula>
    </cfRule>
  </conditionalFormatting>
  <conditionalFormatting sqref="L50">
    <cfRule type="containsText" dxfId="5604" priority="476" operator="containsText" text="FAIL">
      <formula>NOT(ISERROR(SEARCH("FAIL",L50)))</formula>
    </cfRule>
  </conditionalFormatting>
  <conditionalFormatting sqref="L50">
    <cfRule type="containsText" dxfId="5603" priority="475" operator="containsText" text="GOOD">
      <formula>NOT(ISERROR(SEARCH("GOOD",L50)))</formula>
    </cfRule>
  </conditionalFormatting>
  <conditionalFormatting sqref="L47">
    <cfRule type="containsText" dxfId="5602" priority="474" operator="containsText" text="FAIL">
      <formula>NOT(ISERROR(SEARCH("FAIL",L47)))</formula>
    </cfRule>
  </conditionalFormatting>
  <conditionalFormatting sqref="L47">
    <cfRule type="containsText" dxfId="5601" priority="473" operator="containsText" text="GOOD">
      <formula>NOT(ISERROR(SEARCH("GOOD",L47)))</formula>
    </cfRule>
  </conditionalFormatting>
  <conditionalFormatting sqref="L46">
    <cfRule type="containsText" dxfId="5600" priority="472" operator="containsText" text="FAIL">
      <formula>NOT(ISERROR(SEARCH("FAIL",L46)))</formula>
    </cfRule>
  </conditionalFormatting>
  <conditionalFormatting sqref="L46">
    <cfRule type="containsText" dxfId="5599" priority="471" operator="containsText" text="GOOD">
      <formula>NOT(ISERROR(SEARCH("GOOD",L46)))</formula>
    </cfRule>
  </conditionalFormatting>
  <conditionalFormatting sqref="L44">
    <cfRule type="containsText" dxfId="5598" priority="470" operator="containsText" text="FAIL">
      <formula>NOT(ISERROR(SEARCH("FAIL",L44)))</formula>
    </cfRule>
  </conditionalFormatting>
  <conditionalFormatting sqref="L44">
    <cfRule type="containsText" dxfId="5597" priority="469" operator="containsText" text="GOOD">
      <formula>NOT(ISERROR(SEARCH("GOOD",L44)))</formula>
    </cfRule>
  </conditionalFormatting>
  <conditionalFormatting sqref="L43">
    <cfRule type="containsText" dxfId="5596" priority="468" operator="containsText" text="FAIL">
      <formula>NOT(ISERROR(SEARCH("FAIL",L43)))</formula>
    </cfRule>
  </conditionalFormatting>
  <conditionalFormatting sqref="L43">
    <cfRule type="containsText" dxfId="5595" priority="467" operator="containsText" text="GOOD">
      <formula>NOT(ISERROR(SEARCH("GOOD",L43)))</formula>
    </cfRule>
  </conditionalFormatting>
  <conditionalFormatting sqref="L42">
    <cfRule type="containsText" dxfId="5594" priority="466" operator="containsText" text="FAIL">
      <formula>NOT(ISERROR(SEARCH("FAIL",L42)))</formula>
    </cfRule>
  </conditionalFormatting>
  <conditionalFormatting sqref="L42">
    <cfRule type="containsText" dxfId="5593" priority="465" operator="containsText" text="GOOD">
      <formula>NOT(ISERROR(SEARCH("GOOD",L42)))</formula>
    </cfRule>
  </conditionalFormatting>
  <conditionalFormatting sqref="L41">
    <cfRule type="containsText" dxfId="5592" priority="464" operator="containsText" text="FAIL">
      <formula>NOT(ISERROR(SEARCH("FAIL",L41)))</formula>
    </cfRule>
  </conditionalFormatting>
  <conditionalFormatting sqref="L41">
    <cfRule type="containsText" dxfId="5591" priority="463" operator="containsText" text="GOOD">
      <formula>NOT(ISERROR(SEARCH("GOOD",L41)))</formula>
    </cfRule>
  </conditionalFormatting>
  <conditionalFormatting sqref="L39:L40">
    <cfRule type="containsText" dxfId="5590" priority="462" operator="containsText" text="FAIL">
      <formula>NOT(ISERROR(SEARCH("FAIL",L39)))</formula>
    </cfRule>
  </conditionalFormatting>
  <conditionalFormatting sqref="L39:L40">
    <cfRule type="containsText" dxfId="5589" priority="461" operator="containsText" text="GOOD">
      <formula>NOT(ISERROR(SEARCH("GOOD",L39)))</formula>
    </cfRule>
  </conditionalFormatting>
  <conditionalFormatting sqref="L37:L38">
    <cfRule type="containsText" dxfId="5588" priority="460" operator="containsText" text="FAIL">
      <formula>NOT(ISERROR(SEARCH("FAIL",L37)))</formula>
    </cfRule>
  </conditionalFormatting>
  <conditionalFormatting sqref="L37:L38">
    <cfRule type="containsText" dxfId="5587" priority="459" operator="containsText" text="GOOD">
      <formula>NOT(ISERROR(SEARCH("GOOD",L37)))</formula>
    </cfRule>
  </conditionalFormatting>
  <conditionalFormatting sqref="L36">
    <cfRule type="containsText" dxfId="5586" priority="458" operator="containsText" text="FAIL">
      <formula>NOT(ISERROR(SEARCH("FAIL",L36)))</formula>
    </cfRule>
  </conditionalFormatting>
  <conditionalFormatting sqref="L36">
    <cfRule type="containsText" dxfId="5585" priority="457" operator="containsText" text="GOOD">
      <formula>NOT(ISERROR(SEARCH("GOOD",L36)))</formula>
    </cfRule>
  </conditionalFormatting>
  <conditionalFormatting sqref="L35">
    <cfRule type="containsText" dxfId="5584" priority="456" operator="containsText" text="FAIL">
      <formula>NOT(ISERROR(SEARCH("FAIL",L35)))</formula>
    </cfRule>
  </conditionalFormatting>
  <conditionalFormatting sqref="L35">
    <cfRule type="containsText" dxfId="5583" priority="455" operator="containsText" text="GOOD">
      <formula>NOT(ISERROR(SEARCH("GOOD",L35)))</formula>
    </cfRule>
  </conditionalFormatting>
  <conditionalFormatting sqref="L34">
    <cfRule type="containsText" dxfId="5582" priority="454" operator="containsText" text="FAIL">
      <formula>NOT(ISERROR(SEARCH("FAIL",L34)))</formula>
    </cfRule>
  </conditionalFormatting>
  <conditionalFormatting sqref="L34">
    <cfRule type="containsText" dxfId="5581" priority="453" operator="containsText" text="GOOD">
      <formula>NOT(ISERROR(SEARCH("GOOD",L34)))</formula>
    </cfRule>
  </conditionalFormatting>
  <conditionalFormatting sqref="L32">
    <cfRule type="containsText" dxfId="5580" priority="452" operator="containsText" text="FAIL">
      <formula>NOT(ISERROR(SEARCH("FAIL",L32)))</formula>
    </cfRule>
  </conditionalFormatting>
  <conditionalFormatting sqref="L32">
    <cfRule type="containsText" dxfId="5579" priority="451" operator="containsText" text="GOOD">
      <formula>NOT(ISERROR(SEARCH("GOOD",L32)))</formula>
    </cfRule>
  </conditionalFormatting>
  <conditionalFormatting sqref="L33">
    <cfRule type="containsText" dxfId="5578" priority="450" operator="containsText" text="FAIL">
      <formula>NOT(ISERROR(SEARCH("FAIL",L33)))</formula>
    </cfRule>
  </conditionalFormatting>
  <conditionalFormatting sqref="L33">
    <cfRule type="containsText" dxfId="5577" priority="449" operator="containsText" text="GOOD">
      <formula>NOT(ISERROR(SEARCH("GOOD",L33)))</formula>
    </cfRule>
  </conditionalFormatting>
  <conditionalFormatting sqref="L30">
    <cfRule type="containsText" dxfId="5576" priority="448" operator="containsText" text="FAIL">
      <formula>NOT(ISERROR(SEARCH("FAIL",L30)))</formula>
    </cfRule>
  </conditionalFormatting>
  <conditionalFormatting sqref="L30">
    <cfRule type="containsText" dxfId="5575" priority="447" operator="containsText" text="GOOD">
      <formula>NOT(ISERROR(SEARCH("GOOD",L30)))</formula>
    </cfRule>
  </conditionalFormatting>
  <conditionalFormatting sqref="L29">
    <cfRule type="containsText" dxfId="5574" priority="446" operator="containsText" text="FAIL">
      <formula>NOT(ISERROR(SEARCH("FAIL",L29)))</formula>
    </cfRule>
  </conditionalFormatting>
  <conditionalFormatting sqref="L29">
    <cfRule type="containsText" dxfId="5573" priority="445" operator="containsText" text="GOOD">
      <formula>NOT(ISERROR(SEARCH("GOOD",L29)))</formula>
    </cfRule>
  </conditionalFormatting>
  <conditionalFormatting sqref="L28">
    <cfRule type="containsText" dxfId="5572" priority="444" operator="containsText" text="FAIL">
      <formula>NOT(ISERROR(SEARCH("FAIL",L28)))</formula>
    </cfRule>
  </conditionalFormatting>
  <conditionalFormatting sqref="L28">
    <cfRule type="containsText" dxfId="5571" priority="443" operator="containsText" text="GOOD">
      <formula>NOT(ISERROR(SEARCH("GOOD",L28)))</formula>
    </cfRule>
  </conditionalFormatting>
  <conditionalFormatting sqref="L26:L27">
    <cfRule type="containsText" dxfId="5570" priority="442" operator="containsText" text="FAIL">
      <formula>NOT(ISERROR(SEARCH("FAIL",L26)))</formula>
    </cfRule>
  </conditionalFormatting>
  <conditionalFormatting sqref="L26:L27">
    <cfRule type="containsText" dxfId="5569" priority="441" operator="containsText" text="GOOD">
      <formula>NOT(ISERROR(SEARCH("GOOD",L26)))</formula>
    </cfRule>
  </conditionalFormatting>
  <conditionalFormatting sqref="L25">
    <cfRule type="containsText" dxfId="5568" priority="440" operator="containsText" text="FAIL">
      <formula>NOT(ISERROR(SEARCH("FAIL",L25)))</formula>
    </cfRule>
  </conditionalFormatting>
  <conditionalFormatting sqref="L25">
    <cfRule type="containsText" dxfId="5567" priority="439" operator="containsText" text="GOOD">
      <formula>NOT(ISERROR(SEARCH("GOOD",L25)))</formula>
    </cfRule>
  </conditionalFormatting>
  <conditionalFormatting sqref="L24">
    <cfRule type="containsText" dxfId="5566" priority="438" operator="containsText" text="FAIL">
      <formula>NOT(ISERROR(SEARCH("FAIL",L24)))</formula>
    </cfRule>
  </conditionalFormatting>
  <conditionalFormatting sqref="L24">
    <cfRule type="containsText" dxfId="5565" priority="437" operator="containsText" text="GOOD">
      <formula>NOT(ISERROR(SEARCH("GOOD",L24)))</formula>
    </cfRule>
  </conditionalFormatting>
  <conditionalFormatting sqref="L23">
    <cfRule type="containsText" dxfId="5564" priority="436" operator="containsText" text="FAIL">
      <formula>NOT(ISERROR(SEARCH("FAIL",L23)))</formula>
    </cfRule>
  </conditionalFormatting>
  <conditionalFormatting sqref="L23">
    <cfRule type="containsText" dxfId="5563" priority="435" operator="containsText" text="GOOD">
      <formula>NOT(ISERROR(SEARCH("GOOD",L23)))</formula>
    </cfRule>
  </conditionalFormatting>
  <conditionalFormatting sqref="L22">
    <cfRule type="containsText" dxfId="5562" priority="434" operator="containsText" text="FAIL">
      <formula>NOT(ISERROR(SEARCH("FAIL",L22)))</formula>
    </cfRule>
  </conditionalFormatting>
  <conditionalFormatting sqref="L22">
    <cfRule type="containsText" dxfId="5561" priority="433" operator="containsText" text="GOOD">
      <formula>NOT(ISERROR(SEARCH("GOOD",L22)))</formula>
    </cfRule>
  </conditionalFormatting>
  <conditionalFormatting sqref="L20">
    <cfRule type="containsText" dxfId="5560" priority="432" operator="containsText" text="FAIL">
      <formula>NOT(ISERROR(SEARCH("FAIL",L20)))</formula>
    </cfRule>
  </conditionalFormatting>
  <conditionalFormatting sqref="L20">
    <cfRule type="containsText" dxfId="5559" priority="431" operator="containsText" text="GOOD">
      <formula>NOT(ISERROR(SEARCH("GOOD",L20)))</formula>
    </cfRule>
  </conditionalFormatting>
  <conditionalFormatting sqref="L19">
    <cfRule type="containsText" dxfId="5558" priority="430" operator="containsText" text="FAIL">
      <formula>NOT(ISERROR(SEARCH("FAIL",L19)))</formula>
    </cfRule>
  </conditionalFormatting>
  <conditionalFormatting sqref="L19">
    <cfRule type="containsText" dxfId="5557" priority="429" operator="containsText" text="GOOD">
      <formula>NOT(ISERROR(SEARCH("GOOD",L19)))</formula>
    </cfRule>
  </conditionalFormatting>
  <conditionalFormatting sqref="L18">
    <cfRule type="containsText" dxfId="5556" priority="428" operator="containsText" text="FAIL">
      <formula>NOT(ISERROR(SEARCH("FAIL",L18)))</formula>
    </cfRule>
  </conditionalFormatting>
  <conditionalFormatting sqref="L18">
    <cfRule type="containsText" dxfId="5555" priority="427" operator="containsText" text="GOOD">
      <formula>NOT(ISERROR(SEARCH("GOOD",L18)))</formula>
    </cfRule>
  </conditionalFormatting>
  <conditionalFormatting sqref="L13">
    <cfRule type="containsText" dxfId="5554" priority="424" operator="containsText" text="FAIL">
      <formula>NOT(ISERROR(SEARCH("FAIL",L13)))</formula>
    </cfRule>
  </conditionalFormatting>
  <conditionalFormatting sqref="L13">
    <cfRule type="containsText" dxfId="5553" priority="423" operator="containsText" text="GOOD">
      <formula>NOT(ISERROR(SEARCH("GOOD",L13)))</formula>
    </cfRule>
  </conditionalFormatting>
  <conditionalFormatting sqref="L14">
    <cfRule type="containsText" dxfId="5552" priority="414" operator="containsText" text="FAIL">
      <formula>NOT(ISERROR(SEARCH("FAIL",L14)))</formula>
    </cfRule>
  </conditionalFormatting>
  <conditionalFormatting sqref="L14">
    <cfRule type="containsText" dxfId="5551" priority="413" operator="containsText" text="GOOD">
      <formula>NOT(ISERROR(SEARCH("GOOD",L14)))</formula>
    </cfRule>
  </conditionalFormatting>
  <conditionalFormatting sqref="L93">
    <cfRule type="containsText" dxfId="5550" priority="406" operator="containsText" text="FAIL">
      <formula>NOT(ISERROR(SEARCH("FAIL",L93)))</formula>
    </cfRule>
  </conditionalFormatting>
  <conditionalFormatting sqref="L93">
    <cfRule type="containsText" dxfId="5549" priority="405" operator="containsText" text="GOOD">
      <formula>NOT(ISERROR(SEARCH("GOOD",L93)))</formula>
    </cfRule>
  </conditionalFormatting>
  <conditionalFormatting sqref="L94">
    <cfRule type="containsText" dxfId="5548" priority="404" operator="containsText" text="FAIL">
      <formula>NOT(ISERROR(SEARCH("FAIL",L94)))</formula>
    </cfRule>
  </conditionalFormatting>
  <conditionalFormatting sqref="L94">
    <cfRule type="containsText" dxfId="5547" priority="403" operator="containsText" text="GOOD">
      <formula>NOT(ISERROR(SEARCH("GOOD",L94)))</formula>
    </cfRule>
  </conditionalFormatting>
  <conditionalFormatting sqref="L95">
    <cfRule type="containsText" dxfId="5546" priority="402" operator="containsText" text="FAIL">
      <formula>NOT(ISERROR(SEARCH("FAIL",L95)))</formula>
    </cfRule>
  </conditionalFormatting>
  <conditionalFormatting sqref="L95">
    <cfRule type="containsText" dxfId="5545" priority="401" operator="containsText" text="GOOD">
      <formula>NOT(ISERROR(SEARCH("GOOD",L95)))</formula>
    </cfRule>
  </conditionalFormatting>
  <conditionalFormatting sqref="L96">
    <cfRule type="containsText" dxfId="5544" priority="400" operator="containsText" text="FAIL">
      <formula>NOT(ISERROR(SEARCH("FAIL",L96)))</formula>
    </cfRule>
  </conditionalFormatting>
  <conditionalFormatting sqref="L96">
    <cfRule type="containsText" dxfId="5543" priority="399" operator="containsText" text="GOOD">
      <formula>NOT(ISERROR(SEARCH("GOOD",L96)))</formula>
    </cfRule>
  </conditionalFormatting>
  <conditionalFormatting sqref="L97">
    <cfRule type="containsText" dxfId="5542" priority="398" operator="containsText" text="FAIL">
      <formula>NOT(ISERROR(SEARCH("FAIL",L97)))</formula>
    </cfRule>
  </conditionalFormatting>
  <conditionalFormatting sqref="L97">
    <cfRule type="containsText" dxfId="5541" priority="397" operator="containsText" text="GOOD">
      <formula>NOT(ISERROR(SEARCH("GOOD",L97)))</formula>
    </cfRule>
  </conditionalFormatting>
  <conditionalFormatting sqref="L98">
    <cfRule type="containsText" dxfId="5540" priority="396" operator="containsText" text="FAIL">
      <formula>NOT(ISERROR(SEARCH("FAIL",L98)))</formula>
    </cfRule>
  </conditionalFormatting>
  <conditionalFormatting sqref="L98">
    <cfRule type="containsText" dxfId="5539" priority="395" operator="containsText" text="GOOD">
      <formula>NOT(ISERROR(SEARCH("GOOD",L98)))</formula>
    </cfRule>
  </conditionalFormatting>
  <conditionalFormatting sqref="L99">
    <cfRule type="containsText" dxfId="5538" priority="394" operator="containsText" text="FAIL">
      <formula>NOT(ISERROR(SEARCH("FAIL",L99)))</formula>
    </cfRule>
  </conditionalFormatting>
  <conditionalFormatting sqref="L99">
    <cfRule type="containsText" dxfId="5537" priority="393" operator="containsText" text="GOOD">
      <formula>NOT(ISERROR(SEARCH("GOOD",L99)))</formula>
    </cfRule>
  </conditionalFormatting>
  <conditionalFormatting sqref="L100">
    <cfRule type="containsText" dxfId="5536" priority="392" operator="containsText" text="FAIL">
      <formula>NOT(ISERROR(SEARCH("FAIL",L100)))</formula>
    </cfRule>
  </conditionalFormatting>
  <conditionalFormatting sqref="L100">
    <cfRule type="containsText" dxfId="5535" priority="391" operator="containsText" text="GOOD">
      <formula>NOT(ISERROR(SEARCH("GOOD",L100)))</formula>
    </cfRule>
  </conditionalFormatting>
  <conditionalFormatting sqref="L101">
    <cfRule type="containsText" dxfId="5534" priority="390" operator="containsText" text="FAIL">
      <formula>NOT(ISERROR(SEARCH("FAIL",L101)))</formula>
    </cfRule>
  </conditionalFormatting>
  <conditionalFormatting sqref="L101">
    <cfRule type="containsText" dxfId="5533" priority="389" operator="containsText" text="GOOD">
      <formula>NOT(ISERROR(SEARCH("GOOD",L101)))</formula>
    </cfRule>
  </conditionalFormatting>
  <conditionalFormatting sqref="L102">
    <cfRule type="containsText" dxfId="5532" priority="388" operator="containsText" text="FAIL">
      <formula>NOT(ISERROR(SEARCH("FAIL",L102)))</formula>
    </cfRule>
  </conditionalFormatting>
  <conditionalFormatting sqref="L102">
    <cfRule type="containsText" dxfId="5531" priority="387" operator="containsText" text="GOOD">
      <formula>NOT(ISERROR(SEARCH("GOOD",L102)))</formula>
    </cfRule>
  </conditionalFormatting>
  <conditionalFormatting sqref="L103">
    <cfRule type="containsText" dxfId="5530" priority="386" operator="containsText" text="FAIL">
      <formula>NOT(ISERROR(SEARCH("FAIL",L103)))</formula>
    </cfRule>
  </conditionalFormatting>
  <conditionalFormatting sqref="L103">
    <cfRule type="containsText" dxfId="5529" priority="385" operator="containsText" text="GOOD">
      <formula>NOT(ISERROR(SEARCH("GOOD",L103)))</formula>
    </cfRule>
  </conditionalFormatting>
  <conditionalFormatting sqref="L104">
    <cfRule type="containsText" dxfId="5528" priority="384" operator="containsText" text="FAIL">
      <formula>NOT(ISERROR(SEARCH("FAIL",L104)))</formula>
    </cfRule>
  </conditionalFormatting>
  <conditionalFormatting sqref="L104">
    <cfRule type="containsText" dxfId="5527" priority="383" operator="containsText" text="GOOD">
      <formula>NOT(ISERROR(SEARCH("GOOD",L104)))</formula>
    </cfRule>
  </conditionalFormatting>
  <conditionalFormatting sqref="L106">
    <cfRule type="containsText" dxfId="5526" priority="382" operator="containsText" text="FAIL">
      <formula>NOT(ISERROR(SEARCH("FAIL",L106)))</formula>
    </cfRule>
  </conditionalFormatting>
  <conditionalFormatting sqref="L106">
    <cfRule type="containsText" dxfId="5525" priority="381" operator="containsText" text="GOOD">
      <formula>NOT(ISERROR(SEARCH("GOOD",L106)))</formula>
    </cfRule>
  </conditionalFormatting>
  <conditionalFormatting sqref="L105">
    <cfRule type="containsText" dxfId="5524" priority="380" operator="containsText" text="FAIL">
      <formula>NOT(ISERROR(SEARCH("FAIL",L105)))</formula>
    </cfRule>
  </conditionalFormatting>
  <conditionalFormatting sqref="L105">
    <cfRule type="containsText" dxfId="5523" priority="379" operator="containsText" text="GOOD">
      <formula>NOT(ISERROR(SEARCH("GOOD",L105)))</formula>
    </cfRule>
  </conditionalFormatting>
  <conditionalFormatting sqref="L108">
    <cfRule type="containsText" dxfId="5522" priority="378" operator="containsText" text="FAIL">
      <formula>NOT(ISERROR(SEARCH("FAIL",L108)))</formula>
    </cfRule>
  </conditionalFormatting>
  <conditionalFormatting sqref="L108">
    <cfRule type="containsText" dxfId="5521" priority="377" operator="containsText" text="GOOD">
      <formula>NOT(ISERROR(SEARCH("GOOD",L108)))</formula>
    </cfRule>
  </conditionalFormatting>
  <conditionalFormatting sqref="L107">
    <cfRule type="containsText" dxfId="5520" priority="376" operator="containsText" text="FAIL">
      <formula>NOT(ISERROR(SEARCH("FAIL",L107)))</formula>
    </cfRule>
  </conditionalFormatting>
  <conditionalFormatting sqref="L107">
    <cfRule type="containsText" dxfId="5519" priority="375" operator="containsText" text="GOOD">
      <formula>NOT(ISERROR(SEARCH("GOOD",L107)))</formula>
    </cfRule>
  </conditionalFormatting>
  <conditionalFormatting sqref="L109">
    <cfRule type="containsText" dxfId="5518" priority="374" operator="containsText" text="FAIL">
      <formula>NOT(ISERROR(SEARCH("FAIL",L109)))</formula>
    </cfRule>
  </conditionalFormatting>
  <conditionalFormatting sqref="L109">
    <cfRule type="containsText" dxfId="5517" priority="373" operator="containsText" text="GOOD">
      <formula>NOT(ISERROR(SEARCH("GOOD",L109)))</formula>
    </cfRule>
  </conditionalFormatting>
  <conditionalFormatting sqref="L110">
    <cfRule type="containsText" dxfId="5516" priority="372" operator="containsText" text="FAIL">
      <formula>NOT(ISERROR(SEARCH("FAIL",L110)))</formula>
    </cfRule>
  </conditionalFormatting>
  <conditionalFormatting sqref="L110">
    <cfRule type="containsText" dxfId="5515" priority="371" operator="containsText" text="GOOD">
      <formula>NOT(ISERROR(SEARCH("GOOD",L110)))</formula>
    </cfRule>
  </conditionalFormatting>
  <conditionalFormatting sqref="L110">
    <cfRule type="containsText" dxfId="5514" priority="370" operator="containsText" text="FAIL">
      <formula>NOT(ISERROR(SEARCH("FAIL",L110)))</formula>
    </cfRule>
  </conditionalFormatting>
  <conditionalFormatting sqref="L110">
    <cfRule type="containsText" dxfId="5513" priority="369" operator="containsText" text="GOOD">
      <formula>NOT(ISERROR(SEARCH("GOOD",L110)))</formula>
    </cfRule>
  </conditionalFormatting>
  <conditionalFormatting sqref="L111">
    <cfRule type="containsText" dxfId="5512" priority="368" operator="containsText" text="FAIL">
      <formula>NOT(ISERROR(SEARCH("FAIL",L111)))</formula>
    </cfRule>
  </conditionalFormatting>
  <conditionalFormatting sqref="L111">
    <cfRule type="containsText" dxfId="5511" priority="367" operator="containsText" text="GOOD">
      <formula>NOT(ISERROR(SEARCH("GOOD",L111)))</formula>
    </cfRule>
  </conditionalFormatting>
  <conditionalFormatting sqref="L112">
    <cfRule type="containsText" dxfId="5510" priority="366" operator="containsText" text="FAIL">
      <formula>NOT(ISERROR(SEARCH("FAIL",L112)))</formula>
    </cfRule>
  </conditionalFormatting>
  <conditionalFormatting sqref="L112">
    <cfRule type="containsText" dxfId="5509" priority="365" operator="containsText" text="GOOD">
      <formula>NOT(ISERROR(SEARCH("GOOD",L112)))</formula>
    </cfRule>
  </conditionalFormatting>
  <conditionalFormatting sqref="L117">
    <cfRule type="containsText" dxfId="5508" priority="364" operator="containsText" text="FAIL">
      <formula>NOT(ISERROR(SEARCH("FAIL",L117)))</formula>
    </cfRule>
  </conditionalFormatting>
  <conditionalFormatting sqref="L117">
    <cfRule type="containsText" dxfId="5507" priority="363" operator="containsText" text="GOOD">
      <formula>NOT(ISERROR(SEARCH("GOOD",L117)))</formula>
    </cfRule>
  </conditionalFormatting>
  <conditionalFormatting sqref="L118">
    <cfRule type="containsText" dxfId="5506" priority="360" operator="containsText" text="FAIL">
      <formula>NOT(ISERROR(SEARCH("FAIL",L118)))</formula>
    </cfRule>
  </conditionalFormatting>
  <conditionalFormatting sqref="L118">
    <cfRule type="containsText" dxfId="5505" priority="359" operator="containsText" text="GOOD">
      <formula>NOT(ISERROR(SEARCH("GOOD",L118)))</formula>
    </cfRule>
  </conditionalFormatting>
  <conditionalFormatting sqref="L119">
    <cfRule type="containsText" dxfId="5504" priority="358" operator="containsText" text="FAIL">
      <formula>NOT(ISERROR(SEARCH("FAIL",L119)))</formula>
    </cfRule>
  </conditionalFormatting>
  <conditionalFormatting sqref="L119">
    <cfRule type="containsText" dxfId="5503" priority="357" operator="containsText" text="GOOD">
      <formula>NOT(ISERROR(SEARCH("GOOD",L119)))</formula>
    </cfRule>
  </conditionalFormatting>
  <conditionalFormatting sqref="L120:L121">
    <cfRule type="containsText" dxfId="5502" priority="356" operator="containsText" text="FAIL">
      <formula>NOT(ISERROR(SEARCH("FAIL",L120)))</formula>
    </cfRule>
  </conditionalFormatting>
  <conditionalFormatting sqref="L120:L121">
    <cfRule type="containsText" dxfId="5501" priority="355" operator="containsText" text="GOOD">
      <formula>NOT(ISERROR(SEARCH("GOOD",L120)))</formula>
    </cfRule>
  </conditionalFormatting>
  <conditionalFormatting sqref="L122">
    <cfRule type="containsText" dxfId="5500" priority="354" operator="containsText" text="FAIL">
      <formula>NOT(ISERROR(SEARCH("FAIL",L122)))</formula>
    </cfRule>
  </conditionalFormatting>
  <conditionalFormatting sqref="L122">
    <cfRule type="containsText" dxfId="5499" priority="353" operator="containsText" text="GOOD">
      <formula>NOT(ISERROR(SEARCH("GOOD",L122)))</formula>
    </cfRule>
  </conditionalFormatting>
  <conditionalFormatting sqref="L123">
    <cfRule type="containsText" dxfId="5498" priority="352" operator="containsText" text="FAIL">
      <formula>NOT(ISERROR(SEARCH("FAIL",L123)))</formula>
    </cfRule>
  </conditionalFormatting>
  <conditionalFormatting sqref="L123">
    <cfRule type="containsText" dxfId="5497" priority="351" operator="containsText" text="GOOD">
      <formula>NOT(ISERROR(SEARCH("GOOD",L123)))</formula>
    </cfRule>
  </conditionalFormatting>
  <conditionalFormatting sqref="L124">
    <cfRule type="containsText" dxfId="5496" priority="350" operator="containsText" text="FAIL">
      <formula>NOT(ISERROR(SEARCH("FAIL",L124)))</formula>
    </cfRule>
  </conditionalFormatting>
  <conditionalFormatting sqref="L124">
    <cfRule type="containsText" dxfId="5495" priority="349" operator="containsText" text="GOOD">
      <formula>NOT(ISERROR(SEARCH("GOOD",L124)))</formula>
    </cfRule>
  </conditionalFormatting>
  <conditionalFormatting sqref="L125">
    <cfRule type="containsText" dxfId="5494" priority="348" operator="containsText" text="FAIL">
      <formula>NOT(ISERROR(SEARCH("FAIL",L125)))</formula>
    </cfRule>
  </conditionalFormatting>
  <conditionalFormatting sqref="L125">
    <cfRule type="containsText" dxfId="5493" priority="347" operator="containsText" text="GOOD">
      <formula>NOT(ISERROR(SEARCH("GOOD",L125)))</formula>
    </cfRule>
  </conditionalFormatting>
  <conditionalFormatting sqref="L126">
    <cfRule type="containsText" dxfId="5492" priority="346" operator="containsText" text="FAIL">
      <formula>NOT(ISERROR(SEARCH("FAIL",L126)))</formula>
    </cfRule>
  </conditionalFormatting>
  <conditionalFormatting sqref="L126">
    <cfRule type="containsText" dxfId="5491" priority="345" operator="containsText" text="GOOD">
      <formula>NOT(ISERROR(SEARCH("GOOD",L126)))</formula>
    </cfRule>
  </conditionalFormatting>
  <conditionalFormatting sqref="L127">
    <cfRule type="containsText" dxfId="5490" priority="344" operator="containsText" text="FAIL">
      <formula>NOT(ISERROR(SEARCH("FAIL",L127)))</formula>
    </cfRule>
  </conditionalFormatting>
  <conditionalFormatting sqref="L127">
    <cfRule type="containsText" dxfId="5489" priority="343" operator="containsText" text="GOOD">
      <formula>NOT(ISERROR(SEARCH("GOOD",L127)))</formula>
    </cfRule>
  </conditionalFormatting>
  <conditionalFormatting sqref="L128">
    <cfRule type="containsText" dxfId="5488" priority="342" operator="containsText" text="FAIL">
      <formula>NOT(ISERROR(SEARCH("FAIL",L128)))</formula>
    </cfRule>
  </conditionalFormatting>
  <conditionalFormatting sqref="L128">
    <cfRule type="containsText" dxfId="5487" priority="341" operator="containsText" text="GOOD">
      <formula>NOT(ISERROR(SEARCH("GOOD",L128)))</formula>
    </cfRule>
  </conditionalFormatting>
  <conditionalFormatting sqref="L129">
    <cfRule type="containsText" dxfId="5486" priority="340" operator="containsText" text="FAIL">
      <formula>NOT(ISERROR(SEARCH("FAIL",L129)))</formula>
    </cfRule>
  </conditionalFormatting>
  <conditionalFormatting sqref="L129">
    <cfRule type="containsText" dxfId="5485" priority="339" operator="containsText" text="GOOD">
      <formula>NOT(ISERROR(SEARCH("GOOD",L129)))</formula>
    </cfRule>
  </conditionalFormatting>
  <conditionalFormatting sqref="L129">
    <cfRule type="containsText" dxfId="5484" priority="338" operator="containsText" text="FAIL">
      <formula>NOT(ISERROR(SEARCH("FAIL",L129)))</formula>
    </cfRule>
  </conditionalFormatting>
  <conditionalFormatting sqref="L129">
    <cfRule type="containsText" dxfId="5483" priority="337" operator="containsText" text="GOOD">
      <formula>NOT(ISERROR(SEARCH("GOOD",L129)))</formula>
    </cfRule>
  </conditionalFormatting>
  <conditionalFormatting sqref="L130">
    <cfRule type="containsText" dxfId="5482" priority="336" operator="containsText" text="FAIL">
      <formula>NOT(ISERROR(SEARCH("FAIL",L130)))</formula>
    </cfRule>
  </conditionalFormatting>
  <conditionalFormatting sqref="L130">
    <cfRule type="containsText" dxfId="5481" priority="335" operator="containsText" text="GOOD">
      <formula>NOT(ISERROR(SEARCH("GOOD",L130)))</formula>
    </cfRule>
  </conditionalFormatting>
  <conditionalFormatting sqref="L131">
    <cfRule type="containsText" dxfId="5480" priority="334" operator="containsText" text="FAIL">
      <formula>NOT(ISERROR(SEARCH("FAIL",L131)))</formula>
    </cfRule>
  </conditionalFormatting>
  <conditionalFormatting sqref="L131">
    <cfRule type="containsText" dxfId="5479" priority="333" operator="containsText" text="GOOD">
      <formula>NOT(ISERROR(SEARCH("GOOD",L131)))</formula>
    </cfRule>
  </conditionalFormatting>
  <conditionalFormatting sqref="L132">
    <cfRule type="containsText" dxfId="5478" priority="332" operator="containsText" text="FAIL">
      <formula>NOT(ISERROR(SEARCH("FAIL",L132)))</formula>
    </cfRule>
  </conditionalFormatting>
  <conditionalFormatting sqref="L132">
    <cfRule type="containsText" dxfId="5477" priority="331" operator="containsText" text="GOOD">
      <formula>NOT(ISERROR(SEARCH("GOOD",L132)))</formula>
    </cfRule>
  </conditionalFormatting>
  <conditionalFormatting sqref="L137:L138">
    <cfRule type="containsText" dxfId="5476" priority="328" operator="containsText" text="FAIL">
      <formula>NOT(ISERROR(SEARCH("FAIL",L137)))</formula>
    </cfRule>
  </conditionalFormatting>
  <conditionalFormatting sqref="L137:L138">
    <cfRule type="containsText" dxfId="5475" priority="327" operator="containsText" text="GOOD">
      <formula>NOT(ISERROR(SEARCH("GOOD",L137)))</formula>
    </cfRule>
  </conditionalFormatting>
  <conditionalFormatting sqref="L139">
    <cfRule type="containsText" dxfId="5474" priority="326" operator="containsText" text="FAIL">
      <formula>NOT(ISERROR(SEARCH("FAIL",L139)))</formula>
    </cfRule>
  </conditionalFormatting>
  <conditionalFormatting sqref="L139">
    <cfRule type="containsText" dxfId="5473" priority="325" operator="containsText" text="GOOD">
      <formula>NOT(ISERROR(SEARCH("GOOD",L139)))</formula>
    </cfRule>
  </conditionalFormatting>
  <conditionalFormatting sqref="L140">
    <cfRule type="containsText" dxfId="5472" priority="324" operator="containsText" text="FAIL">
      <formula>NOT(ISERROR(SEARCH("FAIL",L140)))</formula>
    </cfRule>
  </conditionalFormatting>
  <conditionalFormatting sqref="L140">
    <cfRule type="containsText" dxfId="5471" priority="323" operator="containsText" text="GOOD">
      <formula>NOT(ISERROR(SEARCH("GOOD",L140)))</formula>
    </cfRule>
  </conditionalFormatting>
  <conditionalFormatting sqref="L136">
    <cfRule type="containsText" dxfId="5470" priority="322" operator="containsText" text="FAIL">
      <formula>NOT(ISERROR(SEARCH("FAIL",L136)))</formula>
    </cfRule>
  </conditionalFormatting>
  <conditionalFormatting sqref="L136">
    <cfRule type="containsText" dxfId="5469" priority="321" operator="containsText" text="GOOD">
      <formula>NOT(ISERROR(SEARCH("GOOD",L136)))</formula>
    </cfRule>
  </conditionalFormatting>
  <conditionalFormatting sqref="L116">
    <cfRule type="containsText" dxfId="5468" priority="320" operator="containsText" text="FAIL">
      <formula>NOT(ISERROR(SEARCH("FAIL",L116)))</formula>
    </cfRule>
  </conditionalFormatting>
  <conditionalFormatting sqref="L116">
    <cfRule type="containsText" dxfId="5467" priority="319" operator="containsText" text="GOOD">
      <formula>NOT(ISERROR(SEARCH("GOOD",L116)))</formula>
    </cfRule>
  </conditionalFormatting>
  <conditionalFormatting sqref="L116">
    <cfRule type="containsText" dxfId="5466" priority="318" operator="containsText" text="FAIL">
      <formula>NOT(ISERROR(SEARCH("FAIL",L116)))</formula>
    </cfRule>
  </conditionalFormatting>
  <conditionalFormatting sqref="L116">
    <cfRule type="containsText" dxfId="5465" priority="317" operator="containsText" text="GOOD">
      <formula>NOT(ISERROR(SEARCH("GOOD",L116)))</formula>
    </cfRule>
  </conditionalFormatting>
  <conditionalFormatting sqref="L9">
    <cfRule type="containsText" dxfId="5464" priority="316" operator="containsText" text="FAIL">
      <formula>NOT(ISERROR(SEARCH("FAIL",L9)))</formula>
    </cfRule>
  </conditionalFormatting>
  <conditionalFormatting sqref="L9">
    <cfRule type="containsText" dxfId="5463" priority="315" operator="containsText" text="GOOD">
      <formula>NOT(ISERROR(SEARCH("GOOD",L9)))</formula>
    </cfRule>
  </conditionalFormatting>
  <conditionalFormatting sqref="L167:L169">
    <cfRule type="containsText" dxfId="5462" priority="314" operator="containsText" text="FAIL">
      <formula>NOT(ISERROR(SEARCH("FAIL",L167)))</formula>
    </cfRule>
  </conditionalFormatting>
  <conditionalFormatting sqref="L167:L169">
    <cfRule type="containsText" dxfId="5461" priority="313" operator="containsText" text="GOOD">
      <formula>NOT(ISERROR(SEARCH("GOOD",L167)))</formula>
    </cfRule>
  </conditionalFormatting>
  <conditionalFormatting sqref="L181">
    <cfRule type="containsText" dxfId="5460" priority="302" operator="containsText" text="FAIL">
      <formula>NOT(ISERROR(SEARCH("FAIL",L181)))</formula>
    </cfRule>
  </conditionalFormatting>
  <conditionalFormatting sqref="L181">
    <cfRule type="containsText" dxfId="5459" priority="301" operator="containsText" text="GOOD">
      <formula>NOT(ISERROR(SEARCH("GOOD",L181)))</formula>
    </cfRule>
  </conditionalFormatting>
  <conditionalFormatting sqref="L179:L180">
    <cfRule type="containsText" dxfId="5458" priority="282" operator="containsText" text="FAIL">
      <formula>NOT(ISERROR(SEARCH("FAIL",L179)))</formula>
    </cfRule>
  </conditionalFormatting>
  <conditionalFormatting sqref="L179:L180">
    <cfRule type="containsText" dxfId="5457" priority="281" operator="containsText" text="GOOD">
      <formula>NOT(ISERROR(SEARCH("GOOD",L179)))</formula>
    </cfRule>
  </conditionalFormatting>
  <conditionalFormatting sqref="L177:L178">
    <cfRule type="containsText" dxfId="5456" priority="280" operator="containsText" text="FAIL">
      <formula>NOT(ISERROR(SEARCH("FAIL",L177)))</formula>
    </cfRule>
  </conditionalFormatting>
  <conditionalFormatting sqref="L177:L178">
    <cfRule type="containsText" dxfId="5455" priority="279" operator="containsText" text="GOOD">
      <formula>NOT(ISERROR(SEARCH("GOOD",L177)))</formula>
    </cfRule>
  </conditionalFormatting>
  <conditionalFormatting sqref="L176">
    <cfRule type="containsText" dxfId="5454" priority="274" operator="containsText" text="FAIL">
      <formula>NOT(ISERROR(SEARCH("FAIL",L176)))</formula>
    </cfRule>
  </conditionalFormatting>
  <conditionalFormatting sqref="L176">
    <cfRule type="containsText" dxfId="5453" priority="273" operator="containsText" text="GOOD">
      <formula>NOT(ISERROR(SEARCH("GOOD",L176)))</formula>
    </cfRule>
  </conditionalFormatting>
  <conditionalFormatting sqref="L175">
    <cfRule type="containsText" dxfId="5452" priority="272" operator="containsText" text="FAIL">
      <formula>NOT(ISERROR(SEARCH("FAIL",L175)))</formula>
    </cfRule>
  </conditionalFormatting>
  <conditionalFormatting sqref="L175">
    <cfRule type="containsText" dxfId="5451" priority="271" operator="containsText" text="GOOD">
      <formula>NOT(ISERROR(SEARCH("GOOD",L175)))</formula>
    </cfRule>
  </conditionalFormatting>
  <conditionalFormatting sqref="L174">
    <cfRule type="containsText" dxfId="5450" priority="268" operator="containsText" text="FAIL">
      <formula>NOT(ISERROR(SEARCH("FAIL",L174)))</formula>
    </cfRule>
  </conditionalFormatting>
  <conditionalFormatting sqref="L174">
    <cfRule type="containsText" dxfId="5449" priority="267" operator="containsText" text="GOOD">
      <formula>NOT(ISERROR(SEARCH("GOOD",L174)))</formula>
    </cfRule>
  </conditionalFormatting>
  <conditionalFormatting sqref="L173">
    <cfRule type="containsText" dxfId="5448" priority="264" operator="containsText" text="FAIL">
      <formula>NOT(ISERROR(SEARCH("FAIL",L173)))</formula>
    </cfRule>
  </conditionalFormatting>
  <conditionalFormatting sqref="L173">
    <cfRule type="containsText" dxfId="5447" priority="263" operator="containsText" text="GOOD">
      <formula>NOT(ISERROR(SEARCH("GOOD",L173)))</formula>
    </cfRule>
  </conditionalFormatting>
  <conditionalFormatting sqref="L171:L172">
    <cfRule type="containsText" dxfId="5446" priority="262" operator="containsText" text="FAIL">
      <formula>NOT(ISERROR(SEARCH("FAIL",L171)))</formula>
    </cfRule>
  </conditionalFormatting>
  <conditionalFormatting sqref="L171:L172">
    <cfRule type="containsText" dxfId="5445" priority="261" operator="containsText" text="GOOD">
      <formula>NOT(ISERROR(SEARCH("GOOD",L171)))</formula>
    </cfRule>
  </conditionalFormatting>
  <conditionalFormatting sqref="L170">
    <cfRule type="containsText" dxfId="5444" priority="248" operator="containsText" text="FAIL">
      <formula>NOT(ISERROR(SEARCH("FAIL",L170)))</formula>
    </cfRule>
  </conditionalFormatting>
  <conditionalFormatting sqref="L170">
    <cfRule type="containsText" dxfId="5443" priority="247" operator="containsText" text="GOOD">
      <formula>NOT(ISERROR(SEARCH("GOOD",L170)))</formula>
    </cfRule>
  </conditionalFormatting>
  <conditionalFormatting sqref="L202">
    <cfRule type="containsText" dxfId="5442" priority="228" operator="containsText" text="FAIL">
      <formula>NOT(ISERROR(SEARCH("FAIL",L202)))</formula>
    </cfRule>
  </conditionalFormatting>
  <conditionalFormatting sqref="L202">
    <cfRule type="containsText" dxfId="5441" priority="227" operator="containsText" text="GOOD">
      <formula>NOT(ISERROR(SEARCH("GOOD",L202)))</formula>
    </cfRule>
  </conditionalFormatting>
  <conditionalFormatting sqref="L200">
    <cfRule type="containsText" dxfId="5440" priority="224" operator="containsText" text="FAIL">
      <formula>NOT(ISERROR(SEARCH("FAIL",L200)))</formula>
    </cfRule>
  </conditionalFormatting>
  <conditionalFormatting sqref="L200">
    <cfRule type="containsText" dxfId="5439" priority="223" operator="containsText" text="GOOD">
      <formula>NOT(ISERROR(SEARCH("GOOD",L200)))</formula>
    </cfRule>
  </conditionalFormatting>
  <conditionalFormatting sqref="L201">
    <cfRule type="containsText" dxfId="5438" priority="220" operator="containsText" text="FAIL">
      <formula>NOT(ISERROR(SEARCH("FAIL",L201)))</formula>
    </cfRule>
  </conditionalFormatting>
  <conditionalFormatting sqref="L201">
    <cfRule type="containsText" dxfId="5437" priority="219" operator="containsText" text="GOOD">
      <formula>NOT(ISERROR(SEARCH("GOOD",L201)))</formula>
    </cfRule>
  </conditionalFormatting>
  <conditionalFormatting sqref="L199">
    <cfRule type="containsText" dxfId="5436" priority="218" operator="containsText" text="FAIL">
      <formula>NOT(ISERROR(SEARCH("FAIL",L199)))</formula>
    </cfRule>
  </conditionalFormatting>
  <conditionalFormatting sqref="L199">
    <cfRule type="containsText" dxfId="5435" priority="217" operator="containsText" text="GOOD">
      <formula>NOT(ISERROR(SEARCH("GOOD",L199)))</formula>
    </cfRule>
  </conditionalFormatting>
  <conditionalFormatting sqref="L198">
    <cfRule type="containsText" dxfId="5434" priority="214" operator="containsText" text="FAIL">
      <formula>NOT(ISERROR(SEARCH("FAIL",L198)))</formula>
    </cfRule>
  </conditionalFormatting>
  <conditionalFormatting sqref="L198">
    <cfRule type="containsText" dxfId="5433" priority="213" operator="containsText" text="GOOD">
      <formula>NOT(ISERROR(SEARCH("GOOD",L198)))</formula>
    </cfRule>
  </conditionalFormatting>
  <conditionalFormatting sqref="L197">
    <cfRule type="containsText" dxfId="5432" priority="208" operator="containsText" text="FAIL">
      <formula>NOT(ISERROR(SEARCH("FAIL",L197)))</formula>
    </cfRule>
  </conditionalFormatting>
  <conditionalFormatting sqref="L197">
    <cfRule type="containsText" dxfId="5431" priority="207" operator="containsText" text="GOOD">
      <formula>NOT(ISERROR(SEARCH("GOOD",L197)))</formula>
    </cfRule>
  </conditionalFormatting>
  <conditionalFormatting sqref="L196">
    <cfRule type="containsText" dxfId="5430" priority="200" operator="containsText" text="FAIL">
      <formula>NOT(ISERROR(SEARCH("FAIL",L196)))</formula>
    </cfRule>
  </conditionalFormatting>
  <conditionalFormatting sqref="L196">
    <cfRule type="containsText" dxfId="5429" priority="199" operator="containsText" text="GOOD">
      <formula>NOT(ISERROR(SEARCH("GOOD",L196)))</formula>
    </cfRule>
  </conditionalFormatting>
  <conditionalFormatting sqref="L195">
    <cfRule type="containsText" dxfId="5428" priority="190" operator="containsText" text="FAIL">
      <formula>NOT(ISERROR(SEARCH("FAIL",L195)))</formula>
    </cfRule>
  </conditionalFormatting>
  <conditionalFormatting sqref="L195">
    <cfRule type="containsText" dxfId="5427" priority="189" operator="containsText" text="GOOD">
      <formula>NOT(ISERROR(SEARCH("GOOD",L195)))</formula>
    </cfRule>
  </conditionalFormatting>
  <conditionalFormatting sqref="L194">
    <cfRule type="containsText" dxfId="5426" priority="182" operator="containsText" text="FAIL">
      <formula>NOT(ISERROR(SEARCH("FAIL",L194)))</formula>
    </cfRule>
  </conditionalFormatting>
  <conditionalFormatting sqref="L194">
    <cfRule type="containsText" dxfId="5425" priority="181" operator="containsText" text="GOOD">
      <formula>NOT(ISERROR(SEARCH("GOOD",L194)))</formula>
    </cfRule>
  </conditionalFormatting>
  <conditionalFormatting sqref="L193">
    <cfRule type="containsText" dxfId="5424" priority="178" operator="containsText" text="FAIL">
      <formula>NOT(ISERROR(SEARCH("FAIL",L193)))</formula>
    </cfRule>
  </conditionalFormatting>
  <conditionalFormatting sqref="L193">
    <cfRule type="containsText" dxfId="5423" priority="177" operator="containsText" text="GOOD">
      <formula>NOT(ISERROR(SEARCH("GOOD",L193)))</formula>
    </cfRule>
  </conditionalFormatting>
  <conditionalFormatting sqref="L192">
    <cfRule type="containsText" dxfId="5422" priority="170" operator="containsText" text="FAIL">
      <formula>NOT(ISERROR(SEARCH("FAIL",L192)))</formula>
    </cfRule>
  </conditionalFormatting>
  <conditionalFormatting sqref="L192">
    <cfRule type="containsText" dxfId="5421" priority="169" operator="containsText" text="GOOD">
      <formula>NOT(ISERROR(SEARCH("GOOD",L192)))</formula>
    </cfRule>
  </conditionalFormatting>
  <conditionalFormatting sqref="L220">
    <cfRule type="containsText" dxfId="5420" priority="158" operator="containsText" text="FAIL">
      <formula>NOT(ISERROR(SEARCH("FAIL",L220)))</formula>
    </cfRule>
  </conditionalFormatting>
  <conditionalFormatting sqref="L220">
    <cfRule type="containsText" dxfId="5419" priority="157" operator="containsText" text="GOOD">
      <formula>NOT(ISERROR(SEARCH("GOOD",L220)))</formula>
    </cfRule>
  </conditionalFormatting>
  <conditionalFormatting sqref="L219">
    <cfRule type="containsText" dxfId="5418" priority="154" operator="containsText" text="FAIL">
      <formula>NOT(ISERROR(SEARCH("FAIL",L219)))</formula>
    </cfRule>
  </conditionalFormatting>
  <conditionalFormatting sqref="L219">
    <cfRule type="containsText" dxfId="5417" priority="153" operator="containsText" text="GOOD">
      <formula>NOT(ISERROR(SEARCH("GOOD",L219)))</formula>
    </cfRule>
  </conditionalFormatting>
  <conditionalFormatting sqref="L218">
    <cfRule type="containsText" dxfId="5416" priority="140" operator="containsText" text="FAIL">
      <formula>NOT(ISERROR(SEARCH("FAIL",L218)))</formula>
    </cfRule>
  </conditionalFormatting>
  <conditionalFormatting sqref="L218">
    <cfRule type="containsText" dxfId="5415" priority="139" operator="containsText" text="GOOD">
      <formula>NOT(ISERROR(SEARCH("GOOD",L218)))</formula>
    </cfRule>
  </conditionalFormatting>
  <conditionalFormatting sqref="L217">
    <cfRule type="containsText" dxfId="5414" priority="134" operator="containsText" text="FAIL">
      <formula>NOT(ISERROR(SEARCH("FAIL",L217)))</formula>
    </cfRule>
  </conditionalFormatting>
  <conditionalFormatting sqref="L217">
    <cfRule type="containsText" dxfId="5413" priority="133" operator="containsText" text="GOOD">
      <formula>NOT(ISERROR(SEARCH("GOOD",L217)))</formula>
    </cfRule>
  </conditionalFormatting>
  <conditionalFormatting sqref="L216">
    <cfRule type="containsText" dxfId="5412" priority="126" operator="containsText" text="FAIL">
      <formula>NOT(ISERROR(SEARCH("FAIL",L216)))</formula>
    </cfRule>
  </conditionalFormatting>
  <conditionalFormatting sqref="L216">
    <cfRule type="containsText" dxfId="5411" priority="125" operator="containsText" text="GOOD">
      <formula>NOT(ISERROR(SEARCH("GOOD",L216)))</formula>
    </cfRule>
  </conditionalFormatting>
  <conditionalFormatting sqref="L215">
    <cfRule type="containsText" dxfId="5410" priority="118" operator="containsText" text="FAIL">
      <formula>NOT(ISERROR(SEARCH("FAIL",L215)))</formula>
    </cfRule>
  </conditionalFormatting>
  <conditionalFormatting sqref="L215">
    <cfRule type="containsText" dxfId="5409" priority="117" operator="containsText" text="GOOD">
      <formula>NOT(ISERROR(SEARCH("GOOD",L215)))</formula>
    </cfRule>
  </conditionalFormatting>
  <conditionalFormatting sqref="L214">
    <cfRule type="containsText" dxfId="5408" priority="104" operator="containsText" text="FAIL">
      <formula>NOT(ISERROR(SEARCH("FAIL",L214)))</formula>
    </cfRule>
  </conditionalFormatting>
  <conditionalFormatting sqref="L214">
    <cfRule type="containsText" dxfId="5407" priority="103" operator="containsText" text="GOOD">
      <formula>NOT(ISERROR(SEARCH("GOOD",L214)))</formula>
    </cfRule>
  </conditionalFormatting>
  <conditionalFormatting sqref="L213">
    <cfRule type="containsText" dxfId="5406" priority="100" operator="containsText" text="FAIL">
      <formula>NOT(ISERROR(SEARCH("FAIL",L213)))</formula>
    </cfRule>
  </conditionalFormatting>
  <conditionalFormatting sqref="L213">
    <cfRule type="containsText" dxfId="5405" priority="99" operator="containsText" text="GOOD">
      <formula>NOT(ISERROR(SEARCH("GOOD",L213)))</formula>
    </cfRule>
  </conditionalFormatting>
  <conditionalFormatting sqref="L237">
    <cfRule type="containsText" dxfId="5404" priority="70" operator="containsText" text="FAIL">
      <formula>NOT(ISERROR(SEARCH("FAIL",L237)))</formula>
    </cfRule>
  </conditionalFormatting>
  <conditionalFormatting sqref="L237">
    <cfRule type="containsText" dxfId="5403" priority="69" operator="containsText" text="GOOD">
      <formula>NOT(ISERROR(SEARCH("GOOD",L237)))</formula>
    </cfRule>
  </conditionalFormatting>
  <conditionalFormatting sqref="L236">
    <cfRule type="containsText" dxfId="5402" priority="60" operator="containsText" text="FAIL">
      <formula>NOT(ISERROR(SEARCH("FAIL",L236)))</formula>
    </cfRule>
  </conditionalFormatting>
  <conditionalFormatting sqref="L236">
    <cfRule type="containsText" dxfId="5401" priority="59" operator="containsText" text="GOOD">
      <formula>NOT(ISERROR(SEARCH("GOOD",L236)))</formula>
    </cfRule>
  </conditionalFormatting>
  <conditionalFormatting sqref="L235">
    <cfRule type="containsText" dxfId="5400" priority="32" operator="containsText" text="FAIL">
      <formula>NOT(ISERROR(SEARCH("FAIL",L235)))</formula>
    </cfRule>
  </conditionalFormatting>
  <conditionalFormatting sqref="L235">
    <cfRule type="containsText" dxfId="5399" priority="31" operator="containsText" text="GOOD">
      <formula>NOT(ISERROR(SEARCH("GOOD",L235)))</formula>
    </cfRule>
  </conditionalFormatting>
  <conditionalFormatting sqref="L234">
    <cfRule type="containsText" dxfId="5398" priority="22" operator="containsText" text="FAIL">
      <formula>NOT(ISERROR(SEARCH("FAIL",L234)))</formula>
    </cfRule>
  </conditionalFormatting>
  <conditionalFormatting sqref="L234">
    <cfRule type="containsText" dxfId="5397" priority="21" operator="containsText" text="GOOD">
      <formula>NOT(ISERROR(SEARCH("GOOD",L234)))</formula>
    </cfRule>
  </conditionalFormatting>
  <conditionalFormatting sqref="L233">
    <cfRule type="containsText" dxfId="5396" priority="12" operator="containsText" text="FAIL">
      <formula>NOT(ISERROR(SEARCH("FAIL",L233)))</formula>
    </cfRule>
  </conditionalFormatting>
  <conditionalFormatting sqref="L233">
    <cfRule type="containsText" dxfId="5395" priority="11" operator="containsText" text="GOOD">
      <formula>NOT(ISERROR(SEARCH("GOOD",L233)))</formula>
    </cfRule>
  </conditionalFormatting>
  <conditionalFormatting sqref="L232">
    <cfRule type="containsText" dxfId="5394" priority="10" operator="containsText" text="FAIL">
      <formula>NOT(ISERROR(SEARCH("FAIL",L232)))</formula>
    </cfRule>
  </conditionalFormatting>
  <conditionalFormatting sqref="L232">
    <cfRule type="containsText" dxfId="5393" priority="9" operator="containsText" text="GOOD">
      <formula>NOT(ISERROR(SEARCH("GOOD",L232)))</formula>
    </cfRule>
  </conditionalFormatting>
  <conditionalFormatting sqref="L211">
    <cfRule type="containsText" dxfId="5392" priority="8" operator="containsText" text="FAIL">
      <formula>NOT(ISERROR(SEARCH("FAIL",L211)))</formula>
    </cfRule>
  </conditionalFormatting>
  <conditionalFormatting sqref="L211">
    <cfRule type="containsText" dxfId="5391" priority="7" operator="containsText" text="GOOD">
      <formula>NOT(ISERROR(SEARCH("GOOD",L211)))</formula>
    </cfRule>
  </conditionalFormatting>
  <conditionalFormatting sqref="L212">
    <cfRule type="containsText" dxfId="5390" priority="6" operator="containsText" text="FAIL">
      <formula>NOT(ISERROR(SEARCH("FAIL",L212)))</formula>
    </cfRule>
  </conditionalFormatting>
  <conditionalFormatting sqref="L212">
    <cfRule type="containsText" dxfId="5389" priority="5" operator="containsText" text="GOOD">
      <formula>NOT(ISERROR(SEARCH("GOOD",L212)))</formula>
    </cfRule>
  </conditionalFormatting>
  <conditionalFormatting sqref="L190">
    <cfRule type="containsText" dxfId="5388" priority="4" operator="containsText" text="FAIL">
      <formula>NOT(ISERROR(SEARCH("FAIL",L190)))</formula>
    </cfRule>
  </conditionalFormatting>
  <conditionalFormatting sqref="L190">
    <cfRule type="containsText" dxfId="5387" priority="3" operator="containsText" text="GOOD">
      <formula>NOT(ISERROR(SEARCH("GOOD",L190)))</formula>
    </cfRule>
  </conditionalFormatting>
  <conditionalFormatting sqref="L191">
    <cfRule type="containsText" dxfId="5386" priority="2" operator="containsText" text="FAIL">
      <formula>NOT(ISERROR(SEARCH("FAIL",L191)))</formula>
    </cfRule>
  </conditionalFormatting>
  <conditionalFormatting sqref="L191">
    <cfRule type="containsText" dxfId="5385" priority="1" operator="containsText" text="GOOD">
      <formula>NOT(ISERROR(SEARCH("GOOD",L191)))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22" operator="containsText" text="FAIL" id="{757DD5D9-5C03-439A-9318-552C297053F6}">
            <xm:f>NOT(ISERROR(SEARCH("FAIL",SUMMARY!L189)))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L7:L8 L89:L92 L10:L12</xm:sqref>
        </x14:conditionalFormatting>
        <x14:conditionalFormatting xmlns:xm="http://schemas.microsoft.com/office/excel/2006/main">
          <x14:cfRule type="containsText" priority="421" operator="containsText" text="GOOD" id="{D53B73E8-8EFE-483D-B66A-03F8ABBDEA04}">
            <xm:f>NOT(ISERROR(SEARCH("GOOD",SUMMARY!L189)))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L7:L8 L89:L92 L10:L12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-0.249977111117893"/>
  </sheetPr>
  <dimension ref="C2:AB742"/>
  <sheetViews>
    <sheetView workbookViewId="0">
      <pane ySplit="5" topLeftCell="A45" activePane="bottomLeft" state="frozen"/>
      <selection pane="bottomLeft" activeCell="I64" sqref="I64"/>
    </sheetView>
  </sheetViews>
  <sheetFormatPr defaultColWidth="8.85546875" defaultRowHeight="15" x14ac:dyDescent="0.25"/>
  <cols>
    <col min="2" max="2" width="2.85546875" customWidth="1"/>
    <col min="3" max="3" width="5.28515625" customWidth="1"/>
    <col min="4" max="4" width="13.42578125" customWidth="1"/>
    <col min="5" max="5" width="51.42578125" customWidth="1"/>
    <col min="6" max="6" width="9.42578125" bestFit="1" customWidth="1"/>
    <col min="7" max="7" width="8.42578125" customWidth="1"/>
    <col min="8" max="10" width="13.7109375" customWidth="1"/>
    <col min="11" max="11" width="9.42578125" customWidth="1"/>
    <col min="12" max="12" width="7" customWidth="1"/>
    <col min="13" max="13" width="6.42578125" customWidth="1"/>
    <col min="14" max="14" width="5.7109375" style="11" customWidth="1"/>
    <col min="15" max="15" width="3.42578125" customWidth="1"/>
    <col min="16" max="16" width="6.140625" customWidth="1"/>
    <col min="17" max="17" width="3.42578125" customWidth="1"/>
    <col min="18" max="18" width="44.7109375" customWidth="1"/>
  </cols>
  <sheetData>
    <row r="2" spans="3:22" ht="27.75" customHeight="1" x14ac:dyDescent="0.25">
      <c r="D2" s="21"/>
      <c r="E2" s="15"/>
      <c r="F2" s="15" t="s">
        <v>32</v>
      </c>
      <c r="I2" s="15"/>
      <c r="J2" s="15"/>
      <c r="L2" s="15" t="s">
        <v>33</v>
      </c>
    </row>
    <row r="3" spans="3:22" ht="18.75" x14ac:dyDescent="0.3">
      <c r="C3" s="3" t="s">
        <v>460</v>
      </c>
      <c r="D3" s="3"/>
      <c r="K3" s="36" t="s">
        <v>54</v>
      </c>
      <c r="L3" s="37">
        <v>2015</v>
      </c>
    </row>
    <row r="5" spans="3:22" x14ac:dyDescent="0.25">
      <c r="C5" s="40" t="s">
        <v>423</v>
      </c>
      <c r="D5" s="41" t="s">
        <v>55</v>
      </c>
      <c r="E5" s="41" t="s">
        <v>56</v>
      </c>
      <c r="F5" s="41" t="s">
        <v>57</v>
      </c>
      <c r="G5" s="44" t="s">
        <v>424</v>
      </c>
      <c r="H5" s="42" t="s">
        <v>58</v>
      </c>
      <c r="I5" s="42" t="s">
        <v>59</v>
      </c>
      <c r="J5" s="42" t="s">
        <v>456</v>
      </c>
      <c r="K5" s="42" t="s">
        <v>60</v>
      </c>
      <c r="L5" s="43" t="s">
        <v>61</v>
      </c>
      <c r="M5" s="42" t="s">
        <v>62</v>
      </c>
      <c r="N5" s="43" t="s">
        <v>225</v>
      </c>
      <c r="O5" s="43" t="s">
        <v>422</v>
      </c>
      <c r="P5" s="43" t="s">
        <v>454</v>
      </c>
      <c r="Q5" s="43"/>
      <c r="R5" s="41" t="s">
        <v>63</v>
      </c>
      <c r="S5" s="9"/>
      <c r="T5" s="9"/>
      <c r="U5" s="9"/>
      <c r="V5" s="9"/>
    </row>
    <row r="6" spans="3:22" ht="7.5" customHeight="1" x14ac:dyDescent="0.25">
      <c r="C6" s="39"/>
      <c r="G6" s="45"/>
    </row>
    <row r="7" spans="3:22" ht="18" customHeight="1" x14ac:dyDescent="0.25">
      <c r="C7" s="39"/>
      <c r="D7" s="15" t="s">
        <v>461</v>
      </c>
      <c r="E7" s="24"/>
      <c r="F7" s="25"/>
      <c r="G7" s="46"/>
      <c r="H7" s="27"/>
      <c r="I7" s="27"/>
      <c r="J7" s="27"/>
      <c r="K7" s="26"/>
      <c r="L7" s="11"/>
      <c r="M7" s="15"/>
      <c r="P7" s="11"/>
    </row>
    <row r="8" spans="3:22" ht="8.25" customHeight="1" x14ac:dyDescent="0.25">
      <c r="C8" s="39"/>
      <c r="D8" s="15"/>
      <c r="E8" s="24"/>
      <c r="F8" s="25"/>
      <c r="G8" s="46"/>
      <c r="H8" s="27"/>
      <c r="I8" s="27"/>
      <c r="J8" s="27"/>
      <c r="K8" s="26"/>
      <c r="L8" s="11"/>
      <c r="M8" s="15"/>
      <c r="P8" s="11"/>
    </row>
    <row r="9" spans="3:22" x14ac:dyDescent="0.25">
      <c r="C9" s="39">
        <v>2015</v>
      </c>
      <c r="D9" s="15" t="str">
        <f>+'AK-195'!$F$4</f>
        <v>AK-195</v>
      </c>
      <c r="E9" s="24" t="str">
        <f>+'AK-195'!$F$5</f>
        <v>Staten Island Bridges - Maint Pvmt Repairs via WO</v>
      </c>
      <c r="F9" s="25">
        <f>+'AK-195'!$F$6</f>
        <v>42342</v>
      </c>
      <c r="G9" s="46" t="str">
        <f>+'AK-195'!$G$7</f>
        <v>PQL</v>
      </c>
      <c r="H9" s="27">
        <f>+'AK-195'!$F$7</f>
        <v>2000000</v>
      </c>
      <c r="I9" s="27">
        <f>+'AK-195'!$F$8</f>
        <v>2092850</v>
      </c>
      <c r="J9" s="27"/>
      <c r="K9" s="26">
        <f>+'AK-195'!$G$9</f>
        <v>4.6425000000000001E-2</v>
      </c>
      <c r="L9" s="11" t="str">
        <f>+'AK-195'!$F$11</f>
        <v>GOOD</v>
      </c>
      <c r="M9" s="15">
        <f>+'AK-195'!$H$12</f>
        <v>4</v>
      </c>
      <c r="N9" s="35" t="s">
        <v>93</v>
      </c>
      <c r="O9" s="15">
        <v>4</v>
      </c>
      <c r="P9" s="35" t="s">
        <v>457</v>
      </c>
      <c r="Q9" s="15"/>
      <c r="R9" s="24"/>
      <c r="S9" s="15"/>
      <c r="T9" s="15"/>
      <c r="U9" s="15"/>
      <c r="V9" s="15"/>
    </row>
    <row r="10" spans="3:22" x14ac:dyDescent="0.25">
      <c r="C10" s="39">
        <v>2015</v>
      </c>
      <c r="D10" s="15" t="str">
        <f>+'GWB-564'!F4</f>
        <v>GWB-564</v>
      </c>
      <c r="E10" s="24" t="str">
        <f>+'GWB-564'!F5</f>
        <v>George Washington Bridge-Facility Wide Prioirty Rehabilitation</v>
      </c>
      <c r="F10" s="25">
        <f>+'GWB-564'!F6</f>
        <v>42312</v>
      </c>
      <c r="G10" s="46" t="str">
        <f>+'GWB-564'!G7</f>
        <v>Public</v>
      </c>
      <c r="H10" s="27">
        <f>+'GWB-564'!F7</f>
        <v>8700000</v>
      </c>
      <c r="I10" s="27">
        <f>+'GWB-564'!F8</f>
        <v>10162935</v>
      </c>
      <c r="J10" s="27"/>
      <c r="K10" s="26">
        <f>+'GWB-564'!G9</f>
        <v>0.16815344827586207</v>
      </c>
      <c r="L10" s="11" t="str">
        <f>+'GWB-564'!F11</f>
        <v>FAIL</v>
      </c>
      <c r="M10" s="15">
        <f>+'GWB-564'!H12</f>
        <v>3</v>
      </c>
      <c r="N10" s="35" t="s">
        <v>226</v>
      </c>
      <c r="O10" s="15">
        <v>4</v>
      </c>
      <c r="P10" s="35" t="s">
        <v>457</v>
      </c>
      <c r="Q10" s="15"/>
      <c r="R10" s="24"/>
      <c r="S10" s="15"/>
      <c r="T10" s="15"/>
      <c r="U10" s="15"/>
      <c r="V10" s="15"/>
    </row>
    <row r="11" spans="3:22" x14ac:dyDescent="0.25">
      <c r="C11" s="39">
        <v>2015</v>
      </c>
      <c r="D11" s="15" t="str">
        <f>+'HT-224.116'!F4</f>
        <v>HT-224.116</v>
      </c>
      <c r="E11" s="24" t="str">
        <f>+'HT-224.116'!F5</f>
        <v>Holland Tunnel-Concrete Repairs at Air Supply Ports</v>
      </c>
      <c r="F11" s="25">
        <f>+'HT-224.116'!F6</f>
        <v>42307</v>
      </c>
      <c r="G11" s="46" t="str">
        <f>+'HT-224.116'!G7</f>
        <v>Public</v>
      </c>
      <c r="H11" s="27">
        <f>+'HT-224.116'!F7</f>
        <v>7100000</v>
      </c>
      <c r="I11" s="27">
        <f>+'HT-224.116'!F8</f>
        <v>6676400</v>
      </c>
      <c r="J11" s="27"/>
      <c r="K11" s="26">
        <f>+'HT-224.116'!G9</f>
        <v>-5.9661971830985913E-2</v>
      </c>
      <c r="L11" s="11" t="str">
        <f>+'HT-224.116'!F11</f>
        <v>GOOD</v>
      </c>
      <c r="M11" s="15">
        <f>+'HT-224.116'!H12</f>
        <v>11</v>
      </c>
      <c r="N11" s="35" t="s">
        <v>226</v>
      </c>
      <c r="O11" s="15">
        <v>4</v>
      </c>
      <c r="P11" s="35" t="s">
        <v>457</v>
      </c>
      <c r="Q11" s="15"/>
      <c r="R11" s="24"/>
      <c r="S11" s="15"/>
      <c r="T11" s="15"/>
      <c r="U11" s="15"/>
      <c r="V11" s="15"/>
    </row>
    <row r="12" spans="3:22" x14ac:dyDescent="0.25">
      <c r="C12" s="39">
        <v>2015</v>
      </c>
      <c r="D12" s="15" t="str">
        <f>+'GWB-566'!F4</f>
        <v>GWB-566</v>
      </c>
      <c r="E12" s="24" t="str">
        <f>+'GWB-566'!F5</f>
        <v>George Washington Bridge-Temporary Semac Relocation</v>
      </c>
      <c r="F12" s="25">
        <f>+'GWB-566'!F6</f>
        <v>42304</v>
      </c>
      <c r="G12" s="46" t="str">
        <f>+'GWB-566'!G7</f>
        <v>Public</v>
      </c>
      <c r="H12" s="27">
        <f>+'GWB-566'!F7</f>
        <v>1340000</v>
      </c>
      <c r="I12" s="27">
        <f>+'GWB-566'!F8</f>
        <v>1850000</v>
      </c>
      <c r="J12" s="27"/>
      <c r="K12" s="26">
        <f>+'GWB-566'!G9</f>
        <v>0.38059701492537312</v>
      </c>
      <c r="L12" s="11" t="str">
        <f>+'GWB-566'!F11</f>
        <v>FAIL</v>
      </c>
      <c r="M12" s="15">
        <f>+'GWB-566'!H12</f>
        <v>4</v>
      </c>
      <c r="N12" s="35" t="s">
        <v>25</v>
      </c>
      <c r="O12" s="15">
        <v>4</v>
      </c>
      <c r="P12" s="35" t="s">
        <v>457</v>
      </c>
      <c r="Q12" s="15"/>
      <c r="R12" s="24"/>
      <c r="S12" s="15"/>
      <c r="T12" s="15"/>
      <c r="U12" s="15"/>
      <c r="V12" s="15"/>
    </row>
    <row r="13" spans="3:22" x14ac:dyDescent="0.25">
      <c r="C13" s="39">
        <v>2015</v>
      </c>
      <c r="D13" s="15" t="str">
        <f>+'GWB-924.092'!F4</f>
        <v>GWB-924.092</v>
      </c>
      <c r="E13" s="24" t="str">
        <f>+'GWB-924.092'!F5</f>
        <v>George Washington Bridge-Improvements to Bruce Reynolds Boulevard</v>
      </c>
      <c r="F13" s="25">
        <f>+'GWB-924.092'!F6</f>
        <v>42297</v>
      </c>
      <c r="G13" s="46" t="str">
        <f>+'GWB-924.092'!G7</f>
        <v>Public</v>
      </c>
      <c r="H13" s="27">
        <f>+'GWB-924.092'!F7</f>
        <v>1290000</v>
      </c>
      <c r="I13" s="27">
        <f>+'GWB-924.092'!F8</f>
        <v>1552600</v>
      </c>
      <c r="J13" s="27"/>
      <c r="K13" s="26">
        <f>+'GWB-924.092'!G9</f>
        <v>0.20356589147286822</v>
      </c>
      <c r="L13" s="11" t="str">
        <f>+'GWB-924.092'!F11</f>
        <v>FAIL</v>
      </c>
      <c r="M13" s="15">
        <f>+'GWB-924.092'!H12</f>
        <v>9</v>
      </c>
      <c r="N13" s="35" t="s">
        <v>25</v>
      </c>
      <c r="O13" s="15">
        <v>4</v>
      </c>
      <c r="P13" s="35" t="s">
        <v>457</v>
      </c>
      <c r="Q13" s="15"/>
      <c r="R13" s="24"/>
      <c r="S13" s="15"/>
      <c r="T13" s="15"/>
      <c r="U13" s="15"/>
      <c r="V13" s="15"/>
    </row>
    <row r="14" spans="3:22" x14ac:dyDescent="0.25">
      <c r="C14" s="39">
        <v>2015</v>
      </c>
      <c r="D14" s="15" t="str">
        <f>+'GWB-924.159'!F4</f>
        <v>GWB-924.159</v>
      </c>
      <c r="E14" s="24" t="str">
        <f>+'GWB-924.159'!F5</f>
        <v>George Washington Bridge-New Jersey Administration Building Hot Water/Chilled Water Piping Replacement</v>
      </c>
      <c r="F14" s="25">
        <f>+'GWB-924.159'!F6</f>
        <v>42297</v>
      </c>
      <c r="G14" s="46" t="str">
        <f>+'GWB-924.159'!G7</f>
        <v>Mentor Protégé Program</v>
      </c>
      <c r="H14" s="27"/>
      <c r="I14" s="27"/>
      <c r="J14" s="27"/>
      <c r="K14" s="26"/>
      <c r="L14" s="11"/>
      <c r="M14" s="15"/>
      <c r="N14" s="35" t="s">
        <v>25</v>
      </c>
      <c r="O14" s="15">
        <v>4</v>
      </c>
      <c r="P14" s="35" t="s">
        <v>457</v>
      </c>
      <c r="Q14" s="15"/>
      <c r="R14" s="24" t="s">
        <v>227</v>
      </c>
      <c r="S14" s="15"/>
      <c r="T14" s="15"/>
      <c r="U14" s="15"/>
      <c r="V14" s="15"/>
    </row>
    <row r="15" spans="3:22" x14ac:dyDescent="0.25">
      <c r="C15" s="39">
        <v>2015</v>
      </c>
      <c r="D15" s="15" t="str">
        <f>+'GWB-244.256'!F4</f>
        <v>GWB-244.256</v>
      </c>
      <c r="E15" s="24" t="str">
        <f>+'GWB-244.256'!F5</f>
        <v>George Washington Bridge-Pavement Rehabilitation of the Lower Level eastbound Approch Roadways, Lower Level Eastbound Bridge Span and Lower Expressway East Ramp</v>
      </c>
      <c r="F15" s="25">
        <f>+'GWB-244.256'!F6</f>
        <v>42284</v>
      </c>
      <c r="G15" s="46" t="str">
        <f>+'GWB-244.256'!G7</f>
        <v>PQL</v>
      </c>
      <c r="H15" s="27">
        <f>+'GWB-244.256'!F7</f>
        <v>7400000</v>
      </c>
      <c r="I15" s="27">
        <f>+'GWB-244.256'!F8</f>
        <v>4985882.5</v>
      </c>
      <c r="J15" s="27"/>
      <c r="K15" s="26">
        <f>+'GWB-244.256'!G9</f>
        <v>-0.32623209459459457</v>
      </c>
      <c r="L15" s="11" t="str">
        <f>+'GWB-244.256'!F11</f>
        <v>FAIL</v>
      </c>
      <c r="M15" s="15">
        <f>+'GWB-244.256'!H12</f>
        <v>4</v>
      </c>
      <c r="N15" s="35" t="s">
        <v>226</v>
      </c>
      <c r="O15" s="15">
        <v>4</v>
      </c>
      <c r="P15" s="35" t="s">
        <v>457</v>
      </c>
      <c r="Q15" s="15"/>
      <c r="R15" s="24"/>
      <c r="S15" s="15"/>
      <c r="T15" s="15"/>
      <c r="U15" s="15"/>
      <c r="V15" s="15"/>
    </row>
    <row r="16" spans="3:22" x14ac:dyDescent="0.25">
      <c r="C16" s="39">
        <v>2015</v>
      </c>
      <c r="D16" s="15" t="str">
        <f>+'LT-924.014'!F4</f>
        <v>LT-924.014</v>
      </c>
      <c r="E16" s="24" t="str">
        <f>+'LT-924.014'!F5</f>
        <v>Lincoln Tunnel-Water Leak Repairs</v>
      </c>
      <c r="F16" s="25">
        <f>+'LT-924.014'!F6</f>
        <v>42178</v>
      </c>
      <c r="G16" s="46" t="str">
        <f>+'LT-924.014'!G7</f>
        <v>Public</v>
      </c>
      <c r="H16" s="27">
        <f>+'LT-924.014'!F$7</f>
        <v>1800000</v>
      </c>
      <c r="I16" s="27">
        <f>+'LT-924.014'!F$8</f>
        <v>2217200</v>
      </c>
      <c r="J16" s="27"/>
      <c r="K16" s="26">
        <f>+'LT-924.014'!G$9</f>
        <v>0.23177777777777778</v>
      </c>
      <c r="L16" s="11" t="str">
        <f>+'LT-924.014'!F$11</f>
        <v>FAIL</v>
      </c>
      <c r="M16" s="15">
        <f>+'LT-924.014'!H$12</f>
        <v>2</v>
      </c>
      <c r="N16" s="35" t="s">
        <v>226</v>
      </c>
      <c r="O16" s="15">
        <v>2</v>
      </c>
      <c r="P16" s="35" t="s">
        <v>457</v>
      </c>
      <c r="Q16" s="15"/>
      <c r="R16" s="24"/>
      <c r="S16" s="15"/>
      <c r="T16" s="15"/>
      <c r="U16" s="15"/>
      <c r="V16" s="15"/>
    </row>
    <row r="17" spans="3:22" x14ac:dyDescent="0.25">
      <c r="C17" s="39">
        <v>2015</v>
      </c>
      <c r="D17" s="15" t="str">
        <f>+'GWB-244.240'!F4</f>
        <v>GWB-244.240</v>
      </c>
      <c r="E17" s="24" t="str">
        <f>+'GWB-244.240'!F5</f>
        <v>George Washington Bridge-Lower Level Priority Steel and Concrete Prepairs, Rehabilitation of Catwalks and Plaintenace Platform Travelers</v>
      </c>
      <c r="F17" s="25">
        <f>+'GWB-244.240'!F6</f>
        <v>42177</v>
      </c>
      <c r="G17" s="46" t="str">
        <f>+'GWB-244.240'!G7</f>
        <v>Public</v>
      </c>
      <c r="H17" s="27">
        <f>+'GWB-244.240'!F$7</f>
        <v>6500000</v>
      </c>
      <c r="I17" s="27">
        <f>+'GWB-244.240'!F$8</f>
        <v>6374800</v>
      </c>
      <c r="J17" s="27"/>
      <c r="K17" s="26">
        <f>+'GWB-244.240'!G$9</f>
        <v>-1.9261538461538462E-2</v>
      </c>
      <c r="L17" s="11" t="str">
        <f>+'GWB-244.240'!F$11</f>
        <v>GOOD</v>
      </c>
      <c r="M17" s="15">
        <f>+'GWB-244.240'!H$12</f>
        <v>7</v>
      </c>
      <c r="N17" s="35" t="s">
        <v>226</v>
      </c>
      <c r="O17" s="15">
        <v>2</v>
      </c>
      <c r="P17" s="35" t="s">
        <v>457</v>
      </c>
      <c r="Q17" s="15"/>
      <c r="R17" s="15"/>
      <c r="S17" s="15"/>
      <c r="T17" s="15"/>
      <c r="U17" s="15"/>
      <c r="V17" s="15"/>
    </row>
    <row r="18" spans="3:22" x14ac:dyDescent="0.25">
      <c r="C18" s="39">
        <v>2015</v>
      </c>
      <c r="D18" s="15" t="str">
        <f>+'GWB-924.044'!F4</f>
        <v>GWB-924.044</v>
      </c>
      <c r="E18" s="24" t="str">
        <f>+'GWB-924.044'!F5</f>
        <v xml:space="preserve">George Washington Bridge-Electrical Bus Replacement </v>
      </c>
      <c r="F18" s="25">
        <f>+'GWB-924.044'!F6</f>
        <v>42142</v>
      </c>
      <c r="G18" s="46" t="str">
        <f>+'GWB-924.044'!G7</f>
        <v>MBE</v>
      </c>
      <c r="H18" s="27">
        <f>+'GWB-924.044'!F$7</f>
        <v>830000</v>
      </c>
      <c r="I18" s="27">
        <f>+'GWB-924.044'!F$8</f>
        <v>1650000</v>
      </c>
      <c r="J18" s="27"/>
      <c r="K18" s="26">
        <f>+'GWB-924.044'!G$9</f>
        <v>0.98795180722891562</v>
      </c>
      <c r="L18" s="11" t="str">
        <f>+'GWB-924.044'!F$11</f>
        <v>FAIL</v>
      </c>
      <c r="M18" s="15">
        <f>+'GWB-924.044'!H$12</f>
        <v>1</v>
      </c>
      <c r="N18" s="35" t="s">
        <v>226</v>
      </c>
      <c r="O18" s="15">
        <v>2</v>
      </c>
      <c r="P18" s="35" t="s">
        <v>457</v>
      </c>
    </row>
    <row r="19" spans="3:22" x14ac:dyDescent="0.25">
      <c r="C19" s="39"/>
      <c r="D19" s="15"/>
      <c r="E19" s="24"/>
      <c r="F19" s="25"/>
      <c r="G19" s="46"/>
      <c r="H19" s="27"/>
      <c r="I19" s="27"/>
      <c r="J19" s="27"/>
      <c r="K19" s="26"/>
      <c r="L19" s="11"/>
      <c r="M19" s="15"/>
      <c r="O19" s="15"/>
      <c r="P19" s="11"/>
    </row>
    <row r="20" spans="3:22" ht="18" customHeight="1" x14ac:dyDescent="0.25">
      <c r="C20" s="39"/>
      <c r="D20" s="15" t="s">
        <v>479</v>
      </c>
      <c r="E20" s="24"/>
      <c r="F20" s="25"/>
      <c r="G20" s="46"/>
      <c r="H20" s="27"/>
      <c r="I20" s="27"/>
      <c r="J20" s="27"/>
      <c r="K20" s="26"/>
      <c r="L20" s="11"/>
      <c r="M20" s="15"/>
      <c r="P20" s="11"/>
    </row>
    <row r="21" spans="3:22" ht="8.25" customHeight="1" x14ac:dyDescent="0.25">
      <c r="C21" s="39"/>
      <c r="D21" s="15"/>
      <c r="E21" s="24"/>
      <c r="F21" s="25"/>
      <c r="G21" s="46"/>
      <c r="H21" s="27"/>
      <c r="I21" s="27"/>
      <c r="J21" s="27"/>
      <c r="K21" s="26"/>
      <c r="L21" s="11"/>
      <c r="M21" s="15"/>
      <c r="P21" s="11"/>
    </row>
    <row r="22" spans="3:22" x14ac:dyDescent="0.25">
      <c r="C22" s="39">
        <v>2015</v>
      </c>
      <c r="D22" s="15" t="str">
        <f>+'EP-684.509 Void'!$F$4</f>
        <v>EP-684.509</v>
      </c>
      <c r="E22" s="24" t="str">
        <f>+'EP-684.509 Void'!$F$5</f>
        <v>Bldg 1400 Upgrade of Fire Supression System</v>
      </c>
      <c r="F22" s="25">
        <f>+'EP-684.509 Void'!$F$6</f>
        <v>42355</v>
      </c>
      <c r="G22" s="46" t="str">
        <f>+'EP-684.509 Void'!$G$7</f>
        <v>M/WBE</v>
      </c>
      <c r="H22" s="27">
        <f>+'EP-684.509 Void'!$F$7</f>
        <v>640000</v>
      </c>
      <c r="I22" s="27">
        <f>+'EP-684.509 Void'!$F$8</f>
        <v>898000</v>
      </c>
      <c r="J22" s="27"/>
      <c r="K22" s="26">
        <f>+'EP-684.509 Void'!$G$9</f>
        <v>0.40312500000000001</v>
      </c>
      <c r="L22" s="11" t="str">
        <f>+'EP-684.509 Void'!$F$11</f>
        <v>FAIL</v>
      </c>
      <c r="M22" s="15">
        <f>+'EP-684.509 Void'!$H$12</f>
        <v>3</v>
      </c>
      <c r="N22" s="35" t="s">
        <v>25</v>
      </c>
      <c r="O22" s="15">
        <v>4</v>
      </c>
      <c r="P22" s="35" t="s">
        <v>492</v>
      </c>
      <c r="Q22" s="15"/>
      <c r="R22" s="24"/>
      <c r="S22" s="15"/>
      <c r="T22" s="15"/>
      <c r="U22" s="15"/>
      <c r="V22" s="15"/>
    </row>
    <row r="23" spans="3:22" x14ac:dyDescent="0.25">
      <c r="C23" s="39">
        <v>2015</v>
      </c>
      <c r="D23" s="15" t="str">
        <f>+'PN-654.036'!F4</f>
        <v>PN-654.036</v>
      </c>
      <c r="E23" s="24" t="str">
        <f>+'PN-654.036'!F5</f>
        <v>Port Newark-Water System Rehabilitation At Central And South Sections</v>
      </c>
      <c r="F23" s="25">
        <f>+'PN-654.036'!F6</f>
        <v>42277</v>
      </c>
      <c r="G23" s="46" t="str">
        <f>+'PN-654.036'!G7</f>
        <v>Public</v>
      </c>
      <c r="H23" s="27">
        <f>+'PN-654.036'!F7</f>
        <v>7000000</v>
      </c>
      <c r="I23" s="27">
        <f>+'PN-654.036'!F8</f>
        <v>5851111</v>
      </c>
      <c r="J23" s="27"/>
      <c r="K23" s="26">
        <f>+'PN-654.036'!G9</f>
        <v>-0.164127</v>
      </c>
      <c r="L23" s="11" t="str">
        <f>+'PN-654.036'!F11</f>
        <v>GOOD</v>
      </c>
      <c r="M23" s="15">
        <f>+'PN-654.036'!H12</f>
        <v>15</v>
      </c>
      <c r="N23" s="35" t="s">
        <v>25</v>
      </c>
      <c r="O23" s="15">
        <v>3</v>
      </c>
      <c r="P23" s="35" t="s">
        <v>492</v>
      </c>
      <c r="Q23" s="15"/>
      <c r="R23" s="24"/>
      <c r="S23" s="15"/>
      <c r="T23" s="15"/>
      <c r="U23" s="15"/>
      <c r="V23" s="15"/>
    </row>
    <row r="24" spans="3:22" x14ac:dyDescent="0.25">
      <c r="C24" s="39">
        <v>2015</v>
      </c>
      <c r="D24" s="15" t="str">
        <f>+'MFP-924.623'!F4</f>
        <v>MFP-924.623</v>
      </c>
      <c r="E24" s="24" t="str">
        <f>+'MFP-924.623'!F5</f>
        <v>New York Marine Terminals-Paving and Utility Rehabilitation Via Work Order</v>
      </c>
      <c r="F24" s="25">
        <f>+'MFP-924.623'!F6</f>
        <v>42159</v>
      </c>
      <c r="G24" s="46" t="str">
        <f>+'MFP-924.623'!G7</f>
        <v>Public</v>
      </c>
      <c r="H24" s="27">
        <f>+'MFP-924.623'!F$7</f>
        <v>1600000</v>
      </c>
      <c r="I24" s="27">
        <f>+'MFP-924.623'!F$8</f>
        <v>1298005</v>
      </c>
      <c r="J24" s="27"/>
      <c r="K24" s="26">
        <f>+'MFP-924.623'!G$9</f>
        <v>-0.18874687500000001</v>
      </c>
      <c r="L24" s="11" t="str">
        <f>+'MFP-924.623'!F$11</f>
        <v>GOOD</v>
      </c>
      <c r="M24" s="15">
        <f>+'MFP-924.623'!H$12</f>
        <v>6</v>
      </c>
      <c r="N24" s="35" t="s">
        <v>93</v>
      </c>
      <c r="O24" s="15">
        <v>2</v>
      </c>
      <c r="P24" s="35" t="s">
        <v>492</v>
      </c>
      <c r="Q24" s="15"/>
      <c r="R24" s="15"/>
      <c r="S24" s="15"/>
      <c r="T24" s="15"/>
      <c r="U24" s="15"/>
      <c r="V24" s="15"/>
    </row>
    <row r="25" spans="3:22" x14ac:dyDescent="0.25">
      <c r="C25" s="39">
        <v>2015</v>
      </c>
      <c r="D25" s="15" t="str">
        <f>+'NYNJRR-644.531'!F4</f>
        <v>NYNJRR-644.531</v>
      </c>
      <c r="E25" s="24" t="str">
        <f>+'NYNJRR-644.531'!F5</f>
        <v>NY and NJ Rail - Transfer Bridge #10 Reconstruction and Fender Modifications at 65th St Yard, Brooklyn</v>
      </c>
      <c r="F25" s="25">
        <f>+'NYNJRR-644.531'!F6</f>
        <v>42157</v>
      </c>
      <c r="G25" s="46" t="str">
        <f>+'NYNJRR-644.531'!G7</f>
        <v>Public</v>
      </c>
      <c r="H25" s="27">
        <f>+'NYNJRR-644.531'!F$7</f>
        <v>29100000</v>
      </c>
      <c r="I25" s="27">
        <f>+'NYNJRR-644.531'!F$8</f>
        <v>30452500</v>
      </c>
      <c r="J25" s="27"/>
      <c r="K25" s="26">
        <f>+'NYNJRR-644.531'!G$9</f>
        <v>4.6477663230240551E-2</v>
      </c>
      <c r="L25" s="11" t="str">
        <f>+'NYNJRR-644.531'!F$11</f>
        <v>GOOD</v>
      </c>
      <c r="M25" s="15">
        <f>+'NYNJRR-644.531'!H$12</f>
        <v>11</v>
      </c>
      <c r="N25" s="35" t="s">
        <v>25</v>
      </c>
      <c r="O25" s="15">
        <v>2</v>
      </c>
      <c r="P25" s="35" t="s">
        <v>492</v>
      </c>
      <c r="Q25" s="15"/>
      <c r="R25" s="15"/>
      <c r="S25" s="15"/>
      <c r="T25" s="15"/>
      <c r="U25" s="15"/>
      <c r="V25" s="15"/>
    </row>
    <row r="26" spans="3:22" x14ac:dyDescent="0.25">
      <c r="C26" s="39">
        <v>2015</v>
      </c>
      <c r="D26" s="15" t="str">
        <f>+'PN-654.545'!F4</f>
        <v>PN-654.545</v>
      </c>
      <c r="E26" s="24" t="str">
        <f>+'PN-654.545'!F5</f>
        <v>Port Newark Berth 19 Wharf Restoration</v>
      </c>
      <c r="F26" s="25">
        <f>+'PN-654.545'!F6</f>
        <v>42145</v>
      </c>
      <c r="G26" s="46" t="str">
        <f>+'PN-654.545'!G7</f>
        <v>Public</v>
      </c>
      <c r="H26" s="27">
        <f>+'PN-654.545'!F$7</f>
        <v>6400000</v>
      </c>
      <c r="I26" s="27">
        <f>+'PN-654.545'!F$8</f>
        <v>5777000</v>
      </c>
      <c r="J26" s="27"/>
      <c r="K26" s="26">
        <f>+'PN-654.545'!G$9</f>
        <v>-9.7343750000000007E-2</v>
      </c>
      <c r="L26" s="11" t="str">
        <f>+'PN-654.545'!F$11</f>
        <v>GOOD</v>
      </c>
      <c r="M26" s="15">
        <f>+'PN-654.545'!H$12</f>
        <v>7</v>
      </c>
      <c r="N26" s="11" t="s">
        <v>25</v>
      </c>
      <c r="O26" s="15">
        <v>2</v>
      </c>
      <c r="P26" s="35" t="s">
        <v>492</v>
      </c>
    </row>
    <row r="27" spans="3:22" x14ac:dyDescent="0.25">
      <c r="C27" s="39">
        <v>2015</v>
      </c>
      <c r="D27" s="15" t="str">
        <f>+'MFP-924.630'!F4</f>
        <v>MFP-924.630</v>
      </c>
      <c r="E27" s="24" t="str">
        <f>+'MFP-924.630'!F5</f>
        <v>New Jersey Marine Terminals-Paving and Utility Rehabilitation via Work Order</v>
      </c>
      <c r="F27" s="25">
        <f>+'MFP-924.630'!F6</f>
        <v>42108</v>
      </c>
      <c r="G27" s="46" t="str">
        <f>+'MFP-924.630'!G7</f>
        <v>Public</v>
      </c>
      <c r="H27" s="27">
        <f>+'MFP-924.630'!F$7</f>
        <v>2320000</v>
      </c>
      <c r="I27" s="27">
        <f>+'MFP-924.630'!F$8</f>
        <v>1550780</v>
      </c>
      <c r="J27" s="27"/>
      <c r="K27" s="26">
        <f>+'MFP-924.630'!G$9</f>
        <v>-0.33156034482758623</v>
      </c>
      <c r="L27" s="11" t="str">
        <f>+'MFP-924.630'!F$11</f>
        <v>GOOD</v>
      </c>
      <c r="M27" s="15">
        <f>+'MFP-924.630'!H$12</f>
        <v>9</v>
      </c>
      <c r="N27" s="11" t="s">
        <v>25</v>
      </c>
      <c r="O27" s="15">
        <v>2</v>
      </c>
      <c r="P27" s="35" t="s">
        <v>492</v>
      </c>
    </row>
    <row r="28" spans="3:22" x14ac:dyDescent="0.25">
      <c r="C28" s="39">
        <v>2015</v>
      </c>
      <c r="D28" s="15" t="str">
        <f>+'PJ-924.624'!F4</f>
        <v>PJ-924.624</v>
      </c>
      <c r="E28" s="24" t="str">
        <f>+'PJ-924.624'!F5</f>
        <v>Port Jersey Marine Terminal-Paving and Utility Rehabilitation via Work Order</v>
      </c>
      <c r="F28" s="25">
        <f>+'PJ-924.624'!F6</f>
        <v>42102</v>
      </c>
      <c r="G28" s="46" t="str">
        <f>+'PJ-924.624'!G7</f>
        <v>MBE/WBE</v>
      </c>
      <c r="H28" s="27">
        <f>+'PJ-924.624'!F$7</f>
        <v>1300000</v>
      </c>
      <c r="I28" s="27">
        <f>+'PJ-924.624'!F$8</f>
        <v>878175</v>
      </c>
      <c r="J28" s="27"/>
      <c r="K28" s="26">
        <f>+'PJ-924.624'!G$9</f>
        <v>-0.32448076923076924</v>
      </c>
      <c r="L28" s="11" t="str">
        <f>+'PJ-924.624'!F$11</f>
        <v>GOOD</v>
      </c>
      <c r="M28" s="15">
        <f>+'PJ-924.624'!H$12</f>
        <v>7</v>
      </c>
      <c r="N28" s="11" t="s">
        <v>25</v>
      </c>
      <c r="O28" s="15">
        <v>2</v>
      </c>
      <c r="P28" s="35" t="s">
        <v>492</v>
      </c>
    </row>
    <row r="29" spans="3:22" x14ac:dyDescent="0.25">
      <c r="C29" s="39">
        <v>2015</v>
      </c>
      <c r="D29" s="15" t="str">
        <f>+'PN-954.004'!F4</f>
        <v>PN-654.004</v>
      </c>
      <c r="E29" s="24" t="str">
        <f>+'PN-954.004'!F5</f>
        <v>Port Newark-Berths 30, 32, and 34 Fender Systems Reconstruction</v>
      </c>
      <c r="F29" s="25">
        <f>+'PN-954.004'!F6</f>
        <v>42072</v>
      </c>
      <c r="G29" s="46" t="str">
        <f>+'PN-954.004'!G7</f>
        <v>Public</v>
      </c>
      <c r="H29" s="27">
        <f>+'PN-954.004'!F$7</f>
        <v>9600000</v>
      </c>
      <c r="I29" s="27">
        <f>+'PN-954.004'!F$8</f>
        <v>6748000</v>
      </c>
      <c r="J29" s="27"/>
      <c r="K29" s="26">
        <f>+'PN-954.004'!G$9</f>
        <v>-0.29708333333333331</v>
      </c>
      <c r="L29" s="11" t="str">
        <f>+'PN-954.004'!F$11</f>
        <v>GOOD</v>
      </c>
      <c r="M29" s="15">
        <f>+'PN-954.004'!H$12</f>
        <v>12</v>
      </c>
      <c r="N29" s="11" t="s">
        <v>25</v>
      </c>
      <c r="O29" s="15">
        <v>1</v>
      </c>
      <c r="P29" s="35" t="s">
        <v>492</v>
      </c>
    </row>
    <row r="30" spans="3:22" x14ac:dyDescent="0.25">
      <c r="C30" s="39"/>
      <c r="D30" s="15"/>
      <c r="E30" s="24"/>
      <c r="F30" s="25"/>
      <c r="G30" s="46"/>
      <c r="H30" s="27"/>
      <c r="I30" s="27"/>
      <c r="J30" s="27"/>
      <c r="K30" s="26"/>
      <c r="L30" s="11"/>
      <c r="M30" s="15"/>
      <c r="O30" s="15"/>
      <c r="P30" s="11"/>
    </row>
    <row r="31" spans="3:22" ht="18" customHeight="1" x14ac:dyDescent="0.25">
      <c r="C31" s="39"/>
      <c r="D31" s="15" t="s">
        <v>462</v>
      </c>
      <c r="E31" s="24"/>
      <c r="F31" s="25"/>
      <c r="G31" s="46"/>
      <c r="H31" s="27"/>
      <c r="I31" s="27"/>
      <c r="J31" s="27"/>
      <c r="K31" s="26"/>
      <c r="L31" s="11"/>
      <c r="M31" s="15"/>
      <c r="P31" s="11"/>
    </row>
    <row r="32" spans="3:22" ht="8.25" customHeight="1" x14ac:dyDescent="0.25">
      <c r="C32" s="39"/>
      <c r="D32" s="15"/>
      <c r="E32" s="24"/>
      <c r="F32" s="25"/>
      <c r="G32" s="46"/>
      <c r="H32" s="27"/>
      <c r="I32" s="27"/>
      <c r="J32" s="27"/>
      <c r="K32" s="26"/>
      <c r="L32" s="11"/>
      <c r="M32" s="15"/>
      <c r="P32" s="11"/>
    </row>
    <row r="33" spans="3:22" x14ac:dyDescent="0.25">
      <c r="C33" s="39">
        <v>2015</v>
      </c>
      <c r="D33" s="15" t="str">
        <f>+'TP-104.006'!$F$4</f>
        <v>TP-104.006</v>
      </c>
      <c r="E33" s="24" t="str">
        <f>+'TP-104.006'!$F$5</f>
        <v>Backflow Prevention Devices</v>
      </c>
      <c r="F33" s="25">
        <f>+'TP-104.006'!$F$6</f>
        <v>42338</v>
      </c>
      <c r="G33" s="46" t="str">
        <f>+'TP-104.006'!$G$7</f>
        <v>Public</v>
      </c>
      <c r="H33" s="27">
        <f>+'TP-104.006'!$F$7</f>
        <v>1200000</v>
      </c>
      <c r="I33" s="27">
        <f>+'TP-104.006'!$F$8</f>
        <v>1222222</v>
      </c>
      <c r="J33" s="27"/>
      <c r="K33" s="26">
        <f>+'TP-104.006'!$G$9</f>
        <v>1.8518333333333335E-2</v>
      </c>
      <c r="L33" s="11" t="str">
        <f>+'TP-104.006'!$F$11</f>
        <v>GOOD</v>
      </c>
      <c r="M33" s="15">
        <f>+'TP-104.006'!$H$12</f>
        <v>6</v>
      </c>
      <c r="N33" s="35" t="s">
        <v>93</v>
      </c>
      <c r="O33" s="15">
        <v>4</v>
      </c>
      <c r="P33" s="35" t="s">
        <v>458</v>
      </c>
      <c r="Q33" s="15"/>
      <c r="R33" s="24"/>
      <c r="S33" s="15"/>
      <c r="T33" s="15"/>
      <c r="U33" s="15"/>
      <c r="V33" s="15"/>
    </row>
    <row r="34" spans="3:22" x14ac:dyDescent="0.25">
      <c r="C34" s="39">
        <v>2015</v>
      </c>
      <c r="D34" s="15" t="str">
        <f>+'MFA-924.283'!F4</f>
        <v>MFA-924.283</v>
      </c>
      <c r="E34" s="24" t="str">
        <f>+'MFA-924.283'!F5</f>
        <v>Newark Liberty International Airport and Teterboro Airport  Asphalt Concrete Pavement Repairs Via Work Order</v>
      </c>
      <c r="F34" s="25">
        <f>+'MFA-924.283'!F6</f>
        <v>42310</v>
      </c>
      <c r="G34" s="46" t="str">
        <f>+'MFA-924.283'!G7</f>
        <v>PQL</v>
      </c>
      <c r="H34" s="27">
        <f>+'MFA-924.283'!F7</f>
        <v>7055100</v>
      </c>
      <c r="I34" s="27">
        <f>+'MFA-924.283'!F8</f>
        <v>5774440</v>
      </c>
      <c r="J34" s="27"/>
      <c r="K34" s="26">
        <f>+'MFA-924.283'!G9</f>
        <v>-0.18152258649771089</v>
      </c>
      <c r="L34" s="11" t="str">
        <f>+'MFA-924.283'!F11</f>
        <v>FAIL</v>
      </c>
      <c r="M34" s="15">
        <f>+'MFA-924.283'!H12</f>
        <v>3</v>
      </c>
      <c r="N34" s="35" t="s">
        <v>25</v>
      </c>
      <c r="O34" s="15">
        <v>4</v>
      </c>
      <c r="P34" s="35" t="s">
        <v>458</v>
      </c>
      <c r="Q34" s="15"/>
      <c r="R34" s="24"/>
      <c r="S34" s="15"/>
      <c r="T34" s="15"/>
      <c r="U34" s="15"/>
      <c r="V34" s="15"/>
    </row>
    <row r="35" spans="3:22" x14ac:dyDescent="0.25">
      <c r="C35" s="39">
        <v>2015</v>
      </c>
      <c r="D35" s="15" t="str">
        <f>+'EWR-154.184'!F4</f>
        <v>EWR-154.184</v>
      </c>
      <c r="E35" s="24" t="str">
        <f>+'EWR-154.184'!F5</f>
        <v>Newark Liberty International Airport-Central Heating &amp; Refirgeration Plant Substation and Pumps Upgrade</v>
      </c>
      <c r="F35" s="25">
        <f>+'EWR-154.184'!F6</f>
        <v>42292</v>
      </c>
      <c r="G35" s="46" t="str">
        <f>+'EWR-154.184'!G7</f>
        <v>Public</v>
      </c>
      <c r="H35" s="27">
        <f>+'EWR-154.184'!F7</f>
        <v>3650000</v>
      </c>
      <c r="I35" s="27">
        <f>+'EWR-154.184'!F8</f>
        <v>3270000</v>
      </c>
      <c r="J35" s="27"/>
      <c r="K35" s="26">
        <f>+'EWR-154.184'!G9</f>
        <v>-0.10410958904109589</v>
      </c>
      <c r="L35" s="11" t="str">
        <f>+'EWR-154.184'!F11</f>
        <v>GOOD</v>
      </c>
      <c r="M35" s="15">
        <f>+'EWR-154.184'!H12</f>
        <v>6</v>
      </c>
      <c r="N35" s="35" t="s">
        <v>25</v>
      </c>
      <c r="O35" s="15">
        <v>4</v>
      </c>
      <c r="P35" s="35" t="s">
        <v>458</v>
      </c>
      <c r="Q35" s="15"/>
      <c r="R35" s="24"/>
      <c r="S35" s="15"/>
      <c r="T35" s="15"/>
      <c r="U35" s="15"/>
      <c r="V35" s="15"/>
    </row>
    <row r="36" spans="3:22" x14ac:dyDescent="0.25">
      <c r="C36" s="39">
        <v>2015</v>
      </c>
      <c r="D36" s="15" t="str">
        <f>+'LGA-124.226'!F4</f>
        <v>LGA-124.226</v>
      </c>
      <c r="E36" s="24" t="str">
        <f>+'LGA-124.226'!F5</f>
        <v>LaGuardia Airport-Hanger 7 South Build Out</v>
      </c>
      <c r="F36" s="25">
        <f>+'LGA-124.226'!F6</f>
        <v>42268</v>
      </c>
      <c r="G36" s="46" t="str">
        <f>+'LGA-124.226'!G7</f>
        <v>Public</v>
      </c>
      <c r="H36" s="27">
        <f>+'LGA-124.226'!F7</f>
        <v>7900000</v>
      </c>
      <c r="I36" s="27">
        <f>+'LGA-124.226'!F8</f>
        <v>6769800</v>
      </c>
      <c r="J36" s="27"/>
      <c r="K36" s="26">
        <f>+'LGA-124.226'!G9</f>
        <v>-0.14306329113924052</v>
      </c>
      <c r="L36" s="11" t="str">
        <f>+'LGA-124.226'!F11</f>
        <v>GOOD</v>
      </c>
      <c r="M36" s="15">
        <f>+'LGA-124.226'!H12</f>
        <v>18</v>
      </c>
      <c r="N36" s="35" t="s">
        <v>93</v>
      </c>
      <c r="O36" s="15">
        <v>3</v>
      </c>
      <c r="P36" s="35" t="s">
        <v>458</v>
      </c>
      <c r="Q36" s="15"/>
      <c r="R36" s="24"/>
      <c r="S36" s="15"/>
      <c r="T36" s="15"/>
      <c r="U36" s="15"/>
      <c r="V36" s="15"/>
    </row>
    <row r="37" spans="3:22" x14ac:dyDescent="0.25">
      <c r="C37" s="39">
        <v>2015</v>
      </c>
      <c r="D37" s="15" t="str">
        <f>+'EWR-924.320'!F4</f>
        <v>EWR-924.320</v>
      </c>
      <c r="E37" s="24" t="str">
        <f>+'EWR-924.320'!F5</f>
        <v>Newark Liberty International Airport-Terminal 'C' Level 1 Drainage Improvements</v>
      </c>
      <c r="F37" s="25">
        <f>+'EWR-924.320'!F6</f>
        <v>42256</v>
      </c>
      <c r="G37" s="46" t="str">
        <f>+'EWR-924.320'!G7</f>
        <v>M/WBE</v>
      </c>
      <c r="H37" s="27">
        <f>+'EWR-924.320'!F$7</f>
        <v>325000</v>
      </c>
      <c r="I37" s="27">
        <f>+'EWR-924.320'!F$8</f>
        <v>377777</v>
      </c>
      <c r="J37" s="27"/>
      <c r="K37" s="26">
        <f>+'EWR-924.320'!G$9</f>
        <v>0.16239076923076923</v>
      </c>
      <c r="L37" s="11" t="str">
        <f>+'EWR-924.320'!F$11</f>
        <v>FAIL</v>
      </c>
      <c r="M37" s="15">
        <f>+'EWR-924.320'!H$12</f>
        <v>6</v>
      </c>
      <c r="N37" s="35" t="s">
        <v>25</v>
      </c>
      <c r="O37" s="15">
        <v>3</v>
      </c>
      <c r="P37" s="35" t="s">
        <v>458</v>
      </c>
      <c r="Q37" s="15"/>
      <c r="R37" s="24"/>
      <c r="S37" s="15"/>
      <c r="T37" s="15"/>
      <c r="U37" s="15"/>
      <c r="V37" s="15"/>
    </row>
    <row r="38" spans="3:22" x14ac:dyDescent="0.25">
      <c r="C38" s="39">
        <v>2015</v>
      </c>
      <c r="D38" s="15" t="str">
        <f>+'LGA-124.229'!F4</f>
        <v>LGA-124.229</v>
      </c>
      <c r="E38" s="24" t="str">
        <f>+'LGA-124.229'!F5</f>
        <v>LaGuardia Airport - Watch Engineer's Office Relocation</v>
      </c>
      <c r="F38" s="25">
        <f>+'LGA-124.229'!F6</f>
        <v>42243</v>
      </c>
      <c r="G38" s="46" t="str">
        <f>+'LGA-124.229'!G7</f>
        <v>Public</v>
      </c>
      <c r="H38" s="27">
        <f>+'LGA-124.229'!F$7</f>
        <v>1650000</v>
      </c>
      <c r="I38" s="27">
        <f>+'LGA-124.229'!F$8</f>
        <v>1898000</v>
      </c>
      <c r="J38" s="27"/>
      <c r="K38" s="26">
        <f>+'LGA-124.229'!G$9</f>
        <v>0.1503030303030303</v>
      </c>
      <c r="L38" s="11" t="str">
        <f>+'LGA-124.229'!F$11</f>
        <v>FAIL</v>
      </c>
      <c r="M38" s="15">
        <f>+'LGA-124.229'!H$12</f>
        <v>4</v>
      </c>
      <c r="N38" s="35" t="s">
        <v>93</v>
      </c>
      <c r="O38" s="15">
        <v>3</v>
      </c>
      <c r="P38" s="35" t="s">
        <v>458</v>
      </c>
      <c r="Q38" s="15"/>
      <c r="R38" s="24"/>
      <c r="S38" s="15"/>
      <c r="T38" s="15"/>
      <c r="U38" s="15"/>
      <c r="V38" s="15"/>
    </row>
    <row r="39" spans="3:22" x14ac:dyDescent="0.25">
      <c r="C39" s="39">
        <v>2015</v>
      </c>
      <c r="D39" s="15" t="str">
        <f>+'EWR-924.175A'!F4</f>
        <v>EWR-924.175A</v>
      </c>
      <c r="E39" s="24" t="str">
        <f>+'EWR-924.175A'!F5</f>
        <v>Newark Liberty International Airport-Building No. 105 Roof Replacement</v>
      </c>
      <c r="F39" s="25">
        <f>+'EWR-924.175A'!F6</f>
        <v>42234</v>
      </c>
      <c r="G39" s="46" t="str">
        <f>+'EWR-924.175A'!G7</f>
        <v>M/WBE</v>
      </c>
      <c r="H39" s="27">
        <f>+'EWR-924.175A'!F$7</f>
        <v>354000</v>
      </c>
      <c r="I39" s="27">
        <f>+'EWR-924.175A'!F$8</f>
        <v>396811</v>
      </c>
      <c r="J39" s="27"/>
      <c r="K39" s="26">
        <f>+'EWR-924.175A'!G$9</f>
        <v>0.12093502824858757</v>
      </c>
      <c r="L39" s="11" t="str">
        <f>+'EWR-924.175A'!F$11</f>
        <v>FAIL</v>
      </c>
      <c r="M39" s="15">
        <f>+'EWR-924.175A'!H$12</f>
        <v>3</v>
      </c>
      <c r="N39" s="35" t="s">
        <v>25</v>
      </c>
      <c r="O39" s="15">
        <v>3</v>
      </c>
      <c r="P39" s="35" t="s">
        <v>458</v>
      </c>
      <c r="Q39" s="15"/>
      <c r="R39" s="24"/>
      <c r="S39" s="15"/>
      <c r="T39" s="15"/>
      <c r="U39" s="15"/>
      <c r="V39" s="15"/>
    </row>
    <row r="40" spans="3:22" x14ac:dyDescent="0.25">
      <c r="C40" s="39">
        <v>2015</v>
      </c>
      <c r="D40" s="15" t="str">
        <f>+'EWR-154.239'!F4</f>
        <v>EWR-154.239</v>
      </c>
      <c r="E40" s="24" t="str">
        <f>+'EWR-154.239'!F5</f>
        <v>Newark Liberty International Airport- Rehabilitation of Expansion Joints of Bridges N3, N9, N13, N17, N19 and N29, and Structural Elements</v>
      </c>
      <c r="F40" s="25">
        <f>+'EWR-154.239'!F6</f>
        <v>42213</v>
      </c>
      <c r="G40" s="46" t="str">
        <f>+'EWR-154.239'!G7</f>
        <v>Public</v>
      </c>
      <c r="H40" s="27">
        <f>+'EWR-154.239'!F$7</f>
        <v>1918000</v>
      </c>
      <c r="I40" s="27">
        <f>+'EWR-154.239'!F$8</f>
        <v>1389000</v>
      </c>
      <c r="J40" s="27"/>
      <c r="K40" s="26">
        <f>+'EWR-154.239'!G$9</f>
        <v>-0.27580813347236705</v>
      </c>
      <c r="L40" s="11" t="str">
        <f>+'EWR-154.239'!F$11</f>
        <v>GOOD</v>
      </c>
      <c r="M40" s="15">
        <f>+'EWR-154.239'!H$12</f>
        <v>12</v>
      </c>
      <c r="N40" s="35" t="s">
        <v>25</v>
      </c>
      <c r="O40" s="15">
        <v>3</v>
      </c>
      <c r="P40" s="35" t="s">
        <v>458</v>
      </c>
      <c r="Q40" s="15"/>
      <c r="R40" s="24"/>
      <c r="S40" s="15"/>
      <c r="T40" s="15"/>
      <c r="U40" s="15"/>
      <c r="V40" s="15"/>
    </row>
    <row r="41" spans="3:22" x14ac:dyDescent="0.25">
      <c r="C41" s="39">
        <v>2015</v>
      </c>
      <c r="D41" s="15" t="str">
        <f>+'JFK-914.209'!F4</f>
        <v>JFK-914.209</v>
      </c>
      <c r="E41" s="24" t="str">
        <f>+'JFK-914.209'!F5</f>
        <v>John F. Kennedy International Airport-Former Hangar 12 Site-West Area Lighting</v>
      </c>
      <c r="F41" s="25">
        <f>+'JFK-914.209'!F6</f>
        <v>42145</v>
      </c>
      <c r="G41" s="46" t="str">
        <f>+'JFK-914.209'!G7</f>
        <v>MBE</v>
      </c>
      <c r="H41" s="27">
        <f>+'JFK-914.209'!F$7</f>
        <v>1550000</v>
      </c>
      <c r="I41" s="27">
        <f>+'JFK-914.209'!F$8</f>
        <v>2333333.33</v>
      </c>
      <c r="J41" s="27"/>
      <c r="K41" s="26">
        <f>+'JFK-914.209'!G$9</f>
        <v>0.50537634193548386</v>
      </c>
      <c r="L41" s="11" t="str">
        <f>+'JFK-914.209'!F$11</f>
        <v>FAIL</v>
      </c>
      <c r="M41" s="15">
        <f>+'JFK-914.209'!H$12</f>
        <v>2</v>
      </c>
      <c r="N41" s="11" t="s">
        <v>93</v>
      </c>
      <c r="O41" s="15">
        <v>2</v>
      </c>
      <c r="P41" s="35" t="s">
        <v>458</v>
      </c>
    </row>
    <row r="42" spans="3:22" x14ac:dyDescent="0.25">
      <c r="C42" s="39">
        <v>2015</v>
      </c>
      <c r="D42" s="15" t="str">
        <f>+'SWF-164.031A'!F4</f>
        <v>SWF-164.031A</v>
      </c>
      <c r="E42" s="24" t="str">
        <f>+'SWF-164.031A'!F5</f>
        <v>Stewart International-Passenger Loading Bridges Pressurization Fans</v>
      </c>
      <c r="F42" s="25">
        <f>+'SWF-164.031A'!F6</f>
        <v>42143</v>
      </c>
      <c r="G42" s="46" t="str">
        <f>+'SWF-164.031A'!G7</f>
        <v>Public</v>
      </c>
      <c r="H42" s="27">
        <f>+'SWF-164.031A'!F$7</f>
        <v>1263000</v>
      </c>
      <c r="I42" s="27">
        <f>+'SWF-164.031A'!F$8</f>
        <v>930000</v>
      </c>
      <c r="J42" s="27"/>
      <c r="K42" s="26">
        <f>+'SWF-164.031A'!G$9</f>
        <v>-0.26365795724465557</v>
      </c>
      <c r="L42" s="11" t="str">
        <f>+'SWF-164.031A'!F$11</f>
        <v>FAIL</v>
      </c>
      <c r="M42" s="15">
        <f>+'SWF-164.031A'!H$12</f>
        <v>1</v>
      </c>
      <c r="N42" s="11" t="s">
        <v>93</v>
      </c>
      <c r="O42" s="15">
        <v>2</v>
      </c>
      <c r="P42" s="35" t="s">
        <v>458</v>
      </c>
    </row>
    <row r="43" spans="3:22" x14ac:dyDescent="0.25">
      <c r="C43" s="39">
        <v>2015</v>
      </c>
      <c r="D43" s="15" t="str">
        <f>+'TEB-914.203'!F4</f>
        <v>TEB-914.203</v>
      </c>
      <c r="E43" s="24" t="str">
        <f>+'TEB-914.203'!F5</f>
        <v>Teterboro Airport-Installation of Fencing to Mitigate Wildlife Hazards</v>
      </c>
      <c r="F43" s="25">
        <f>+'TEB-914.203'!F6</f>
        <v>42115</v>
      </c>
      <c r="G43" s="46" t="str">
        <f>+'TEB-914.203'!G7</f>
        <v>Public</v>
      </c>
      <c r="H43" s="27">
        <f>+'TEB-914.203'!F$7</f>
        <v>735000</v>
      </c>
      <c r="I43" s="27">
        <f>+'TEB-914.203'!F$8</f>
        <v>512568</v>
      </c>
      <c r="J43" s="27"/>
      <c r="K43" s="26">
        <f>+'TEB-914.203'!G$9</f>
        <v>-0.30262857142857141</v>
      </c>
      <c r="L43" s="11" t="str">
        <f>+'TEB-914.203'!F$11</f>
        <v>GOOD</v>
      </c>
      <c r="M43" s="15">
        <f>+'TEB-914.203'!H$12</f>
        <v>9</v>
      </c>
      <c r="N43" s="11" t="s">
        <v>25</v>
      </c>
      <c r="O43" s="15">
        <v>2</v>
      </c>
      <c r="P43" s="35" t="s">
        <v>458</v>
      </c>
    </row>
    <row r="44" spans="3:22" x14ac:dyDescent="0.25">
      <c r="C44" s="39">
        <v>2015</v>
      </c>
      <c r="D44" s="15" t="str">
        <f>+'LGA-774.234'!F4</f>
        <v>LGA-774.234</v>
      </c>
      <c r="E44" s="24" t="str">
        <f>+'LGA-774.234'!F5</f>
        <v>Laguardia Airport-Flood Protection at the West Field Lighting Vault</v>
      </c>
      <c r="F44" s="25">
        <f>+'LGA-774.234'!F6</f>
        <v>42104</v>
      </c>
      <c r="G44" s="46" t="str">
        <f>+'LGA-774.234'!G7</f>
        <v>Public</v>
      </c>
      <c r="H44" s="27">
        <f>+'LGA-774.234'!F$7</f>
        <v>3760000</v>
      </c>
      <c r="I44" s="27">
        <f>+'LGA-774.234'!F$8</f>
        <v>2999293</v>
      </c>
      <c r="J44" s="27"/>
      <c r="K44" s="26">
        <f>+'LGA-774.234'!G$9</f>
        <v>-0.20231569148936171</v>
      </c>
      <c r="L44" s="11" t="str">
        <f>+'LGA-774.234'!F$11</f>
        <v>GOOD</v>
      </c>
      <c r="M44" s="15">
        <f>+'LGA-774.234'!H$12</f>
        <v>10</v>
      </c>
      <c r="N44" s="11" t="s">
        <v>93</v>
      </c>
      <c r="O44" s="15">
        <v>2</v>
      </c>
      <c r="P44" s="35" t="s">
        <v>458</v>
      </c>
    </row>
    <row r="45" spans="3:22" x14ac:dyDescent="0.25">
      <c r="C45" s="39">
        <v>2015</v>
      </c>
      <c r="D45" s="15" t="str">
        <f>+'LGA-774.236'!F4</f>
        <v>LGA-774.236</v>
      </c>
      <c r="E45" s="24" t="str">
        <f>+'LGA-774.236'!F5</f>
        <v>Laguardia airport-Flood Protection at the West End Substation</v>
      </c>
      <c r="F45" s="25">
        <f>+'LGA-774.236'!F6</f>
        <v>42104</v>
      </c>
      <c r="G45" s="46" t="str">
        <f>+'LGA-774.236'!G7</f>
        <v>Public</v>
      </c>
      <c r="H45" s="27">
        <f>+'LGA-774.236'!F$7</f>
        <v>1770000</v>
      </c>
      <c r="I45" s="27">
        <f>+'LGA-774.236'!F$8</f>
        <v>1397380</v>
      </c>
      <c r="J45" s="27"/>
      <c r="K45" s="26">
        <f>+'LGA-774.236'!G$9</f>
        <v>-0.21051977401129943</v>
      </c>
      <c r="L45" s="11" t="str">
        <f>+'LGA-774.236'!F$11</f>
        <v>GOOD</v>
      </c>
      <c r="M45" s="15">
        <f>+'LGA-774.236'!H$12</f>
        <v>10</v>
      </c>
      <c r="N45" s="11" t="s">
        <v>93</v>
      </c>
      <c r="O45" s="15">
        <v>2</v>
      </c>
      <c r="P45" s="35" t="s">
        <v>458</v>
      </c>
    </row>
    <row r="46" spans="3:22" x14ac:dyDescent="0.25">
      <c r="C46" s="39">
        <v>2015</v>
      </c>
      <c r="D46" s="15" t="str">
        <f>+'JFK-1050'!F4</f>
        <v>JFK-1050</v>
      </c>
      <c r="E46" s="24" t="str">
        <f>+'JFK-1050'!F5</f>
        <v>John F. Kennedy International Airport-Replacement of Fire Alarm System at the Airport Traffic Control Tower</v>
      </c>
      <c r="F46" s="25">
        <f>+'JFK-1050'!F6</f>
        <v>42103</v>
      </c>
      <c r="G46" s="46" t="str">
        <f>+'JFK-1050'!G7</f>
        <v>Public</v>
      </c>
      <c r="H46" s="27">
        <f>+'JFK-1050'!F$7</f>
        <v>1850000</v>
      </c>
      <c r="I46" s="27">
        <f>+'JFK-1050'!F$8</f>
        <v>2137550</v>
      </c>
      <c r="J46" s="27"/>
      <c r="K46" s="26">
        <f>+'JFK-1050'!G$9</f>
        <v>0.15543243243243243</v>
      </c>
      <c r="L46" s="11" t="str">
        <f>+'JFK-1050'!F$11</f>
        <v>FAIL</v>
      </c>
      <c r="M46" s="15">
        <f>+'JFK-1050'!H$12</f>
        <v>8</v>
      </c>
      <c r="N46" s="11" t="s">
        <v>93</v>
      </c>
      <c r="O46" s="15">
        <v>2</v>
      </c>
      <c r="P46" s="35" t="s">
        <v>458</v>
      </c>
    </row>
    <row r="47" spans="3:22" x14ac:dyDescent="0.25">
      <c r="C47" s="39">
        <v>2015</v>
      </c>
      <c r="D47" s="15" t="str">
        <f>+'LGA-774.133'!F4</f>
        <v>LGA-774.133</v>
      </c>
      <c r="E47" s="24" t="str">
        <f>+'LGA-774.133'!F5</f>
        <v>LaGuardia Airport-Emergency Storm Drainage</v>
      </c>
      <c r="F47" s="25">
        <f>+'LGA-774.133'!F6</f>
        <v>42102</v>
      </c>
      <c r="G47" s="46" t="str">
        <f>+'LGA-774.133'!G7</f>
        <v>Public</v>
      </c>
      <c r="H47" s="27">
        <f>+'LGA-774.133'!F$7</f>
        <v>4900000</v>
      </c>
      <c r="I47" s="27">
        <f>+'LGA-774.133'!F$8</f>
        <v>3388390</v>
      </c>
      <c r="J47" s="27"/>
      <c r="K47" s="26">
        <f>+'LGA-774.133'!G$9</f>
        <v>-0.30849183673469388</v>
      </c>
      <c r="L47" s="11" t="str">
        <f>+'LGA-774.133'!F$11</f>
        <v>FAIL</v>
      </c>
      <c r="M47" s="15">
        <f>+'LGA-774.133'!H$12</f>
        <v>9</v>
      </c>
      <c r="N47" s="11" t="s">
        <v>93</v>
      </c>
      <c r="O47" s="15">
        <v>2</v>
      </c>
      <c r="P47" s="35" t="s">
        <v>458</v>
      </c>
    </row>
    <row r="48" spans="3:22" x14ac:dyDescent="0.25">
      <c r="C48" s="39">
        <v>2015</v>
      </c>
      <c r="D48" s="15" t="str">
        <f>+'JFK-134.025'!F4</f>
        <v>JFK-134.025</v>
      </c>
      <c r="E48" s="24" t="str">
        <f>+'JFK-134.025'!F5</f>
        <v>John F. Kennedy International Airport-Unmanned AOA Gates and Perimeter Fence Enhancement-Phase II</v>
      </c>
      <c r="F48" s="25">
        <f>+'JFK-134.025'!F6</f>
        <v>42060</v>
      </c>
      <c r="G48" s="46" t="str">
        <f>+'JFK-134.025'!G7</f>
        <v>M/WBE</v>
      </c>
      <c r="H48" s="27">
        <f>+'JFK-134.025'!F$7</f>
        <v>640000</v>
      </c>
      <c r="I48" s="27">
        <f>+'JFK-134.025'!F$8</f>
        <v>574000</v>
      </c>
      <c r="J48" s="27"/>
      <c r="K48" s="26">
        <f>+'JFK-134.025'!G$9</f>
        <v>-0.10312499999999999</v>
      </c>
      <c r="L48" s="11" t="str">
        <f>+'JFK-134.025'!F$11</f>
        <v>GOOD</v>
      </c>
      <c r="M48" s="15">
        <f>+'JFK-134.025'!H$12</f>
        <v>4</v>
      </c>
      <c r="N48" s="11" t="s">
        <v>93</v>
      </c>
      <c r="O48" s="15">
        <v>1</v>
      </c>
      <c r="P48" s="35" t="s">
        <v>458</v>
      </c>
    </row>
    <row r="49" spans="3:22" x14ac:dyDescent="0.25">
      <c r="C49" s="39">
        <v>2015</v>
      </c>
      <c r="D49" s="15" t="str">
        <f>+'LGA-124.231'!F4</f>
        <v>LGA-124.231</v>
      </c>
      <c r="E49" s="24" t="str">
        <f>+'LGA-124.231'!F5</f>
        <v>Laguardia Airport-Rehabilitation of Taxiways West of Runway 4-22</v>
      </c>
      <c r="F49" s="25">
        <f>+'LGA-124.231'!F6</f>
        <v>42057</v>
      </c>
      <c r="G49" s="46" t="str">
        <f>+'LGA-124.231'!G7</f>
        <v>PQL</v>
      </c>
      <c r="H49" s="27">
        <f>+'LGA-124.231'!F$7</f>
        <v>9700000</v>
      </c>
      <c r="I49" s="27">
        <f>+'LGA-124.231'!F$8</f>
        <v>8742268</v>
      </c>
      <c r="J49" s="27"/>
      <c r="K49" s="26">
        <f>+'LGA-124.231'!G$9</f>
        <v>-9.8735257731958764E-2</v>
      </c>
      <c r="L49" s="11" t="str">
        <f>+'LGA-124.231'!F$11</f>
        <v>GOOD</v>
      </c>
      <c r="M49" s="15">
        <f>+'LGA-124.231'!H$12</f>
        <v>3</v>
      </c>
      <c r="N49" s="11" t="s">
        <v>93</v>
      </c>
      <c r="O49" s="15">
        <v>1</v>
      </c>
      <c r="P49" s="35" t="s">
        <v>458</v>
      </c>
    </row>
    <row r="50" spans="3:22" x14ac:dyDescent="0.25">
      <c r="C50" s="39">
        <v>2015</v>
      </c>
      <c r="D50" s="15" t="str">
        <f>+'LGA-124.166'!F4</f>
        <v>LGA-124.166</v>
      </c>
      <c r="E50" s="24" t="str">
        <f>+'LGA-124.166'!F5</f>
        <v>Laguardia Airport-Rehabilitation of Runway 13-31 and Associated Taxiways</v>
      </c>
      <c r="F50" s="25">
        <f>+'LGA-124.166'!F6</f>
        <v>42038</v>
      </c>
      <c r="G50" s="46" t="str">
        <f>+'LGA-124.166'!G7</f>
        <v>PQL</v>
      </c>
      <c r="H50" s="27">
        <f>+'LGA-124.166'!F$7</f>
        <v>25770000</v>
      </c>
      <c r="I50" s="27">
        <f>+'LGA-124.166'!F$8</f>
        <v>28747550</v>
      </c>
      <c r="J50" s="27"/>
      <c r="K50" s="26">
        <f>+'LGA-124.166'!G$9</f>
        <v>0.11554326736515327</v>
      </c>
      <c r="L50" s="11" t="str">
        <f>+'LGA-124.166'!F$11</f>
        <v>FAIL</v>
      </c>
      <c r="M50" s="15">
        <f>+'LGA-124.166'!H$12</f>
        <v>3</v>
      </c>
      <c r="N50" s="11" t="s">
        <v>93</v>
      </c>
      <c r="O50" s="15">
        <v>1</v>
      </c>
      <c r="P50" s="35" t="s">
        <v>458</v>
      </c>
    </row>
    <row r="51" spans="3:22" x14ac:dyDescent="0.25">
      <c r="C51" s="39"/>
      <c r="D51" s="15"/>
      <c r="E51" s="24"/>
      <c r="F51" s="25"/>
      <c r="G51" s="46"/>
      <c r="H51" s="27"/>
      <c r="I51" s="27"/>
      <c r="J51" s="27"/>
      <c r="K51" s="26"/>
      <c r="L51" s="11"/>
      <c r="M51" s="15"/>
      <c r="P51" s="11"/>
    </row>
    <row r="52" spans="3:22" x14ac:dyDescent="0.25">
      <c r="C52" s="39"/>
      <c r="D52" s="15"/>
      <c r="E52" s="24"/>
      <c r="F52" s="25"/>
      <c r="G52" s="46"/>
      <c r="H52" s="27"/>
      <c r="I52" s="27"/>
      <c r="J52" s="27"/>
      <c r="K52" s="26"/>
      <c r="L52" s="11"/>
      <c r="M52" s="15"/>
      <c r="P52" s="11"/>
    </row>
    <row r="53" spans="3:22" x14ac:dyDescent="0.25">
      <c r="C53" s="39"/>
      <c r="D53" s="15"/>
      <c r="E53" s="24"/>
      <c r="F53" s="25"/>
      <c r="G53" s="46"/>
      <c r="H53" s="27"/>
      <c r="I53" s="27"/>
      <c r="J53" s="27"/>
      <c r="K53" s="26"/>
      <c r="L53" s="11"/>
      <c r="M53" s="15"/>
      <c r="P53" s="11"/>
    </row>
    <row r="54" spans="3:22" ht="18" customHeight="1" x14ac:dyDescent="0.25">
      <c r="C54" s="39"/>
      <c r="D54" s="15" t="s">
        <v>463</v>
      </c>
      <c r="E54" s="24"/>
      <c r="F54" s="25"/>
      <c r="G54" s="46"/>
      <c r="H54" s="27"/>
      <c r="I54" s="27"/>
      <c r="J54" s="27"/>
      <c r="K54" s="26"/>
      <c r="L54" s="11"/>
      <c r="M54" s="15"/>
      <c r="P54" s="11"/>
    </row>
    <row r="55" spans="3:22" ht="8.25" customHeight="1" x14ac:dyDescent="0.25">
      <c r="C55" s="39"/>
      <c r="D55" s="15"/>
      <c r="E55" s="24"/>
      <c r="F55" s="25"/>
      <c r="G55" s="46"/>
      <c r="H55" s="27"/>
      <c r="I55" s="27"/>
      <c r="J55" s="27"/>
      <c r="K55" s="26"/>
      <c r="L55" s="11"/>
      <c r="M55" s="15"/>
      <c r="P55" s="11"/>
    </row>
    <row r="56" spans="3:22" x14ac:dyDescent="0.25">
      <c r="C56" s="39">
        <v>2015</v>
      </c>
      <c r="D56" s="15" t="str">
        <f>+' PAT-024.069 Void'!F4</f>
        <v>PAT-024.069</v>
      </c>
      <c r="E56" s="24" t="str">
        <f>+' PAT-024.069 Void'!F5</f>
        <v>PATH-30th Street Mezzanine Rehabilitation</v>
      </c>
      <c r="F56" s="25">
        <f>+' PAT-024.069 Void'!F6</f>
        <v>42304</v>
      </c>
      <c r="G56" s="46" t="str">
        <f>+' PAT-024.069 Void'!G7</f>
        <v>Public</v>
      </c>
      <c r="H56" s="27">
        <f>+' PAT-024.069 Void'!F7</f>
        <v>2420000</v>
      </c>
      <c r="I56" s="27">
        <f>+' PAT-024.069 Void'!F8</f>
        <v>4137000</v>
      </c>
      <c r="J56" s="27"/>
      <c r="K56" s="26">
        <f>+' PAT-024.069 Void'!G9</f>
        <v>0.70950413223140496</v>
      </c>
      <c r="L56" s="11" t="str">
        <f>+' PAT-024.069 Void'!F11</f>
        <v>FAIL</v>
      </c>
      <c r="M56" s="15">
        <f>+' PAT-024.069 Void'!H12</f>
        <v>2</v>
      </c>
      <c r="N56" s="35" t="s">
        <v>93</v>
      </c>
      <c r="O56" s="15">
        <v>4</v>
      </c>
      <c r="P56" s="35" t="s">
        <v>459</v>
      </c>
      <c r="Q56" s="15"/>
      <c r="R56" s="11"/>
      <c r="S56" s="15"/>
      <c r="T56" s="15"/>
      <c r="U56" s="15"/>
      <c r="V56" s="15"/>
    </row>
    <row r="57" spans="3:22" x14ac:dyDescent="0.25">
      <c r="C57" s="39">
        <v>2015</v>
      </c>
      <c r="D57" s="15" t="str">
        <f>+'PAT-131.000'!F4</f>
        <v>PAT-131.000</v>
      </c>
      <c r="E57" s="24" t="str">
        <f>+'PAT-131.000'!F5</f>
        <v>Path-Hackensack River Bridge Emergency Generator Fuel Tank</v>
      </c>
      <c r="F57" s="25">
        <f>+'PAT-131.000'!F6</f>
        <v>42144</v>
      </c>
      <c r="G57" s="46" t="str">
        <f>+'PAT-131.000'!G7</f>
        <v>Public</v>
      </c>
      <c r="H57" s="27">
        <f>+'PAT-131.000'!F$7</f>
        <v>3340000</v>
      </c>
      <c r="I57" s="27">
        <f>+'PAT-131.000'!F$8</f>
        <v>4538160</v>
      </c>
      <c r="J57" s="27"/>
      <c r="K57" s="26">
        <f>+'PAT-131.000'!G$9</f>
        <v>0.35873053892215567</v>
      </c>
      <c r="L57" s="11" t="str">
        <f>+'PAT-131.000'!F$11</f>
        <v>FAIL</v>
      </c>
      <c r="M57" s="15">
        <f>+'PAT-131.000'!H$12</f>
        <v>3</v>
      </c>
      <c r="N57" s="11" t="s">
        <v>25</v>
      </c>
      <c r="O57" s="15">
        <v>2</v>
      </c>
      <c r="P57" s="35" t="s">
        <v>459</v>
      </c>
    </row>
    <row r="58" spans="3:22" x14ac:dyDescent="0.25">
      <c r="C58" s="39">
        <v>2015</v>
      </c>
      <c r="D58" s="15" t="str">
        <f>+'PAT-643'!F4</f>
        <v>PAT-643-Work Order No. 2</v>
      </c>
      <c r="E58" s="24" t="str">
        <f>+'PAT-643'!F5</f>
        <v>Path-Tunnels E&amp;F Temporary Event detection Systems (TEDS)</v>
      </c>
      <c r="F58" s="25">
        <f>+'PAT-643'!F6</f>
        <v>42108</v>
      </c>
      <c r="G58" s="46" t="str">
        <f>+'PAT-643'!G7</f>
        <v>PQL</v>
      </c>
      <c r="H58" s="27">
        <f>+'PAT-643'!F$7</f>
        <v>521000</v>
      </c>
      <c r="I58" s="27">
        <f>+'PAT-643'!F$8</f>
        <v>1840000</v>
      </c>
      <c r="J58" s="27"/>
      <c r="K58" s="26">
        <f>+'PAT-643'!G$9</f>
        <v>2.5316698656429941</v>
      </c>
      <c r="L58" s="11" t="str">
        <f>+'PAT-643'!F$11</f>
        <v>FAIL</v>
      </c>
      <c r="M58" s="15">
        <f>+'PAT-643'!H$12</f>
        <v>3</v>
      </c>
      <c r="N58" s="35" t="s">
        <v>226</v>
      </c>
      <c r="O58" s="15">
        <v>2</v>
      </c>
      <c r="P58" s="35" t="s">
        <v>459</v>
      </c>
    </row>
    <row r="59" spans="3:22" x14ac:dyDescent="0.25">
      <c r="C59" s="39">
        <v>2015</v>
      </c>
      <c r="D59" s="15" t="str">
        <f>+'PAT-084.057'!F4</f>
        <v>PAT-084.057</v>
      </c>
      <c r="E59" s="24" t="str">
        <f>+'PAT-084.057'!F5</f>
        <v>PATH-Access Control and CCTV at Substation and Communications Rooms</v>
      </c>
      <c r="F59" s="25">
        <f>+'PAT-084.057'!F6</f>
        <v>42080</v>
      </c>
      <c r="G59" s="46" t="str">
        <f>+'PAT-084.057'!G7</f>
        <v>PQL</v>
      </c>
      <c r="H59" s="27">
        <f>+'PAT-084.057'!F$7</f>
        <v>4450000</v>
      </c>
      <c r="I59" s="27">
        <f>+'PAT-084.057'!F$8</f>
        <v>3620000</v>
      </c>
      <c r="J59" s="27"/>
      <c r="K59" s="26">
        <f>+'PAT-084.057'!G$9</f>
        <v>-0.18651685393258427</v>
      </c>
      <c r="L59" s="11" t="str">
        <f>+'PAT-084.057'!F$11</f>
        <v>GOOD</v>
      </c>
      <c r="M59" s="15">
        <f>+'PAT-084.057'!H$12</f>
        <v>3</v>
      </c>
      <c r="O59" s="15">
        <v>1</v>
      </c>
      <c r="P59" s="35" t="s">
        <v>459</v>
      </c>
    </row>
    <row r="60" spans="3:22" x14ac:dyDescent="0.25">
      <c r="C60" s="39"/>
      <c r="G60" s="46"/>
      <c r="H60" s="27"/>
      <c r="P60" s="11"/>
    </row>
    <row r="61" spans="3:22" x14ac:dyDescent="0.25">
      <c r="C61" s="39"/>
      <c r="G61" s="45"/>
      <c r="H61" s="4">
        <f>SUM(H7:H60)</f>
        <v>181641100</v>
      </c>
      <c r="I61" s="4">
        <f>SUM(I7:I60)</f>
        <v>178011780.82999998</v>
      </c>
      <c r="K61" s="7">
        <f>+I61/H61</f>
        <v>0.98001928434698971</v>
      </c>
      <c r="P61" s="11"/>
    </row>
    <row r="62" spans="3:22" x14ac:dyDescent="0.25">
      <c r="C62" s="39"/>
      <c r="G62" s="45"/>
      <c r="P62" s="11"/>
    </row>
    <row r="63" spans="3:22" x14ac:dyDescent="0.25">
      <c r="C63" s="39"/>
      <c r="G63" s="45"/>
      <c r="P63" s="11"/>
    </row>
    <row r="64" spans="3:22" x14ac:dyDescent="0.25">
      <c r="C64" s="39"/>
      <c r="G64" s="45"/>
      <c r="P64" s="11"/>
    </row>
    <row r="65" spans="3:22" x14ac:dyDescent="0.25">
      <c r="C65" s="39"/>
      <c r="G65" s="45"/>
      <c r="P65" s="11"/>
    </row>
    <row r="66" spans="3:22" x14ac:dyDescent="0.25">
      <c r="C66" s="39"/>
      <c r="G66" s="45"/>
      <c r="P66" s="11"/>
    </row>
    <row r="67" spans="3:22" x14ac:dyDescent="0.25">
      <c r="C67" s="39"/>
      <c r="G67" s="45"/>
      <c r="P67" s="11"/>
    </row>
    <row r="68" spans="3:22" ht="18" customHeight="1" x14ac:dyDescent="0.25">
      <c r="C68" s="39"/>
      <c r="D68" s="15" t="s">
        <v>466</v>
      </c>
      <c r="E68" s="24"/>
      <c r="F68" s="25"/>
      <c r="G68" s="46"/>
      <c r="H68" s="27"/>
      <c r="I68" s="27"/>
      <c r="J68" s="27"/>
      <c r="K68" s="26"/>
      <c r="L68" s="11"/>
      <c r="M68" s="15"/>
      <c r="P68" s="11"/>
    </row>
    <row r="69" spans="3:22" ht="8.25" customHeight="1" x14ac:dyDescent="0.25">
      <c r="C69" s="39"/>
      <c r="D69" s="15"/>
      <c r="E69" s="24"/>
      <c r="F69" s="25"/>
      <c r="G69" s="46"/>
      <c r="H69" s="27"/>
      <c r="I69" s="27"/>
      <c r="J69" s="27"/>
      <c r="K69" s="26"/>
      <c r="L69" s="11"/>
      <c r="M69" s="15"/>
      <c r="P69" s="11"/>
    </row>
    <row r="70" spans="3:22" x14ac:dyDescent="0.25">
      <c r="C70" s="39">
        <v>2015</v>
      </c>
      <c r="D70" s="15" t="str">
        <f>+'EP-684.509 Void'!$F$4</f>
        <v>EP-684.509</v>
      </c>
      <c r="E70" s="24" t="str">
        <f>+'EP-684.509 Void'!$F$5</f>
        <v>Bldg 1400 Upgrade of Fire Supression System</v>
      </c>
      <c r="F70" s="25">
        <f>+'EP-684.509 Void'!$F$6</f>
        <v>42355</v>
      </c>
      <c r="G70" s="46" t="str">
        <f>+'EP-684.509 Void'!$G$7</f>
        <v>M/WBE</v>
      </c>
      <c r="H70" s="27">
        <f>+'EP-684.509 Void'!$F$7</f>
        <v>640000</v>
      </c>
      <c r="I70" s="27">
        <f>+'EP-684.509 Void'!$F$8</f>
        <v>898000</v>
      </c>
      <c r="J70" s="27"/>
      <c r="K70" s="26">
        <f>+'EP-684.509 Void'!$G$9</f>
        <v>0.40312500000000001</v>
      </c>
      <c r="L70" s="11" t="str">
        <f>+'EP-684.509 Void'!$F$11</f>
        <v>FAIL</v>
      </c>
      <c r="M70" s="15">
        <f>+'EP-684.509 Void'!$H$12</f>
        <v>3</v>
      </c>
      <c r="N70" s="35" t="s">
        <v>25</v>
      </c>
      <c r="O70" s="15">
        <v>4</v>
      </c>
      <c r="P70" s="35" t="s">
        <v>457</v>
      </c>
      <c r="Q70" s="15"/>
      <c r="R70" s="24"/>
      <c r="S70" s="15"/>
      <c r="T70" s="15"/>
      <c r="U70" s="15"/>
      <c r="V70" s="15"/>
    </row>
    <row r="71" spans="3:22" x14ac:dyDescent="0.25">
      <c r="C71" s="39">
        <v>2015</v>
      </c>
      <c r="D71" s="15" t="s">
        <v>102</v>
      </c>
      <c r="E71" s="24" t="s">
        <v>228</v>
      </c>
      <c r="F71" s="25">
        <v>42297</v>
      </c>
      <c r="G71" s="46" t="s">
        <v>187</v>
      </c>
      <c r="H71" s="27">
        <v>900000</v>
      </c>
      <c r="I71" s="27">
        <v>2997984.5</v>
      </c>
      <c r="J71" s="27"/>
      <c r="K71" s="26">
        <v>2.3310938888888888</v>
      </c>
      <c r="L71" s="11" t="s">
        <v>465</v>
      </c>
      <c r="M71" s="15">
        <v>2</v>
      </c>
      <c r="N71" s="35" t="s">
        <v>25</v>
      </c>
      <c r="O71" s="15">
        <v>4</v>
      </c>
      <c r="P71" s="35" t="s">
        <v>457</v>
      </c>
      <c r="Q71" s="15"/>
      <c r="R71" s="24" t="s">
        <v>227</v>
      </c>
      <c r="S71" s="15"/>
      <c r="T71" s="15"/>
      <c r="U71" s="15"/>
      <c r="V71" s="15"/>
    </row>
    <row r="72" spans="3:22" x14ac:dyDescent="0.25">
      <c r="C72" s="39">
        <v>2015</v>
      </c>
      <c r="D72" s="15" t="s">
        <v>418</v>
      </c>
      <c r="E72" s="24" t="s">
        <v>419</v>
      </c>
      <c r="F72" s="25">
        <v>42142</v>
      </c>
      <c r="G72" s="46" t="s">
        <v>299</v>
      </c>
      <c r="H72" s="27">
        <v>830000</v>
      </c>
      <c r="I72" s="27">
        <v>1650000</v>
      </c>
      <c r="J72" s="27"/>
      <c r="K72" s="26">
        <v>0.98795180722891562</v>
      </c>
      <c r="L72" s="11" t="s">
        <v>465</v>
      </c>
      <c r="M72" s="15">
        <v>1</v>
      </c>
      <c r="N72" s="35" t="s">
        <v>226</v>
      </c>
      <c r="O72" s="15">
        <v>2</v>
      </c>
      <c r="P72" s="35" t="s">
        <v>457</v>
      </c>
      <c r="Q72" s="15"/>
      <c r="R72" s="24"/>
      <c r="S72" s="15"/>
      <c r="T72" s="15"/>
      <c r="U72" s="15"/>
      <c r="V72" s="15"/>
    </row>
    <row r="73" spans="3:22" x14ac:dyDescent="0.25">
      <c r="C73" s="39">
        <v>2015</v>
      </c>
      <c r="D73" s="15" t="s">
        <v>372</v>
      </c>
      <c r="E73" s="24" t="s">
        <v>373</v>
      </c>
      <c r="F73" s="25">
        <v>42102</v>
      </c>
      <c r="G73" s="46" t="s">
        <v>374</v>
      </c>
      <c r="H73" s="27">
        <v>1300000</v>
      </c>
      <c r="I73" s="27">
        <v>878175</v>
      </c>
      <c r="J73" s="27"/>
      <c r="K73" s="26">
        <v>-0.32448076923076924</v>
      </c>
      <c r="L73" s="11" t="s">
        <v>464</v>
      </c>
      <c r="M73" s="15">
        <v>7</v>
      </c>
      <c r="N73" s="35" t="s">
        <v>25</v>
      </c>
      <c r="O73" s="15">
        <v>2</v>
      </c>
      <c r="P73" s="35" t="s">
        <v>457</v>
      </c>
      <c r="Q73" s="15"/>
      <c r="R73" s="24"/>
      <c r="S73" s="15"/>
      <c r="T73" s="15"/>
      <c r="U73" s="15"/>
      <c r="V73" s="15"/>
    </row>
    <row r="74" spans="3:22" x14ac:dyDescent="0.25">
      <c r="C74" s="39">
        <v>2015</v>
      </c>
      <c r="D74" s="15" t="s">
        <v>176</v>
      </c>
      <c r="E74" s="24" t="s">
        <v>417</v>
      </c>
      <c r="F74" s="25">
        <v>42256</v>
      </c>
      <c r="G74" s="46" t="s">
        <v>177</v>
      </c>
      <c r="H74" s="27">
        <v>325000</v>
      </c>
      <c r="I74" s="27">
        <v>377777</v>
      </c>
      <c r="J74" s="27"/>
      <c r="K74" s="26">
        <v>0.16239076923076923</v>
      </c>
      <c r="L74" s="11" t="s">
        <v>465</v>
      </c>
      <c r="M74" s="15">
        <v>6</v>
      </c>
      <c r="N74" s="35" t="s">
        <v>25</v>
      </c>
      <c r="O74" s="15">
        <v>3</v>
      </c>
      <c r="P74" s="35" t="s">
        <v>458</v>
      </c>
      <c r="Q74" s="15"/>
      <c r="R74" s="24"/>
      <c r="S74" s="15"/>
      <c r="T74" s="15"/>
      <c r="U74" s="15"/>
      <c r="V74" s="15"/>
    </row>
    <row r="75" spans="3:22" x14ac:dyDescent="0.25">
      <c r="C75" s="39">
        <v>2015</v>
      </c>
      <c r="D75" s="15" t="s">
        <v>235</v>
      </c>
      <c r="E75" s="24" t="s">
        <v>236</v>
      </c>
      <c r="F75" s="25">
        <v>42234</v>
      </c>
      <c r="G75" s="46" t="s">
        <v>177</v>
      </c>
      <c r="H75" s="27">
        <v>354000</v>
      </c>
      <c r="I75" s="27">
        <v>396811</v>
      </c>
      <c r="J75" s="27"/>
      <c r="K75" s="26">
        <v>0.12093502824858757</v>
      </c>
      <c r="L75" s="11" t="s">
        <v>465</v>
      </c>
      <c r="M75" s="15">
        <v>3</v>
      </c>
      <c r="N75" s="35" t="s">
        <v>25</v>
      </c>
      <c r="O75" s="15">
        <v>3</v>
      </c>
      <c r="P75" s="35" t="s">
        <v>458</v>
      </c>
      <c r="Q75" s="15"/>
      <c r="R75" s="24"/>
      <c r="S75" s="15"/>
      <c r="T75" s="15"/>
      <c r="U75" s="15"/>
      <c r="V75" s="15"/>
    </row>
    <row r="76" spans="3:22" x14ac:dyDescent="0.25">
      <c r="C76" s="39">
        <v>2015</v>
      </c>
      <c r="D76" s="15" t="s">
        <v>297</v>
      </c>
      <c r="E76" s="24" t="s">
        <v>298</v>
      </c>
      <c r="F76" s="25">
        <v>42145</v>
      </c>
      <c r="G76" s="46" t="s">
        <v>299</v>
      </c>
      <c r="H76" s="27">
        <v>1550000</v>
      </c>
      <c r="I76" s="27">
        <v>2333333.33</v>
      </c>
      <c r="J76" s="27"/>
      <c r="K76" s="26">
        <v>0.50537634193548386</v>
      </c>
      <c r="L76" s="11" t="s">
        <v>465</v>
      </c>
      <c r="M76" s="15">
        <v>2</v>
      </c>
      <c r="N76" s="35" t="s">
        <v>93</v>
      </c>
      <c r="O76" s="15">
        <v>2</v>
      </c>
      <c r="P76" s="35" t="s">
        <v>458</v>
      </c>
      <c r="Q76" s="15"/>
      <c r="R76" s="24"/>
      <c r="S76" s="15"/>
      <c r="T76" s="15"/>
      <c r="U76" s="15"/>
      <c r="V76" s="15"/>
    </row>
    <row r="77" spans="3:22" x14ac:dyDescent="0.25">
      <c r="C77" s="39">
        <v>2015</v>
      </c>
      <c r="D77" s="15" t="s">
        <v>402</v>
      </c>
      <c r="E77" s="24" t="s">
        <v>403</v>
      </c>
      <c r="F77" s="25">
        <v>42060</v>
      </c>
      <c r="G77" s="46" t="s">
        <v>177</v>
      </c>
      <c r="H77" s="27">
        <v>640000</v>
      </c>
      <c r="I77" s="27">
        <v>574000</v>
      </c>
      <c r="J77" s="27"/>
      <c r="K77" s="26">
        <v>-0.10312499999999999</v>
      </c>
      <c r="L77" s="11" t="s">
        <v>464</v>
      </c>
      <c r="M77" s="15">
        <v>4</v>
      </c>
      <c r="N77" s="35" t="s">
        <v>93</v>
      </c>
      <c r="O77" s="15">
        <v>1</v>
      </c>
      <c r="P77" s="35" t="s">
        <v>458</v>
      </c>
      <c r="Q77" s="15"/>
      <c r="R77" s="24"/>
      <c r="S77" s="15"/>
      <c r="T77" s="15"/>
      <c r="U77" s="15"/>
      <c r="V77" s="15"/>
    </row>
    <row r="78" spans="3:22" x14ac:dyDescent="0.25">
      <c r="C78" s="39"/>
      <c r="G78" s="45"/>
      <c r="P78" s="11"/>
    </row>
    <row r="79" spans="3:22" x14ac:dyDescent="0.25">
      <c r="C79" s="39"/>
      <c r="G79" s="45"/>
      <c r="P79" s="11"/>
    </row>
    <row r="80" spans="3:22" ht="18" customHeight="1" x14ac:dyDescent="0.25">
      <c r="C80" s="39"/>
      <c r="D80" s="15" t="s">
        <v>473</v>
      </c>
      <c r="E80" s="24"/>
      <c r="F80" s="25"/>
      <c r="G80" s="46"/>
      <c r="H80" s="27"/>
      <c r="I80" s="27"/>
      <c r="J80" s="27"/>
      <c r="K80" s="26"/>
      <c r="L80" s="11"/>
      <c r="M80" s="15"/>
      <c r="P80" s="11"/>
    </row>
    <row r="81" spans="3:16" ht="8.25" customHeight="1" x14ac:dyDescent="0.25">
      <c r="C81" s="39"/>
      <c r="D81" s="15"/>
      <c r="E81" s="24"/>
      <c r="F81" s="25"/>
      <c r="G81" s="46"/>
      <c r="H81" s="27"/>
      <c r="I81" s="27"/>
      <c r="J81" s="27"/>
      <c r="K81" s="26"/>
      <c r="L81" s="11"/>
      <c r="M81" s="15"/>
      <c r="P81" s="11"/>
    </row>
    <row r="82" spans="3:16" x14ac:dyDescent="0.25">
      <c r="C82" s="39">
        <v>2015</v>
      </c>
      <c r="D82" s="15" t="s">
        <v>434</v>
      </c>
      <c r="E82" s="24" t="s">
        <v>436</v>
      </c>
      <c r="F82" s="25">
        <v>42342</v>
      </c>
      <c r="G82" s="46" t="s">
        <v>190</v>
      </c>
      <c r="H82" s="27">
        <v>2000000</v>
      </c>
      <c r="I82" s="27">
        <v>2092850</v>
      </c>
      <c r="J82" s="27"/>
      <c r="K82" s="26">
        <v>4.6425000000000001E-2</v>
      </c>
      <c r="L82" s="11" t="s">
        <v>464</v>
      </c>
      <c r="M82" s="15">
        <v>4</v>
      </c>
      <c r="N82" s="11" t="s">
        <v>93</v>
      </c>
      <c r="O82" s="15">
        <v>4</v>
      </c>
      <c r="P82" s="35" t="s">
        <v>457</v>
      </c>
    </row>
    <row r="83" spans="3:16" x14ac:dyDescent="0.25">
      <c r="C83" s="39">
        <v>2015</v>
      </c>
      <c r="D83" s="15" t="s">
        <v>219</v>
      </c>
      <c r="E83" s="24" t="s">
        <v>220</v>
      </c>
      <c r="F83" s="25">
        <v>42284</v>
      </c>
      <c r="G83" s="46" t="s">
        <v>190</v>
      </c>
      <c r="H83" s="27">
        <v>7400000</v>
      </c>
      <c r="I83" s="27">
        <v>4985882.5</v>
      </c>
      <c r="J83" s="27"/>
      <c r="K83" s="26">
        <v>-0.32623209459459457</v>
      </c>
      <c r="L83" s="11" t="s">
        <v>465</v>
      </c>
      <c r="M83" s="15">
        <v>4</v>
      </c>
      <c r="N83" s="11" t="s">
        <v>226</v>
      </c>
      <c r="O83" s="15">
        <v>4</v>
      </c>
      <c r="P83" s="35" t="s">
        <v>457</v>
      </c>
    </row>
    <row r="84" spans="3:16" x14ac:dyDescent="0.25">
      <c r="C84" s="39">
        <v>2015</v>
      </c>
      <c r="D84" s="15" t="s">
        <v>188</v>
      </c>
      <c r="E84" s="24" t="s">
        <v>189</v>
      </c>
      <c r="F84" s="25">
        <v>42310</v>
      </c>
      <c r="G84" s="46" t="s">
        <v>190</v>
      </c>
      <c r="H84" s="27">
        <v>7055100</v>
      </c>
      <c r="I84" s="27">
        <v>5774440</v>
      </c>
      <c r="J84" s="27"/>
      <c r="K84" s="26">
        <v>-0.18152258649771089</v>
      </c>
      <c r="L84" s="11" t="s">
        <v>465</v>
      </c>
      <c r="M84" s="15">
        <v>3</v>
      </c>
      <c r="N84" s="11" t="s">
        <v>25</v>
      </c>
      <c r="O84" s="15">
        <v>4</v>
      </c>
      <c r="P84" s="35" t="s">
        <v>458</v>
      </c>
    </row>
    <row r="85" spans="3:16" x14ac:dyDescent="0.25">
      <c r="C85" s="39">
        <v>2015</v>
      </c>
      <c r="D85" s="15" t="s">
        <v>410</v>
      </c>
      <c r="E85" s="24" t="s">
        <v>411</v>
      </c>
      <c r="F85" s="25">
        <v>42057</v>
      </c>
      <c r="G85" s="46" t="s">
        <v>190</v>
      </c>
      <c r="H85" s="27">
        <v>9700000</v>
      </c>
      <c r="I85" s="27">
        <v>8742268</v>
      </c>
      <c r="J85" s="27"/>
      <c r="K85" s="26">
        <v>-9.8735257731958764E-2</v>
      </c>
      <c r="L85" s="11" t="s">
        <v>464</v>
      </c>
      <c r="M85" s="15">
        <v>3</v>
      </c>
      <c r="N85" s="11" t="s">
        <v>93</v>
      </c>
      <c r="O85" s="15">
        <v>1</v>
      </c>
      <c r="P85" s="35" t="s">
        <v>458</v>
      </c>
    </row>
    <row r="86" spans="3:16" x14ac:dyDescent="0.25">
      <c r="C86" s="39">
        <v>2015</v>
      </c>
      <c r="D86" s="15" t="s">
        <v>414</v>
      </c>
      <c r="E86" s="24" t="s">
        <v>415</v>
      </c>
      <c r="F86" s="25">
        <v>42038</v>
      </c>
      <c r="G86" s="46" t="s">
        <v>190</v>
      </c>
      <c r="H86" s="27">
        <v>25770000</v>
      </c>
      <c r="I86" s="27">
        <v>28747550</v>
      </c>
      <c r="J86" s="27"/>
      <c r="K86" s="26">
        <v>0.11554326736515327</v>
      </c>
      <c r="L86" s="11" t="s">
        <v>465</v>
      </c>
      <c r="M86" s="15">
        <v>3</v>
      </c>
      <c r="N86" s="11" t="s">
        <v>93</v>
      </c>
      <c r="O86" s="15">
        <v>1</v>
      </c>
      <c r="P86" s="35" t="s">
        <v>458</v>
      </c>
    </row>
    <row r="87" spans="3:16" x14ac:dyDescent="0.25">
      <c r="C87" s="39">
        <v>2015</v>
      </c>
      <c r="D87" s="15" t="s">
        <v>420</v>
      </c>
      <c r="E87" s="24" t="s">
        <v>342</v>
      </c>
      <c r="F87" s="25">
        <v>42108</v>
      </c>
      <c r="G87" s="46" t="s">
        <v>190</v>
      </c>
      <c r="H87" s="27">
        <v>521000</v>
      </c>
      <c r="I87" s="27">
        <v>1840000</v>
      </c>
      <c r="J87" s="27"/>
      <c r="K87" s="26">
        <v>2.5316698656429941</v>
      </c>
      <c r="L87" s="11" t="s">
        <v>465</v>
      </c>
      <c r="M87" s="15">
        <v>3</v>
      </c>
      <c r="N87" s="11" t="s">
        <v>226</v>
      </c>
      <c r="O87" s="15">
        <v>2</v>
      </c>
      <c r="P87" s="35" t="s">
        <v>459</v>
      </c>
    </row>
    <row r="88" spans="3:16" x14ac:dyDescent="0.25">
      <c r="C88" s="39">
        <v>2015</v>
      </c>
      <c r="D88" s="15" t="s">
        <v>383</v>
      </c>
      <c r="E88" s="24" t="s">
        <v>384</v>
      </c>
      <c r="F88" s="25">
        <v>42080</v>
      </c>
      <c r="G88" s="46" t="s">
        <v>190</v>
      </c>
      <c r="H88" s="27">
        <v>4450000</v>
      </c>
      <c r="I88" s="27">
        <v>3620000</v>
      </c>
      <c r="J88" s="27"/>
      <c r="K88" s="26">
        <v>-0.18651685393258427</v>
      </c>
      <c r="L88" s="11" t="s">
        <v>464</v>
      </c>
      <c r="M88" s="15">
        <v>3</v>
      </c>
      <c r="O88" s="15">
        <v>1</v>
      </c>
      <c r="P88" s="35" t="s">
        <v>459</v>
      </c>
    </row>
    <row r="89" spans="3:16" x14ac:dyDescent="0.25">
      <c r="C89" s="39"/>
      <c r="G89" s="45"/>
      <c r="P89" s="11"/>
    </row>
    <row r="90" spans="3:16" x14ac:dyDescent="0.25">
      <c r="C90" s="39"/>
      <c r="G90" s="45"/>
      <c r="P90" s="11"/>
    </row>
    <row r="91" spans="3:16" ht="18" customHeight="1" x14ac:dyDescent="0.25">
      <c r="C91" s="39"/>
      <c r="D91" s="15" t="s">
        <v>474</v>
      </c>
      <c r="E91" s="24"/>
      <c r="F91" s="25"/>
      <c r="G91" s="46"/>
      <c r="H91" s="27"/>
      <c r="I91" s="27"/>
      <c r="J91" s="27"/>
      <c r="K91" s="26"/>
      <c r="L91" s="11"/>
      <c r="M91" s="15"/>
      <c r="P91" s="11"/>
    </row>
    <row r="92" spans="3:16" ht="8.25" customHeight="1" x14ac:dyDescent="0.25">
      <c r="C92" s="39"/>
      <c r="D92" s="15"/>
      <c r="E92" s="24"/>
      <c r="F92" s="25"/>
      <c r="G92" s="46"/>
      <c r="H92" s="27"/>
      <c r="I92" s="27"/>
      <c r="J92" s="27"/>
      <c r="K92" s="26"/>
      <c r="L92" s="11"/>
      <c r="M92" s="15"/>
      <c r="P92" s="11"/>
    </row>
    <row r="93" spans="3:16" x14ac:dyDescent="0.25">
      <c r="C93" s="39">
        <v>2015</v>
      </c>
      <c r="D93" s="15" t="s">
        <v>224</v>
      </c>
      <c r="E93" s="24" t="s">
        <v>80</v>
      </c>
      <c r="F93" s="25">
        <v>42312</v>
      </c>
      <c r="G93" s="46" t="s">
        <v>34</v>
      </c>
      <c r="H93" s="27">
        <v>8700000</v>
      </c>
      <c r="I93" s="27">
        <v>10162935</v>
      </c>
      <c r="J93" s="27"/>
      <c r="K93" s="26">
        <v>0.16815344827586207</v>
      </c>
      <c r="L93" s="11" t="s">
        <v>465</v>
      </c>
      <c r="M93" s="15">
        <v>3</v>
      </c>
      <c r="N93" s="11" t="s">
        <v>226</v>
      </c>
      <c r="O93" s="15">
        <v>4</v>
      </c>
      <c r="P93" s="35" t="s">
        <v>457</v>
      </c>
    </row>
    <row r="94" spans="3:16" x14ac:dyDescent="0.25">
      <c r="C94" s="39">
        <v>2015</v>
      </c>
      <c r="D94" s="15" t="s">
        <v>196</v>
      </c>
      <c r="E94" s="24" t="s">
        <v>197</v>
      </c>
      <c r="F94" s="25">
        <v>42307</v>
      </c>
      <c r="G94" s="46" t="s">
        <v>34</v>
      </c>
      <c r="H94" s="27">
        <v>7100000</v>
      </c>
      <c r="I94" s="27">
        <v>6676400</v>
      </c>
      <c r="J94" s="27"/>
      <c r="K94" s="26">
        <v>-5.9661971830985913E-2</v>
      </c>
      <c r="L94" s="11" t="s">
        <v>464</v>
      </c>
      <c r="M94" s="15">
        <v>11</v>
      </c>
      <c r="N94" s="11" t="s">
        <v>226</v>
      </c>
      <c r="O94" s="15">
        <v>4</v>
      </c>
      <c r="P94" s="35" t="s">
        <v>457</v>
      </c>
    </row>
    <row r="95" spans="3:16" x14ac:dyDescent="0.25">
      <c r="C95" s="39">
        <v>2015</v>
      </c>
      <c r="D95" s="15" t="s">
        <v>86</v>
      </c>
      <c r="E95" s="24" t="s">
        <v>416</v>
      </c>
      <c r="F95" s="25">
        <v>42304</v>
      </c>
      <c r="G95" s="46" t="s">
        <v>34</v>
      </c>
      <c r="H95" s="27">
        <v>1340000</v>
      </c>
      <c r="I95" s="27">
        <v>1850000</v>
      </c>
      <c r="J95" s="27"/>
      <c r="K95" s="26">
        <v>0.38059701492537312</v>
      </c>
      <c r="L95" s="11" t="s">
        <v>465</v>
      </c>
      <c r="M95" s="15">
        <v>4</v>
      </c>
      <c r="N95" s="11" t="s">
        <v>25</v>
      </c>
      <c r="O95" s="15">
        <v>4</v>
      </c>
      <c r="P95" s="35" t="s">
        <v>457</v>
      </c>
    </row>
    <row r="96" spans="3:16" x14ac:dyDescent="0.25">
      <c r="C96" s="39">
        <v>2015</v>
      </c>
      <c r="D96" s="15" t="s">
        <v>101</v>
      </c>
      <c r="E96" s="24" t="s">
        <v>211</v>
      </c>
      <c r="F96" s="25">
        <v>42297</v>
      </c>
      <c r="G96" s="46" t="s">
        <v>34</v>
      </c>
      <c r="H96" s="27">
        <v>1290000</v>
      </c>
      <c r="I96" s="27">
        <v>1552600</v>
      </c>
      <c r="J96" s="27"/>
      <c r="K96" s="26">
        <v>0.20356589147286822</v>
      </c>
      <c r="L96" s="11" t="s">
        <v>465</v>
      </c>
      <c r="M96" s="15">
        <v>9</v>
      </c>
      <c r="N96" s="11" t="s">
        <v>25</v>
      </c>
      <c r="O96" s="15">
        <v>4</v>
      </c>
      <c r="P96" s="35" t="s">
        <v>457</v>
      </c>
    </row>
    <row r="97" spans="3:16" x14ac:dyDescent="0.25">
      <c r="C97" s="39">
        <v>2015</v>
      </c>
      <c r="D97" s="15" t="s">
        <v>117</v>
      </c>
      <c r="E97" s="24" t="s">
        <v>118</v>
      </c>
      <c r="F97" s="25">
        <v>42277</v>
      </c>
      <c r="G97" s="46" t="s">
        <v>34</v>
      </c>
      <c r="H97" s="27">
        <v>7000000</v>
      </c>
      <c r="I97" s="27">
        <v>5851111</v>
      </c>
      <c r="J97" s="27"/>
      <c r="K97" s="26">
        <v>-0.164127</v>
      </c>
      <c r="L97" s="11" t="s">
        <v>464</v>
      </c>
      <c r="M97" s="15">
        <v>15</v>
      </c>
      <c r="N97" s="11" t="s">
        <v>25</v>
      </c>
      <c r="O97" s="15">
        <v>3</v>
      </c>
      <c r="P97" s="35" t="s">
        <v>457</v>
      </c>
    </row>
    <row r="98" spans="3:16" x14ac:dyDescent="0.25">
      <c r="C98" s="39">
        <v>2015</v>
      </c>
      <c r="D98" s="15" t="s">
        <v>266</v>
      </c>
      <c r="E98" s="24" t="s">
        <v>265</v>
      </c>
      <c r="F98" s="25">
        <v>42178</v>
      </c>
      <c r="G98" s="46" t="s">
        <v>34</v>
      </c>
      <c r="H98" s="27">
        <v>1800000</v>
      </c>
      <c r="I98" s="27">
        <v>2217200</v>
      </c>
      <c r="J98" s="27"/>
      <c r="K98" s="26">
        <v>0.23177777777777778</v>
      </c>
      <c r="L98" s="11" t="s">
        <v>465</v>
      </c>
      <c r="M98" s="15">
        <v>2</v>
      </c>
      <c r="N98" s="11" t="s">
        <v>226</v>
      </c>
      <c r="O98" s="15">
        <v>2</v>
      </c>
      <c r="P98" s="35" t="s">
        <v>457</v>
      </c>
    </row>
    <row r="99" spans="3:16" x14ac:dyDescent="0.25">
      <c r="C99" s="39">
        <v>2015</v>
      </c>
      <c r="D99" s="15" t="s">
        <v>268</v>
      </c>
      <c r="E99" s="24" t="s">
        <v>269</v>
      </c>
      <c r="F99" s="25">
        <v>42177</v>
      </c>
      <c r="G99" s="46" t="s">
        <v>34</v>
      </c>
      <c r="H99" s="27">
        <v>6500000</v>
      </c>
      <c r="I99" s="27">
        <v>6374800</v>
      </c>
      <c r="J99" s="27"/>
      <c r="K99" s="26">
        <v>-1.9261538461538462E-2</v>
      </c>
      <c r="L99" s="11" t="s">
        <v>464</v>
      </c>
      <c r="M99" s="15">
        <v>7</v>
      </c>
      <c r="N99" s="11" t="s">
        <v>226</v>
      </c>
      <c r="O99" s="15">
        <v>2</v>
      </c>
      <c r="P99" s="35" t="s">
        <v>457</v>
      </c>
    </row>
    <row r="100" spans="3:16" x14ac:dyDescent="0.25">
      <c r="C100" s="39">
        <v>2015</v>
      </c>
      <c r="D100" s="15" t="s">
        <v>279</v>
      </c>
      <c r="E100" s="24" t="s">
        <v>280</v>
      </c>
      <c r="F100" s="25">
        <v>42159</v>
      </c>
      <c r="G100" s="46" t="s">
        <v>34</v>
      </c>
      <c r="H100" s="27">
        <v>1600000</v>
      </c>
      <c r="I100" s="27">
        <v>1298005</v>
      </c>
      <c r="J100" s="27"/>
      <c r="K100" s="26">
        <v>-0.18874687500000001</v>
      </c>
      <c r="L100" s="11" t="s">
        <v>464</v>
      </c>
      <c r="M100" s="15">
        <v>6</v>
      </c>
      <c r="N100" s="11" t="s">
        <v>93</v>
      </c>
      <c r="O100" s="15">
        <v>2</v>
      </c>
      <c r="P100" s="35" t="s">
        <v>457</v>
      </c>
    </row>
    <row r="101" spans="3:16" x14ac:dyDescent="0.25">
      <c r="C101" s="39">
        <v>2015</v>
      </c>
      <c r="D101" s="15" t="s">
        <v>35</v>
      </c>
      <c r="E101" s="24" t="s">
        <v>36</v>
      </c>
      <c r="F101" s="25">
        <v>42157</v>
      </c>
      <c r="G101" s="46" t="s">
        <v>34</v>
      </c>
      <c r="H101" s="27">
        <v>29100000</v>
      </c>
      <c r="I101" s="27">
        <v>30452500</v>
      </c>
      <c r="J101" s="27"/>
      <c r="K101" s="26">
        <v>4.6477663230240551E-2</v>
      </c>
      <c r="L101" s="11" t="s">
        <v>464</v>
      </c>
      <c r="M101" s="15">
        <v>11</v>
      </c>
      <c r="N101" s="11" t="s">
        <v>25</v>
      </c>
      <c r="O101" s="15">
        <v>2</v>
      </c>
      <c r="P101" s="35" t="s">
        <v>457</v>
      </c>
    </row>
    <row r="102" spans="3:16" x14ac:dyDescent="0.25">
      <c r="C102" s="39">
        <v>2015</v>
      </c>
      <c r="D102" s="15" t="s">
        <v>45</v>
      </c>
      <c r="E102" s="24" t="s">
        <v>46</v>
      </c>
      <c r="F102" s="25">
        <v>42145</v>
      </c>
      <c r="G102" s="46" t="s">
        <v>34</v>
      </c>
      <c r="H102" s="27">
        <v>6400000</v>
      </c>
      <c r="I102" s="27">
        <v>5777000</v>
      </c>
      <c r="J102" s="27"/>
      <c r="K102" s="26">
        <v>-9.7343750000000007E-2</v>
      </c>
      <c r="L102" s="11" t="s">
        <v>464</v>
      </c>
      <c r="M102" s="15">
        <v>7</v>
      </c>
      <c r="N102" s="11" t="s">
        <v>25</v>
      </c>
      <c r="O102" s="15">
        <v>2</v>
      </c>
      <c r="P102" s="35" t="s">
        <v>457</v>
      </c>
    </row>
    <row r="103" spans="3:16" x14ac:dyDescent="0.25">
      <c r="C103" s="39">
        <v>2015</v>
      </c>
      <c r="D103" s="15" t="s">
        <v>334</v>
      </c>
      <c r="E103" s="24" t="s">
        <v>335</v>
      </c>
      <c r="F103" s="25">
        <v>42108</v>
      </c>
      <c r="G103" s="46" t="s">
        <v>34</v>
      </c>
      <c r="H103" s="27">
        <v>2320000</v>
      </c>
      <c r="I103" s="27">
        <v>1550780</v>
      </c>
      <c r="J103" s="27"/>
      <c r="K103" s="26">
        <v>-0.33156034482758623</v>
      </c>
      <c r="L103" s="11" t="s">
        <v>464</v>
      </c>
      <c r="M103" s="15">
        <v>9</v>
      </c>
      <c r="N103" s="11" t="s">
        <v>25</v>
      </c>
      <c r="O103" s="15">
        <v>2</v>
      </c>
      <c r="P103" s="35" t="s">
        <v>457</v>
      </c>
    </row>
    <row r="104" spans="3:16" x14ac:dyDescent="0.25">
      <c r="C104" s="39">
        <v>2015</v>
      </c>
      <c r="D104" s="15" t="s">
        <v>388</v>
      </c>
      <c r="E104" s="24" t="s">
        <v>389</v>
      </c>
      <c r="F104" s="25">
        <v>42072</v>
      </c>
      <c r="G104" s="46" t="s">
        <v>34</v>
      </c>
      <c r="H104" s="27">
        <v>9600000</v>
      </c>
      <c r="I104" s="27">
        <v>6748000</v>
      </c>
      <c r="J104" s="27"/>
      <c r="K104" s="26">
        <v>-0.29708333333333331</v>
      </c>
      <c r="L104" s="11" t="s">
        <v>464</v>
      </c>
      <c r="M104" s="15">
        <v>12</v>
      </c>
      <c r="N104" s="11" t="s">
        <v>25</v>
      </c>
      <c r="O104" s="15">
        <v>1</v>
      </c>
      <c r="P104" s="35" t="s">
        <v>457</v>
      </c>
    </row>
    <row r="105" spans="3:16" x14ac:dyDescent="0.25">
      <c r="C105" s="39">
        <v>2015</v>
      </c>
      <c r="D105" s="15" t="s">
        <v>425</v>
      </c>
      <c r="E105" s="24" t="s">
        <v>426</v>
      </c>
      <c r="F105" s="25">
        <v>42338</v>
      </c>
      <c r="G105" s="46" t="s">
        <v>34</v>
      </c>
      <c r="H105" s="27">
        <v>1200000</v>
      </c>
      <c r="I105" s="27">
        <v>1222222</v>
      </c>
      <c r="J105" s="27"/>
      <c r="K105" s="26">
        <v>1.8518333333333335E-2</v>
      </c>
      <c r="L105" s="11" t="s">
        <v>464</v>
      </c>
      <c r="M105" s="15">
        <v>6</v>
      </c>
      <c r="N105" s="11" t="s">
        <v>93</v>
      </c>
      <c r="O105" s="15">
        <v>4</v>
      </c>
      <c r="P105" s="35" t="s">
        <v>458</v>
      </c>
    </row>
    <row r="106" spans="3:16" x14ac:dyDescent="0.25">
      <c r="C106" s="39">
        <v>2015</v>
      </c>
      <c r="D106" s="15" t="s">
        <v>106</v>
      </c>
      <c r="E106" s="24" t="s">
        <v>107</v>
      </c>
      <c r="F106" s="25">
        <v>42292</v>
      </c>
      <c r="G106" s="46" t="s">
        <v>34</v>
      </c>
      <c r="H106" s="27">
        <v>3650000</v>
      </c>
      <c r="I106" s="27">
        <v>3270000</v>
      </c>
      <c r="J106" s="27"/>
      <c r="K106" s="26">
        <v>-0.10410958904109589</v>
      </c>
      <c r="L106" s="11" t="s">
        <v>464</v>
      </c>
      <c r="M106" s="15">
        <v>6</v>
      </c>
      <c r="N106" s="11" t="s">
        <v>25</v>
      </c>
      <c r="O106" s="15">
        <v>4</v>
      </c>
      <c r="P106" s="35" t="s">
        <v>458</v>
      </c>
    </row>
    <row r="107" spans="3:16" x14ac:dyDescent="0.25">
      <c r="C107" s="39">
        <v>2015</v>
      </c>
      <c r="D107" s="15" t="s">
        <v>151</v>
      </c>
      <c r="E107" s="24" t="s">
        <v>152</v>
      </c>
      <c r="F107" s="25">
        <v>42268</v>
      </c>
      <c r="G107" s="46" t="s">
        <v>34</v>
      </c>
      <c r="H107" s="27">
        <v>7900000</v>
      </c>
      <c r="I107" s="27">
        <v>6769800</v>
      </c>
      <c r="J107" s="27"/>
      <c r="K107" s="26">
        <v>-0.14306329113924052</v>
      </c>
      <c r="L107" s="11" t="s">
        <v>464</v>
      </c>
      <c r="M107" s="15">
        <v>18</v>
      </c>
      <c r="N107" s="11" t="s">
        <v>93</v>
      </c>
      <c r="O107" s="15">
        <v>3</v>
      </c>
      <c r="P107" s="35" t="s">
        <v>458</v>
      </c>
    </row>
    <row r="108" spans="3:16" x14ac:dyDescent="0.25">
      <c r="C108" s="39">
        <v>2015</v>
      </c>
      <c r="D108" s="15" t="s">
        <v>6</v>
      </c>
      <c r="E108" s="24" t="s">
        <v>7</v>
      </c>
      <c r="F108" s="25">
        <v>42243</v>
      </c>
      <c r="G108" s="46" t="s">
        <v>34</v>
      </c>
      <c r="H108" s="27">
        <v>1650000</v>
      </c>
      <c r="I108" s="27">
        <v>1898000</v>
      </c>
      <c r="J108" s="27"/>
      <c r="K108" s="26">
        <v>0.1503030303030303</v>
      </c>
      <c r="L108" s="11" t="s">
        <v>465</v>
      </c>
      <c r="M108" s="15">
        <v>4</v>
      </c>
      <c r="N108" s="11" t="s">
        <v>93</v>
      </c>
      <c r="O108" s="15">
        <v>3</v>
      </c>
      <c r="P108" s="35" t="s">
        <v>458</v>
      </c>
    </row>
    <row r="109" spans="3:16" x14ac:dyDescent="0.25">
      <c r="C109" s="39">
        <v>2015</v>
      </c>
      <c r="D109" s="15" t="s">
        <v>241</v>
      </c>
      <c r="E109" s="24" t="s">
        <v>242</v>
      </c>
      <c r="F109" s="25">
        <v>42213</v>
      </c>
      <c r="G109" s="46" t="s">
        <v>34</v>
      </c>
      <c r="H109" s="27">
        <v>1918000</v>
      </c>
      <c r="I109" s="27">
        <v>1389000</v>
      </c>
      <c r="J109" s="27"/>
      <c r="K109" s="26">
        <v>-0.27580813347236705</v>
      </c>
      <c r="L109" s="11" t="s">
        <v>464</v>
      </c>
      <c r="M109" s="15">
        <v>12</v>
      </c>
      <c r="N109" s="11" t="s">
        <v>25</v>
      </c>
      <c r="O109" s="15">
        <v>3</v>
      </c>
      <c r="P109" s="35" t="s">
        <v>458</v>
      </c>
    </row>
    <row r="110" spans="3:16" x14ac:dyDescent="0.25">
      <c r="C110" s="39">
        <v>2015</v>
      </c>
      <c r="D110" s="15" t="s">
        <v>313</v>
      </c>
      <c r="E110" s="24" t="s">
        <v>314</v>
      </c>
      <c r="F110" s="25">
        <v>42143</v>
      </c>
      <c r="G110" s="46" t="s">
        <v>34</v>
      </c>
      <c r="H110" s="27">
        <v>1263000</v>
      </c>
      <c r="I110" s="27">
        <v>930000</v>
      </c>
      <c r="J110" s="27"/>
      <c r="K110" s="26">
        <v>-0.26365795724465557</v>
      </c>
      <c r="L110" s="11" t="s">
        <v>465</v>
      </c>
      <c r="M110" s="15">
        <v>1</v>
      </c>
      <c r="N110" s="11" t="s">
        <v>93</v>
      </c>
      <c r="O110" s="15">
        <v>2</v>
      </c>
      <c r="P110" s="35" t="s">
        <v>458</v>
      </c>
    </row>
    <row r="111" spans="3:16" x14ac:dyDescent="0.25">
      <c r="C111" s="39">
        <v>2015</v>
      </c>
      <c r="D111" s="15" t="s">
        <v>315</v>
      </c>
      <c r="E111" s="24" t="s">
        <v>316</v>
      </c>
      <c r="F111" s="25">
        <v>42115</v>
      </c>
      <c r="G111" s="46" t="s">
        <v>34</v>
      </c>
      <c r="H111" s="27">
        <v>735000</v>
      </c>
      <c r="I111" s="27">
        <v>512568</v>
      </c>
      <c r="J111" s="27"/>
      <c r="K111" s="26">
        <v>-0.30262857142857141</v>
      </c>
      <c r="L111" s="11" t="s">
        <v>464</v>
      </c>
      <c r="M111" s="15">
        <v>9</v>
      </c>
      <c r="N111" s="11" t="s">
        <v>25</v>
      </c>
      <c r="O111" s="15">
        <v>2</v>
      </c>
      <c r="P111" s="35" t="s">
        <v>458</v>
      </c>
    </row>
    <row r="112" spans="3:16" x14ac:dyDescent="0.25">
      <c r="C112" s="39">
        <v>2015</v>
      </c>
      <c r="D112" s="15" t="s">
        <v>344</v>
      </c>
      <c r="E112" s="24" t="s">
        <v>345</v>
      </c>
      <c r="F112" s="25">
        <v>42104</v>
      </c>
      <c r="G112" s="46" t="s">
        <v>34</v>
      </c>
      <c r="H112" s="27">
        <v>3760000</v>
      </c>
      <c r="I112" s="27">
        <v>2999293</v>
      </c>
      <c r="J112" s="27"/>
      <c r="K112" s="26">
        <v>-0.20231569148936171</v>
      </c>
      <c r="L112" s="11" t="s">
        <v>464</v>
      </c>
      <c r="M112" s="15">
        <v>10</v>
      </c>
      <c r="N112" s="11" t="s">
        <v>93</v>
      </c>
      <c r="O112" s="15">
        <v>2</v>
      </c>
      <c r="P112" s="35" t="s">
        <v>458</v>
      </c>
    </row>
    <row r="113" spans="3:16" x14ac:dyDescent="0.25">
      <c r="C113" s="39">
        <v>2015</v>
      </c>
      <c r="D113" s="15" t="s">
        <v>421</v>
      </c>
      <c r="E113" s="24" t="s">
        <v>352</v>
      </c>
      <c r="F113" s="25">
        <v>42104</v>
      </c>
      <c r="G113" s="46" t="s">
        <v>34</v>
      </c>
      <c r="H113" s="27">
        <v>1770000</v>
      </c>
      <c r="I113" s="27">
        <v>1397380</v>
      </c>
      <c r="J113" s="27"/>
      <c r="K113" s="26">
        <v>-0.21051977401129943</v>
      </c>
      <c r="L113" s="11" t="s">
        <v>464</v>
      </c>
      <c r="M113" s="15">
        <v>10</v>
      </c>
      <c r="N113" s="11" t="s">
        <v>93</v>
      </c>
      <c r="O113" s="15">
        <v>2</v>
      </c>
      <c r="P113" s="35" t="s">
        <v>458</v>
      </c>
    </row>
    <row r="114" spans="3:16" x14ac:dyDescent="0.25">
      <c r="C114" s="39">
        <v>2015</v>
      </c>
      <c r="D114" s="15" t="s">
        <v>358</v>
      </c>
      <c r="E114" s="24" t="s">
        <v>359</v>
      </c>
      <c r="F114" s="25">
        <v>42103</v>
      </c>
      <c r="G114" s="46" t="s">
        <v>34</v>
      </c>
      <c r="H114" s="27">
        <v>1850000</v>
      </c>
      <c r="I114" s="27">
        <v>2137550</v>
      </c>
      <c r="J114" s="27"/>
      <c r="K114" s="26">
        <v>0.15543243243243243</v>
      </c>
      <c r="L114" s="11" t="s">
        <v>465</v>
      </c>
      <c r="M114" s="15">
        <v>8</v>
      </c>
      <c r="N114" s="11" t="s">
        <v>93</v>
      </c>
      <c r="O114" s="15">
        <v>2</v>
      </c>
      <c r="P114" s="35" t="s">
        <v>458</v>
      </c>
    </row>
    <row r="115" spans="3:16" x14ac:dyDescent="0.25">
      <c r="C115" s="39">
        <v>2015</v>
      </c>
      <c r="D115" s="15" t="s">
        <v>368</v>
      </c>
      <c r="E115" s="24" t="s">
        <v>369</v>
      </c>
      <c r="F115" s="25">
        <v>42102</v>
      </c>
      <c r="G115" s="46" t="s">
        <v>34</v>
      </c>
      <c r="H115" s="27">
        <v>4900000</v>
      </c>
      <c r="I115" s="27">
        <v>3388390</v>
      </c>
      <c r="J115" s="27"/>
      <c r="K115" s="26">
        <v>-0.30849183673469388</v>
      </c>
      <c r="L115" s="11" t="s">
        <v>465</v>
      </c>
      <c r="M115" s="15">
        <v>9</v>
      </c>
      <c r="N115" s="11" t="s">
        <v>93</v>
      </c>
      <c r="O115" s="15">
        <v>2</v>
      </c>
      <c r="P115" s="35" t="s">
        <v>458</v>
      </c>
    </row>
    <row r="116" spans="3:16" x14ac:dyDescent="0.25">
      <c r="C116" s="39">
        <v>2015</v>
      </c>
      <c r="D116" s="15" t="s">
        <v>96</v>
      </c>
      <c r="E116" s="24" t="s">
        <v>97</v>
      </c>
      <c r="F116" s="25">
        <v>42304</v>
      </c>
      <c r="G116" s="46" t="s">
        <v>34</v>
      </c>
      <c r="H116" s="27">
        <v>2420000</v>
      </c>
      <c r="I116" s="27">
        <v>4137000</v>
      </c>
      <c r="J116" s="27"/>
      <c r="K116" s="26">
        <v>0.70950413223140496</v>
      </c>
      <c r="L116" s="11" t="s">
        <v>465</v>
      </c>
      <c r="M116" s="15">
        <v>2</v>
      </c>
      <c r="N116" s="11" t="s">
        <v>93</v>
      </c>
      <c r="O116" s="15">
        <v>4</v>
      </c>
      <c r="P116" s="35" t="s">
        <v>459</v>
      </c>
    </row>
    <row r="117" spans="3:16" x14ac:dyDescent="0.25">
      <c r="C117" s="39">
        <v>2015</v>
      </c>
      <c r="D117" s="15" t="s">
        <v>309</v>
      </c>
      <c r="E117" s="24" t="s">
        <v>310</v>
      </c>
      <c r="F117" s="25">
        <v>42144</v>
      </c>
      <c r="G117" s="46" t="s">
        <v>34</v>
      </c>
      <c r="H117" s="27">
        <v>3340000</v>
      </c>
      <c r="I117" s="27">
        <v>4538160</v>
      </c>
      <c r="J117" s="27"/>
      <c r="K117" s="26">
        <v>0.35873053892215567</v>
      </c>
      <c r="L117" s="11" t="s">
        <v>465</v>
      </c>
      <c r="M117" s="15">
        <v>3</v>
      </c>
      <c r="N117" s="35" t="s">
        <v>25</v>
      </c>
      <c r="O117" s="15">
        <v>2</v>
      </c>
      <c r="P117" s="35" t="s">
        <v>459</v>
      </c>
    </row>
    <row r="118" spans="3:16" x14ac:dyDescent="0.25">
      <c r="C118" s="39"/>
      <c r="G118" s="45"/>
    </row>
    <row r="119" spans="3:16" x14ac:dyDescent="0.25">
      <c r="C119" s="39"/>
      <c r="G119" s="45"/>
    </row>
    <row r="120" spans="3:16" ht="18" customHeight="1" x14ac:dyDescent="0.25">
      <c r="C120" s="39"/>
      <c r="D120" s="15" t="s">
        <v>476</v>
      </c>
      <c r="E120" s="24"/>
      <c r="F120" s="25"/>
      <c r="G120" s="46"/>
      <c r="H120" s="27"/>
      <c r="I120" s="27"/>
      <c r="J120" s="27"/>
      <c r="K120" s="26"/>
      <c r="L120" s="11"/>
      <c r="M120" s="15"/>
      <c r="P120" s="11"/>
    </row>
    <row r="121" spans="3:16" ht="8.25" customHeight="1" x14ac:dyDescent="0.25">
      <c r="C121" s="39"/>
      <c r="D121" s="15"/>
      <c r="E121" s="24"/>
      <c r="F121" s="25"/>
      <c r="G121" s="46"/>
      <c r="H121" s="27"/>
      <c r="I121" s="27"/>
      <c r="J121" s="27"/>
      <c r="K121" s="26"/>
      <c r="L121" s="11"/>
      <c r="M121" s="15"/>
      <c r="P121" s="11"/>
    </row>
    <row r="122" spans="3:16" x14ac:dyDescent="0.25">
      <c r="C122" s="39">
        <v>2015</v>
      </c>
      <c r="D122" s="15" t="s">
        <v>434</v>
      </c>
      <c r="E122" s="24" t="s">
        <v>436</v>
      </c>
      <c r="F122" s="25">
        <v>42342</v>
      </c>
      <c r="G122" s="46" t="s">
        <v>190</v>
      </c>
      <c r="H122" s="27">
        <v>2000000</v>
      </c>
      <c r="I122" s="27">
        <v>2092850</v>
      </c>
      <c r="J122" s="27"/>
      <c r="K122" s="26">
        <v>4.6425000000000001E-2</v>
      </c>
      <c r="L122" s="11" t="s">
        <v>464</v>
      </c>
      <c r="M122" s="15">
        <v>4</v>
      </c>
      <c r="N122" s="35" t="s">
        <v>93</v>
      </c>
      <c r="O122" s="15">
        <v>4</v>
      </c>
      <c r="P122" s="35" t="s">
        <v>457</v>
      </c>
    </row>
    <row r="123" spans="3:16" x14ac:dyDescent="0.25">
      <c r="C123" s="39">
        <v>2015</v>
      </c>
      <c r="D123" s="15" t="s">
        <v>279</v>
      </c>
      <c r="E123" s="24" t="s">
        <v>280</v>
      </c>
      <c r="F123" s="25">
        <v>42159</v>
      </c>
      <c r="G123" s="46" t="s">
        <v>34</v>
      </c>
      <c r="H123" s="27">
        <v>1600000</v>
      </c>
      <c r="I123" s="27">
        <v>1298005</v>
      </c>
      <c r="J123" s="27"/>
      <c r="K123" s="26">
        <v>-0.18874687500000001</v>
      </c>
      <c r="L123" s="11" t="s">
        <v>464</v>
      </c>
      <c r="M123" s="15">
        <v>6</v>
      </c>
      <c r="N123" s="35" t="s">
        <v>93</v>
      </c>
      <c r="O123" s="15">
        <v>2</v>
      </c>
      <c r="P123" s="35" t="s">
        <v>457</v>
      </c>
    </row>
    <row r="124" spans="3:16" x14ac:dyDescent="0.25">
      <c r="C124" s="39">
        <v>2015</v>
      </c>
      <c r="D124" s="15" t="s">
        <v>425</v>
      </c>
      <c r="E124" s="24" t="s">
        <v>426</v>
      </c>
      <c r="F124" s="25">
        <v>42338</v>
      </c>
      <c r="G124" s="46" t="s">
        <v>34</v>
      </c>
      <c r="H124" s="27">
        <v>1200000</v>
      </c>
      <c r="I124" s="27">
        <v>1222222</v>
      </c>
      <c r="J124" s="27"/>
      <c r="K124" s="26">
        <v>1.8518333333333335E-2</v>
      </c>
      <c r="L124" s="11" t="s">
        <v>464</v>
      </c>
      <c r="M124" s="15">
        <v>6</v>
      </c>
      <c r="N124" s="35" t="s">
        <v>93</v>
      </c>
      <c r="O124" s="15">
        <v>4</v>
      </c>
      <c r="P124" s="35" t="s">
        <v>458</v>
      </c>
    </row>
    <row r="125" spans="3:16" x14ac:dyDescent="0.25">
      <c r="C125" s="39">
        <v>2015</v>
      </c>
      <c r="D125" s="15" t="s">
        <v>151</v>
      </c>
      <c r="E125" s="24" t="s">
        <v>152</v>
      </c>
      <c r="F125" s="25">
        <v>42268</v>
      </c>
      <c r="G125" s="46" t="s">
        <v>34</v>
      </c>
      <c r="H125" s="27">
        <v>7900000</v>
      </c>
      <c r="I125" s="27">
        <v>6769800</v>
      </c>
      <c r="J125" s="27"/>
      <c r="K125" s="26">
        <v>-0.14306329113924052</v>
      </c>
      <c r="L125" s="11" t="s">
        <v>464</v>
      </c>
      <c r="M125" s="15">
        <v>18</v>
      </c>
      <c r="N125" s="35" t="s">
        <v>93</v>
      </c>
      <c r="O125" s="15">
        <v>3</v>
      </c>
      <c r="P125" s="35" t="s">
        <v>458</v>
      </c>
    </row>
    <row r="126" spans="3:16" x14ac:dyDescent="0.25">
      <c r="C126" s="39">
        <v>2015</v>
      </c>
      <c r="D126" s="15" t="s">
        <v>6</v>
      </c>
      <c r="E126" s="24" t="s">
        <v>7</v>
      </c>
      <c r="F126" s="25">
        <v>42243</v>
      </c>
      <c r="G126" s="46" t="s">
        <v>34</v>
      </c>
      <c r="H126" s="27">
        <v>1650000</v>
      </c>
      <c r="I126" s="27">
        <v>1898000</v>
      </c>
      <c r="J126" s="27"/>
      <c r="K126" s="26">
        <v>0.1503030303030303</v>
      </c>
      <c r="L126" s="11" t="s">
        <v>465</v>
      </c>
      <c r="M126" s="15">
        <v>4</v>
      </c>
      <c r="N126" s="35" t="s">
        <v>93</v>
      </c>
      <c r="O126" s="15">
        <v>3</v>
      </c>
      <c r="P126" s="35" t="s">
        <v>458</v>
      </c>
    </row>
    <row r="127" spans="3:16" x14ac:dyDescent="0.25">
      <c r="C127" s="39">
        <v>2015</v>
      </c>
      <c r="D127" s="15" t="s">
        <v>297</v>
      </c>
      <c r="E127" s="24" t="s">
        <v>298</v>
      </c>
      <c r="F127" s="25">
        <v>42145</v>
      </c>
      <c r="G127" s="46" t="s">
        <v>299</v>
      </c>
      <c r="H127" s="27">
        <v>1550000</v>
      </c>
      <c r="I127" s="27">
        <v>2333333.33</v>
      </c>
      <c r="J127" s="27"/>
      <c r="K127" s="26">
        <v>0.50537634193548386</v>
      </c>
      <c r="L127" s="11" t="s">
        <v>465</v>
      </c>
      <c r="M127" s="15">
        <v>2</v>
      </c>
      <c r="N127" s="35" t="s">
        <v>93</v>
      </c>
      <c r="O127" s="15">
        <v>2</v>
      </c>
      <c r="P127" s="35" t="s">
        <v>458</v>
      </c>
    </row>
    <row r="128" spans="3:16" x14ac:dyDescent="0.25">
      <c r="C128" s="39">
        <v>2015</v>
      </c>
      <c r="D128" s="15" t="s">
        <v>313</v>
      </c>
      <c r="E128" s="24" t="s">
        <v>314</v>
      </c>
      <c r="F128" s="25">
        <v>42143</v>
      </c>
      <c r="G128" s="46" t="s">
        <v>34</v>
      </c>
      <c r="H128" s="27">
        <v>1263000</v>
      </c>
      <c r="I128" s="27">
        <v>930000</v>
      </c>
      <c r="J128" s="27"/>
      <c r="K128" s="26">
        <v>-0.26365795724465557</v>
      </c>
      <c r="L128" s="11" t="s">
        <v>465</v>
      </c>
      <c r="M128" s="15">
        <v>1</v>
      </c>
      <c r="N128" s="35" t="s">
        <v>93</v>
      </c>
      <c r="O128" s="15">
        <v>2</v>
      </c>
      <c r="P128" s="35" t="s">
        <v>458</v>
      </c>
    </row>
    <row r="129" spans="3:18" x14ac:dyDescent="0.25">
      <c r="C129" s="39">
        <v>2015</v>
      </c>
      <c r="D129" s="15" t="s">
        <v>344</v>
      </c>
      <c r="E129" s="24" t="s">
        <v>345</v>
      </c>
      <c r="F129" s="25">
        <v>42104</v>
      </c>
      <c r="G129" s="46" t="s">
        <v>34</v>
      </c>
      <c r="H129" s="27">
        <v>3760000</v>
      </c>
      <c r="I129" s="27">
        <v>2999293</v>
      </c>
      <c r="J129" s="27"/>
      <c r="K129" s="26">
        <v>-0.20231569148936171</v>
      </c>
      <c r="L129" s="11" t="s">
        <v>464</v>
      </c>
      <c r="M129" s="15">
        <v>10</v>
      </c>
      <c r="N129" s="35" t="s">
        <v>93</v>
      </c>
      <c r="O129" s="15">
        <v>2</v>
      </c>
      <c r="P129" s="35" t="s">
        <v>458</v>
      </c>
    </row>
    <row r="130" spans="3:18" x14ac:dyDescent="0.25">
      <c r="C130" s="39">
        <v>2015</v>
      </c>
      <c r="D130" s="15" t="s">
        <v>421</v>
      </c>
      <c r="E130" s="24" t="s">
        <v>352</v>
      </c>
      <c r="F130" s="25">
        <v>42104</v>
      </c>
      <c r="G130" s="46" t="s">
        <v>34</v>
      </c>
      <c r="H130" s="27">
        <v>1770000</v>
      </c>
      <c r="I130" s="27">
        <v>1397380</v>
      </c>
      <c r="J130" s="27"/>
      <c r="K130" s="26">
        <v>-0.21051977401129943</v>
      </c>
      <c r="L130" s="11" t="s">
        <v>464</v>
      </c>
      <c r="M130" s="15">
        <v>10</v>
      </c>
      <c r="N130" s="35" t="s">
        <v>93</v>
      </c>
      <c r="O130" s="15">
        <v>2</v>
      </c>
      <c r="P130" s="35" t="s">
        <v>458</v>
      </c>
    </row>
    <row r="131" spans="3:18" x14ac:dyDescent="0.25">
      <c r="C131" s="39">
        <v>2015</v>
      </c>
      <c r="D131" s="15" t="s">
        <v>358</v>
      </c>
      <c r="E131" s="24" t="s">
        <v>359</v>
      </c>
      <c r="F131" s="25">
        <v>42103</v>
      </c>
      <c r="G131" s="46" t="s">
        <v>34</v>
      </c>
      <c r="H131" s="27">
        <v>1850000</v>
      </c>
      <c r="I131" s="27">
        <v>2137550</v>
      </c>
      <c r="J131" s="27"/>
      <c r="K131" s="26">
        <v>0.15543243243243243</v>
      </c>
      <c r="L131" s="11" t="s">
        <v>465</v>
      </c>
      <c r="M131" s="15">
        <v>8</v>
      </c>
      <c r="N131" s="35" t="s">
        <v>93</v>
      </c>
      <c r="O131" s="15">
        <v>2</v>
      </c>
      <c r="P131" s="35" t="s">
        <v>458</v>
      </c>
    </row>
    <row r="132" spans="3:18" x14ac:dyDescent="0.25">
      <c r="C132" s="39">
        <v>2015</v>
      </c>
      <c r="D132" s="15" t="s">
        <v>368</v>
      </c>
      <c r="E132" s="24" t="s">
        <v>369</v>
      </c>
      <c r="F132" s="25">
        <v>42102</v>
      </c>
      <c r="G132" s="46" t="s">
        <v>34</v>
      </c>
      <c r="H132" s="27">
        <v>4900000</v>
      </c>
      <c r="I132" s="27">
        <v>3388390</v>
      </c>
      <c r="J132" s="27"/>
      <c r="K132" s="26">
        <v>-0.30849183673469388</v>
      </c>
      <c r="L132" s="11" t="s">
        <v>465</v>
      </c>
      <c r="M132" s="15">
        <v>9</v>
      </c>
      <c r="N132" s="35" t="s">
        <v>93</v>
      </c>
      <c r="O132" s="15">
        <v>2</v>
      </c>
      <c r="P132" s="35" t="s">
        <v>458</v>
      </c>
    </row>
    <row r="133" spans="3:18" x14ac:dyDescent="0.25">
      <c r="C133" s="39">
        <v>2015</v>
      </c>
      <c r="D133" s="15" t="s">
        <v>402</v>
      </c>
      <c r="E133" s="24" t="s">
        <v>403</v>
      </c>
      <c r="F133" s="25">
        <v>42060</v>
      </c>
      <c r="G133" s="46" t="s">
        <v>177</v>
      </c>
      <c r="H133" s="27">
        <v>640000</v>
      </c>
      <c r="I133" s="27">
        <v>574000</v>
      </c>
      <c r="J133" s="27"/>
      <c r="K133" s="26">
        <v>-0.10312499999999999</v>
      </c>
      <c r="L133" s="11" t="s">
        <v>464</v>
      </c>
      <c r="M133" s="15">
        <v>4</v>
      </c>
      <c r="N133" s="35" t="s">
        <v>93</v>
      </c>
      <c r="O133" s="15">
        <v>1</v>
      </c>
      <c r="P133" s="35" t="s">
        <v>458</v>
      </c>
    </row>
    <row r="134" spans="3:18" x14ac:dyDescent="0.25">
      <c r="C134" s="39">
        <v>2015</v>
      </c>
      <c r="D134" s="15" t="s">
        <v>410</v>
      </c>
      <c r="E134" s="24" t="s">
        <v>411</v>
      </c>
      <c r="F134" s="25">
        <v>42057</v>
      </c>
      <c r="G134" s="46" t="s">
        <v>190</v>
      </c>
      <c r="H134" s="27">
        <v>9700000</v>
      </c>
      <c r="I134" s="27">
        <v>8742268</v>
      </c>
      <c r="J134" s="27"/>
      <c r="K134" s="26">
        <v>-9.8735257731958764E-2</v>
      </c>
      <c r="L134" s="11" t="s">
        <v>464</v>
      </c>
      <c r="M134" s="15">
        <v>3</v>
      </c>
      <c r="N134" s="35" t="s">
        <v>93</v>
      </c>
      <c r="O134" s="15">
        <v>1</v>
      </c>
      <c r="P134" s="35" t="s">
        <v>458</v>
      </c>
    </row>
    <row r="135" spans="3:18" x14ac:dyDescent="0.25">
      <c r="C135" s="39">
        <v>2015</v>
      </c>
      <c r="D135" s="15" t="s">
        <v>414</v>
      </c>
      <c r="E135" s="24" t="s">
        <v>415</v>
      </c>
      <c r="F135" s="25">
        <v>42038</v>
      </c>
      <c r="G135" s="46" t="s">
        <v>190</v>
      </c>
      <c r="H135" s="27">
        <v>25770000</v>
      </c>
      <c r="I135" s="27">
        <v>28747550</v>
      </c>
      <c r="J135" s="27"/>
      <c r="K135" s="26">
        <v>0.11554326736515327</v>
      </c>
      <c r="L135" s="11" t="s">
        <v>465</v>
      </c>
      <c r="M135" s="15">
        <v>3</v>
      </c>
      <c r="N135" s="35" t="s">
        <v>93</v>
      </c>
      <c r="O135" s="15">
        <v>1</v>
      </c>
      <c r="P135" s="35" t="s">
        <v>458</v>
      </c>
    </row>
    <row r="136" spans="3:18" x14ac:dyDescent="0.25">
      <c r="C136" s="39">
        <v>2015</v>
      </c>
      <c r="D136" s="15" t="s">
        <v>96</v>
      </c>
      <c r="E136" s="24" t="s">
        <v>97</v>
      </c>
      <c r="F136" s="25">
        <v>42304</v>
      </c>
      <c r="G136" s="46" t="s">
        <v>34</v>
      </c>
      <c r="H136" s="27">
        <v>2420000</v>
      </c>
      <c r="I136" s="27">
        <v>4137000</v>
      </c>
      <c r="J136" s="27"/>
      <c r="K136" s="26">
        <v>0.70950413223140496</v>
      </c>
      <c r="L136" s="11" t="s">
        <v>465</v>
      </c>
      <c r="M136" s="15">
        <v>2</v>
      </c>
      <c r="N136" s="35" t="s">
        <v>93</v>
      </c>
      <c r="O136" s="15">
        <v>4</v>
      </c>
      <c r="P136" s="35" t="s">
        <v>459</v>
      </c>
    </row>
    <row r="137" spans="3:18" x14ac:dyDescent="0.25">
      <c r="C137" s="39"/>
      <c r="G137" s="45"/>
    </row>
    <row r="138" spans="3:18" x14ac:dyDescent="0.25">
      <c r="C138" s="39"/>
      <c r="G138" s="45"/>
    </row>
    <row r="139" spans="3:18" ht="18" customHeight="1" x14ac:dyDescent="0.25">
      <c r="C139" s="39"/>
      <c r="D139" s="15" t="s">
        <v>475</v>
      </c>
      <c r="E139" s="24"/>
      <c r="F139" s="25"/>
      <c r="G139" s="46"/>
      <c r="H139" s="27"/>
      <c r="I139" s="27"/>
      <c r="J139" s="27"/>
      <c r="K139" s="26"/>
      <c r="L139" s="11"/>
      <c r="M139" s="15"/>
      <c r="P139" s="11"/>
    </row>
    <row r="140" spans="3:18" ht="8.25" customHeight="1" x14ac:dyDescent="0.25">
      <c r="C140" s="39"/>
      <c r="D140" s="15"/>
      <c r="E140" s="24"/>
      <c r="F140" s="25"/>
      <c r="G140" s="46"/>
      <c r="H140" s="27"/>
      <c r="I140" s="27"/>
      <c r="J140" s="27"/>
      <c r="K140" s="26"/>
      <c r="L140" s="11"/>
      <c r="M140" s="15"/>
      <c r="P140" s="11"/>
    </row>
    <row r="141" spans="3:18" x14ac:dyDescent="0.25">
      <c r="C141" s="39">
        <v>2015</v>
      </c>
      <c r="D141" s="15" t="s">
        <v>441</v>
      </c>
      <c r="E141" s="24" t="s">
        <v>443</v>
      </c>
      <c r="F141" s="25">
        <v>42355</v>
      </c>
      <c r="G141" s="46" t="s">
        <v>177</v>
      </c>
      <c r="H141" s="27">
        <v>640000</v>
      </c>
      <c r="I141" s="27">
        <v>898000</v>
      </c>
      <c r="J141" s="27"/>
      <c r="K141" s="26">
        <v>0.40312500000000001</v>
      </c>
      <c r="L141" s="11" t="s">
        <v>465</v>
      </c>
      <c r="M141" s="15">
        <v>3</v>
      </c>
      <c r="N141" s="35" t="s">
        <v>25</v>
      </c>
      <c r="O141" s="15">
        <v>4</v>
      </c>
      <c r="P141" s="35" t="s">
        <v>457</v>
      </c>
    </row>
    <row r="142" spans="3:18" x14ac:dyDescent="0.25">
      <c r="C142" s="39">
        <v>2015</v>
      </c>
      <c r="D142" s="15" t="s">
        <v>86</v>
      </c>
      <c r="E142" s="24" t="s">
        <v>416</v>
      </c>
      <c r="F142" s="25">
        <v>42304</v>
      </c>
      <c r="G142" s="46" t="s">
        <v>34</v>
      </c>
      <c r="H142" s="27">
        <v>1340000</v>
      </c>
      <c r="I142" s="27">
        <v>1850000</v>
      </c>
      <c r="J142" s="27"/>
      <c r="K142" s="26">
        <v>0.38059701492537312</v>
      </c>
      <c r="L142" s="11" t="s">
        <v>465</v>
      </c>
      <c r="M142" s="15">
        <v>4</v>
      </c>
      <c r="N142" s="35" t="s">
        <v>25</v>
      </c>
      <c r="O142" s="15">
        <v>4</v>
      </c>
      <c r="P142" s="35" t="s">
        <v>457</v>
      </c>
    </row>
    <row r="143" spans="3:18" x14ac:dyDescent="0.25">
      <c r="C143" s="39">
        <v>2015</v>
      </c>
      <c r="D143" s="15" t="s">
        <v>101</v>
      </c>
      <c r="E143" s="24" t="s">
        <v>211</v>
      </c>
      <c r="F143" s="25">
        <v>42297</v>
      </c>
      <c r="G143" s="46" t="s">
        <v>34</v>
      </c>
      <c r="H143" s="27">
        <v>1290000</v>
      </c>
      <c r="I143" s="27">
        <v>1552600</v>
      </c>
      <c r="J143" s="27"/>
      <c r="K143" s="26">
        <v>0.20356589147286822</v>
      </c>
      <c r="L143" s="11" t="s">
        <v>465</v>
      </c>
      <c r="M143" s="15">
        <v>9</v>
      </c>
      <c r="N143" s="35" t="s">
        <v>25</v>
      </c>
      <c r="O143" s="15">
        <v>4</v>
      </c>
      <c r="P143" s="35" t="s">
        <v>457</v>
      </c>
    </row>
    <row r="144" spans="3:18" x14ac:dyDescent="0.25">
      <c r="C144" s="39">
        <v>2015</v>
      </c>
      <c r="D144" s="15" t="s">
        <v>102</v>
      </c>
      <c r="E144" s="24" t="s">
        <v>228</v>
      </c>
      <c r="F144" s="25">
        <v>42297</v>
      </c>
      <c r="G144" s="46" t="s">
        <v>187</v>
      </c>
      <c r="H144" s="27"/>
      <c r="I144" s="27"/>
      <c r="J144" s="27"/>
      <c r="K144" s="26"/>
      <c r="L144" s="11"/>
      <c r="M144" s="15"/>
      <c r="N144" s="35" t="s">
        <v>25</v>
      </c>
      <c r="O144" s="15">
        <v>4</v>
      </c>
      <c r="P144" s="35" t="s">
        <v>457</v>
      </c>
      <c r="R144" t="s">
        <v>227</v>
      </c>
    </row>
    <row r="145" spans="3:16" x14ac:dyDescent="0.25">
      <c r="C145" s="39">
        <v>2015</v>
      </c>
      <c r="D145" s="15" t="s">
        <v>117</v>
      </c>
      <c r="E145" s="24" t="s">
        <v>118</v>
      </c>
      <c r="F145" s="25">
        <v>42277</v>
      </c>
      <c r="G145" s="46" t="s">
        <v>34</v>
      </c>
      <c r="H145" s="27">
        <v>7000000</v>
      </c>
      <c r="I145" s="27">
        <v>5851111</v>
      </c>
      <c r="J145" s="27"/>
      <c r="K145" s="26">
        <v>-0.164127</v>
      </c>
      <c r="L145" s="11" t="s">
        <v>464</v>
      </c>
      <c r="M145" s="15">
        <v>15</v>
      </c>
      <c r="N145" s="35" t="s">
        <v>25</v>
      </c>
      <c r="O145" s="15">
        <v>3</v>
      </c>
      <c r="P145" s="35" t="s">
        <v>457</v>
      </c>
    </row>
    <row r="146" spans="3:16" x14ac:dyDescent="0.25">
      <c r="C146" s="39">
        <v>2015</v>
      </c>
      <c r="D146" s="15" t="s">
        <v>35</v>
      </c>
      <c r="E146" s="24" t="s">
        <v>36</v>
      </c>
      <c r="F146" s="25">
        <v>42157</v>
      </c>
      <c r="G146" s="46" t="s">
        <v>34</v>
      </c>
      <c r="H146" s="27">
        <v>29100000</v>
      </c>
      <c r="I146" s="27">
        <v>30452500</v>
      </c>
      <c r="J146" s="27"/>
      <c r="K146" s="26">
        <v>4.6477663230240551E-2</v>
      </c>
      <c r="L146" s="11" t="s">
        <v>464</v>
      </c>
      <c r="M146" s="15">
        <v>11</v>
      </c>
      <c r="N146" s="35" t="s">
        <v>25</v>
      </c>
      <c r="O146" s="15">
        <v>2</v>
      </c>
      <c r="P146" s="35" t="s">
        <v>457</v>
      </c>
    </row>
    <row r="147" spans="3:16" x14ac:dyDescent="0.25">
      <c r="C147" s="39">
        <v>2015</v>
      </c>
      <c r="D147" s="15" t="s">
        <v>45</v>
      </c>
      <c r="E147" s="24" t="s">
        <v>46</v>
      </c>
      <c r="F147" s="25">
        <v>42145</v>
      </c>
      <c r="G147" s="46" t="s">
        <v>34</v>
      </c>
      <c r="H147" s="27">
        <v>6400000</v>
      </c>
      <c r="I147" s="27">
        <v>5777000</v>
      </c>
      <c r="J147" s="27"/>
      <c r="K147" s="26">
        <v>-9.7343750000000007E-2</v>
      </c>
      <c r="L147" s="11" t="s">
        <v>464</v>
      </c>
      <c r="M147" s="15">
        <v>7</v>
      </c>
      <c r="N147" s="35" t="s">
        <v>25</v>
      </c>
      <c r="O147" s="15">
        <v>2</v>
      </c>
      <c r="P147" s="35" t="s">
        <v>457</v>
      </c>
    </row>
    <row r="148" spans="3:16" x14ac:dyDescent="0.25">
      <c r="C148" s="39">
        <v>2015</v>
      </c>
      <c r="D148" s="15" t="s">
        <v>334</v>
      </c>
      <c r="E148" s="24" t="s">
        <v>335</v>
      </c>
      <c r="F148" s="25">
        <v>42108</v>
      </c>
      <c r="G148" s="46" t="s">
        <v>34</v>
      </c>
      <c r="H148" s="27">
        <v>2320000</v>
      </c>
      <c r="I148" s="27">
        <v>1550780</v>
      </c>
      <c r="J148" s="27"/>
      <c r="K148" s="26">
        <v>-0.33156034482758623</v>
      </c>
      <c r="L148" s="11" t="s">
        <v>464</v>
      </c>
      <c r="M148" s="15">
        <v>9</v>
      </c>
      <c r="N148" s="35" t="s">
        <v>25</v>
      </c>
      <c r="O148" s="15">
        <v>2</v>
      </c>
      <c r="P148" s="35" t="s">
        <v>457</v>
      </c>
    </row>
    <row r="149" spans="3:16" x14ac:dyDescent="0.25">
      <c r="C149" s="39">
        <v>2015</v>
      </c>
      <c r="D149" s="15" t="s">
        <v>372</v>
      </c>
      <c r="E149" s="24" t="s">
        <v>373</v>
      </c>
      <c r="F149" s="25">
        <v>42102</v>
      </c>
      <c r="G149" s="46" t="s">
        <v>374</v>
      </c>
      <c r="H149" s="27">
        <v>1300000</v>
      </c>
      <c r="I149" s="27">
        <v>878175</v>
      </c>
      <c r="J149" s="27"/>
      <c r="K149" s="26">
        <v>-0.32448076923076924</v>
      </c>
      <c r="L149" s="11" t="s">
        <v>464</v>
      </c>
      <c r="M149" s="15">
        <v>7</v>
      </c>
      <c r="N149" s="35" t="s">
        <v>25</v>
      </c>
      <c r="O149" s="15">
        <v>2</v>
      </c>
      <c r="P149" s="35" t="s">
        <v>457</v>
      </c>
    </row>
    <row r="150" spans="3:16" x14ac:dyDescent="0.25">
      <c r="C150" s="39">
        <v>2015</v>
      </c>
      <c r="D150" s="15" t="s">
        <v>388</v>
      </c>
      <c r="E150" s="24" t="s">
        <v>389</v>
      </c>
      <c r="F150" s="25">
        <v>42072</v>
      </c>
      <c r="G150" s="46" t="s">
        <v>34</v>
      </c>
      <c r="H150" s="27">
        <v>9600000</v>
      </c>
      <c r="I150" s="27">
        <v>6748000</v>
      </c>
      <c r="J150" s="27"/>
      <c r="K150" s="26">
        <v>-0.29708333333333331</v>
      </c>
      <c r="L150" s="11" t="s">
        <v>464</v>
      </c>
      <c r="M150" s="15">
        <v>12</v>
      </c>
      <c r="N150" s="35" t="s">
        <v>25</v>
      </c>
      <c r="O150" s="15">
        <v>1</v>
      </c>
      <c r="P150" s="35" t="s">
        <v>457</v>
      </c>
    </row>
    <row r="151" spans="3:16" x14ac:dyDescent="0.25">
      <c r="C151" s="39">
        <v>2015</v>
      </c>
      <c r="D151" s="15" t="s">
        <v>188</v>
      </c>
      <c r="E151" s="24" t="s">
        <v>189</v>
      </c>
      <c r="F151" s="25">
        <v>42310</v>
      </c>
      <c r="G151" s="46" t="s">
        <v>190</v>
      </c>
      <c r="H151" s="27">
        <v>7055100</v>
      </c>
      <c r="I151" s="27">
        <v>5774440</v>
      </c>
      <c r="J151" s="27"/>
      <c r="K151" s="26">
        <v>-0.18152258649771089</v>
      </c>
      <c r="L151" s="11" t="s">
        <v>465</v>
      </c>
      <c r="M151" s="15">
        <v>3</v>
      </c>
      <c r="N151" s="35" t="s">
        <v>25</v>
      </c>
      <c r="O151" s="15">
        <v>4</v>
      </c>
      <c r="P151" s="35" t="s">
        <v>458</v>
      </c>
    </row>
    <row r="152" spans="3:16" x14ac:dyDescent="0.25">
      <c r="C152" s="39">
        <v>2015</v>
      </c>
      <c r="D152" s="15" t="s">
        <v>106</v>
      </c>
      <c r="E152" s="24" t="s">
        <v>107</v>
      </c>
      <c r="F152" s="25">
        <v>42292</v>
      </c>
      <c r="G152" s="46" t="s">
        <v>34</v>
      </c>
      <c r="H152" s="27">
        <v>3650000</v>
      </c>
      <c r="I152" s="27">
        <v>3270000</v>
      </c>
      <c r="J152" s="27"/>
      <c r="K152" s="26">
        <v>-0.10410958904109589</v>
      </c>
      <c r="L152" s="11" t="s">
        <v>464</v>
      </c>
      <c r="M152" s="15">
        <v>6</v>
      </c>
      <c r="N152" s="35" t="s">
        <v>25</v>
      </c>
      <c r="O152" s="15">
        <v>4</v>
      </c>
      <c r="P152" s="35" t="s">
        <v>458</v>
      </c>
    </row>
    <row r="153" spans="3:16" x14ac:dyDescent="0.25">
      <c r="C153" s="39">
        <v>2015</v>
      </c>
      <c r="D153" s="15" t="s">
        <v>176</v>
      </c>
      <c r="E153" s="24" t="s">
        <v>417</v>
      </c>
      <c r="F153" s="25">
        <v>42256</v>
      </c>
      <c r="G153" s="46" t="s">
        <v>177</v>
      </c>
      <c r="H153" s="27">
        <v>325000</v>
      </c>
      <c r="I153" s="27">
        <v>377777</v>
      </c>
      <c r="J153" s="27"/>
      <c r="K153" s="26">
        <v>0.16239076923076923</v>
      </c>
      <c r="L153" s="11" t="s">
        <v>465</v>
      </c>
      <c r="M153" s="15">
        <v>6</v>
      </c>
      <c r="N153" s="35" t="s">
        <v>25</v>
      </c>
      <c r="O153" s="15">
        <v>3</v>
      </c>
      <c r="P153" s="35" t="s">
        <v>458</v>
      </c>
    </row>
    <row r="154" spans="3:16" x14ac:dyDescent="0.25">
      <c r="C154" s="39">
        <v>2015</v>
      </c>
      <c r="D154" s="15" t="s">
        <v>235</v>
      </c>
      <c r="E154" s="24" t="s">
        <v>236</v>
      </c>
      <c r="F154" s="25">
        <v>42234</v>
      </c>
      <c r="G154" s="46" t="s">
        <v>177</v>
      </c>
      <c r="H154" s="27">
        <v>354000</v>
      </c>
      <c r="I154" s="27">
        <v>396811</v>
      </c>
      <c r="J154" s="27"/>
      <c r="K154" s="26">
        <v>0.12093502824858757</v>
      </c>
      <c r="L154" s="11" t="s">
        <v>465</v>
      </c>
      <c r="M154" s="15">
        <v>3</v>
      </c>
      <c r="N154" s="35" t="s">
        <v>25</v>
      </c>
      <c r="O154" s="15">
        <v>3</v>
      </c>
      <c r="P154" s="35" t="s">
        <v>458</v>
      </c>
    </row>
    <row r="155" spans="3:16" x14ac:dyDescent="0.25">
      <c r="C155" s="39">
        <v>2015</v>
      </c>
      <c r="D155" s="15" t="s">
        <v>241</v>
      </c>
      <c r="E155" s="24" t="s">
        <v>242</v>
      </c>
      <c r="F155" s="25">
        <v>42213</v>
      </c>
      <c r="G155" s="46" t="s">
        <v>34</v>
      </c>
      <c r="H155" s="27">
        <v>1918000</v>
      </c>
      <c r="I155" s="27">
        <v>1389000</v>
      </c>
      <c r="J155" s="27"/>
      <c r="K155" s="26">
        <v>-0.27580813347236705</v>
      </c>
      <c r="L155" s="11" t="s">
        <v>464</v>
      </c>
      <c r="M155" s="15">
        <v>12</v>
      </c>
      <c r="N155" s="35" t="s">
        <v>25</v>
      </c>
      <c r="O155" s="15">
        <v>3</v>
      </c>
      <c r="P155" s="35" t="s">
        <v>458</v>
      </c>
    </row>
    <row r="156" spans="3:16" x14ac:dyDescent="0.25">
      <c r="C156" s="39">
        <v>2015</v>
      </c>
      <c r="D156" s="15" t="s">
        <v>315</v>
      </c>
      <c r="E156" s="24" t="s">
        <v>316</v>
      </c>
      <c r="F156" s="25">
        <v>42115</v>
      </c>
      <c r="G156" s="46" t="s">
        <v>34</v>
      </c>
      <c r="H156" s="27">
        <v>735000</v>
      </c>
      <c r="I156" s="27">
        <v>512568</v>
      </c>
      <c r="J156" s="27"/>
      <c r="K156" s="26">
        <v>-0.30262857142857141</v>
      </c>
      <c r="L156" s="11" t="s">
        <v>464</v>
      </c>
      <c r="M156" s="15">
        <v>9</v>
      </c>
      <c r="N156" s="35" t="s">
        <v>25</v>
      </c>
      <c r="O156" s="15">
        <v>2</v>
      </c>
      <c r="P156" s="35" t="s">
        <v>458</v>
      </c>
    </row>
    <row r="157" spans="3:16" x14ac:dyDescent="0.25">
      <c r="C157" s="39">
        <v>2015</v>
      </c>
      <c r="D157" s="15" t="s">
        <v>309</v>
      </c>
      <c r="E157" s="24" t="s">
        <v>310</v>
      </c>
      <c r="F157" s="25">
        <v>42144</v>
      </c>
      <c r="G157" s="46" t="s">
        <v>34</v>
      </c>
      <c r="H157" s="27">
        <v>3340000</v>
      </c>
      <c r="I157" s="27">
        <v>4538160</v>
      </c>
      <c r="J157" s="27"/>
      <c r="K157" s="26">
        <v>0.35873053892215567</v>
      </c>
      <c r="L157" s="11" t="s">
        <v>465</v>
      </c>
      <c r="M157" s="15">
        <v>3</v>
      </c>
      <c r="N157" s="35" t="s">
        <v>25</v>
      </c>
      <c r="O157" s="15">
        <v>2</v>
      </c>
      <c r="P157" s="35" t="s">
        <v>459</v>
      </c>
    </row>
    <row r="158" spans="3:16" x14ac:dyDescent="0.25">
      <c r="C158" s="39"/>
    </row>
    <row r="159" spans="3:16" x14ac:dyDescent="0.25">
      <c r="C159" s="39"/>
    </row>
    <row r="160" spans="3:16" x14ac:dyDescent="0.25">
      <c r="C160" s="39"/>
    </row>
    <row r="161" spans="3:22" ht="18" customHeight="1" x14ac:dyDescent="0.25">
      <c r="C161" s="39"/>
      <c r="D161" s="15" t="s">
        <v>477</v>
      </c>
      <c r="E161" s="24"/>
      <c r="F161" s="25"/>
      <c r="G161" s="46"/>
      <c r="H161" s="27"/>
      <c r="I161" s="27"/>
      <c r="J161" s="27"/>
      <c r="K161" s="26"/>
      <c r="L161" s="11"/>
      <c r="M161" s="15"/>
      <c r="P161" s="11"/>
    </row>
    <row r="162" spans="3:22" ht="8.25" customHeight="1" x14ac:dyDescent="0.25">
      <c r="C162" s="39"/>
      <c r="D162" s="15"/>
      <c r="E162" s="24"/>
      <c r="F162" s="25"/>
      <c r="G162" s="46"/>
      <c r="H162" s="27"/>
      <c r="I162" s="27"/>
      <c r="J162" s="27"/>
      <c r="K162" s="26"/>
      <c r="L162" s="11"/>
      <c r="M162" s="15"/>
      <c r="P162" s="11"/>
    </row>
    <row r="163" spans="3:22" x14ac:dyDescent="0.25">
      <c r="C163" s="39">
        <v>2015</v>
      </c>
      <c r="D163" s="15" t="s">
        <v>441</v>
      </c>
      <c r="E163" s="24" t="s">
        <v>443</v>
      </c>
      <c r="F163" s="25">
        <v>42355</v>
      </c>
      <c r="G163" s="46" t="s">
        <v>177</v>
      </c>
      <c r="H163" s="27">
        <v>640000</v>
      </c>
      <c r="I163" s="27">
        <v>898000</v>
      </c>
      <c r="J163" s="27"/>
      <c r="K163" s="26">
        <v>0.40312500000000001</v>
      </c>
      <c r="L163" s="11" t="s">
        <v>465</v>
      </c>
      <c r="M163" s="15">
        <v>3</v>
      </c>
      <c r="N163" s="35" t="s">
        <v>25</v>
      </c>
      <c r="O163" s="15">
        <v>4</v>
      </c>
      <c r="P163" s="35" t="s">
        <v>457</v>
      </c>
      <c r="Q163" s="15"/>
      <c r="R163" s="24"/>
      <c r="S163" s="15"/>
      <c r="T163" s="15"/>
      <c r="U163" s="15"/>
      <c r="V163" s="15"/>
    </row>
    <row r="164" spans="3:22" x14ac:dyDescent="0.25">
      <c r="C164" s="39">
        <v>2015</v>
      </c>
      <c r="D164" s="15" t="s">
        <v>86</v>
      </c>
      <c r="E164" s="24" t="s">
        <v>416</v>
      </c>
      <c r="F164" s="25">
        <v>42304</v>
      </c>
      <c r="G164" s="46" t="s">
        <v>34</v>
      </c>
      <c r="H164" s="27">
        <v>1340000</v>
      </c>
      <c r="I164" s="27">
        <v>1850000</v>
      </c>
      <c r="J164" s="27"/>
      <c r="K164" s="26">
        <v>0.38059701492537312</v>
      </c>
      <c r="L164" s="11" t="s">
        <v>465</v>
      </c>
      <c r="M164" s="15">
        <v>4</v>
      </c>
      <c r="N164" s="35" t="s">
        <v>25</v>
      </c>
      <c r="O164" s="15">
        <v>4</v>
      </c>
      <c r="P164" s="35" t="s">
        <v>457</v>
      </c>
      <c r="Q164" s="15"/>
      <c r="R164" s="24"/>
      <c r="S164" s="15"/>
      <c r="T164" s="15"/>
      <c r="U164" s="15"/>
      <c r="V164" s="15"/>
    </row>
    <row r="165" spans="3:22" x14ac:dyDescent="0.25">
      <c r="C165" s="39">
        <v>2015</v>
      </c>
      <c r="D165" s="15" t="s">
        <v>101</v>
      </c>
      <c r="E165" s="24" t="s">
        <v>211</v>
      </c>
      <c r="F165" s="25">
        <v>42297</v>
      </c>
      <c r="G165" s="46" t="s">
        <v>34</v>
      </c>
      <c r="H165" s="27">
        <v>1290000</v>
      </c>
      <c r="I165" s="27">
        <v>1552600</v>
      </c>
      <c r="J165" s="27"/>
      <c r="K165" s="26">
        <v>0.20356589147286822</v>
      </c>
      <c r="L165" s="11" t="s">
        <v>465</v>
      </c>
      <c r="M165" s="15">
        <v>9</v>
      </c>
      <c r="N165" s="35" t="s">
        <v>25</v>
      </c>
      <c r="O165" s="15">
        <v>4</v>
      </c>
      <c r="P165" s="35" t="s">
        <v>457</v>
      </c>
      <c r="Q165" s="15"/>
      <c r="R165" s="24"/>
      <c r="S165" s="15"/>
      <c r="T165" s="15"/>
      <c r="U165" s="15"/>
      <c r="V165" s="15"/>
    </row>
    <row r="166" spans="3:22" x14ac:dyDescent="0.25">
      <c r="C166" s="39">
        <v>2015</v>
      </c>
      <c r="D166" s="15" t="s">
        <v>279</v>
      </c>
      <c r="E166" s="24" t="s">
        <v>280</v>
      </c>
      <c r="F166" s="25">
        <v>42159</v>
      </c>
      <c r="G166" s="46" t="s">
        <v>34</v>
      </c>
      <c r="H166" s="27">
        <v>1600000</v>
      </c>
      <c r="I166" s="27">
        <v>1298005</v>
      </c>
      <c r="J166" s="27"/>
      <c r="K166" s="26">
        <v>-0.18874687500000001</v>
      </c>
      <c r="L166" s="11" t="s">
        <v>464</v>
      </c>
      <c r="M166" s="15">
        <v>6</v>
      </c>
      <c r="N166" s="35" t="s">
        <v>93</v>
      </c>
      <c r="O166" s="15">
        <v>2</v>
      </c>
      <c r="P166" s="35" t="s">
        <v>457</v>
      </c>
      <c r="Q166" s="15"/>
      <c r="R166" s="15"/>
      <c r="S166" s="15"/>
      <c r="T166" s="15"/>
      <c r="U166" s="15"/>
      <c r="V166" s="15"/>
    </row>
    <row r="167" spans="3:22" x14ac:dyDescent="0.25">
      <c r="C167" s="39">
        <v>2015</v>
      </c>
      <c r="D167" s="15" t="s">
        <v>418</v>
      </c>
      <c r="E167" s="24" t="s">
        <v>419</v>
      </c>
      <c r="F167" s="25">
        <v>42142</v>
      </c>
      <c r="G167" s="46" t="s">
        <v>299</v>
      </c>
      <c r="H167" s="27">
        <v>830000</v>
      </c>
      <c r="I167" s="27">
        <v>1650000</v>
      </c>
      <c r="J167" s="27"/>
      <c r="K167" s="26">
        <v>0.98795180722891562</v>
      </c>
      <c r="L167" s="11" t="s">
        <v>465</v>
      </c>
      <c r="M167" s="15">
        <v>1</v>
      </c>
      <c r="N167" s="35" t="s">
        <v>226</v>
      </c>
      <c r="O167" s="15">
        <v>2</v>
      </c>
      <c r="P167" s="35" t="s">
        <v>457</v>
      </c>
    </row>
    <row r="168" spans="3:22" x14ac:dyDescent="0.25">
      <c r="C168" s="39">
        <v>2015</v>
      </c>
      <c r="D168" s="15" t="s">
        <v>334</v>
      </c>
      <c r="E168" s="24" t="s">
        <v>335</v>
      </c>
      <c r="F168" s="25">
        <v>42108</v>
      </c>
      <c r="G168" s="46" t="s">
        <v>34</v>
      </c>
      <c r="H168" s="27">
        <v>2320000</v>
      </c>
      <c r="I168" s="27">
        <v>1550780</v>
      </c>
      <c r="J168" s="27"/>
      <c r="K168" s="26">
        <v>-0.33156034482758623</v>
      </c>
      <c r="L168" s="11" t="s">
        <v>464</v>
      </c>
      <c r="M168" s="15">
        <v>9</v>
      </c>
      <c r="N168" s="11" t="s">
        <v>25</v>
      </c>
      <c r="O168" s="15">
        <v>2</v>
      </c>
      <c r="P168" s="35" t="s">
        <v>457</v>
      </c>
    </row>
    <row r="169" spans="3:22" x14ac:dyDescent="0.25">
      <c r="C169" s="39">
        <v>2015</v>
      </c>
      <c r="D169" s="15" t="s">
        <v>372</v>
      </c>
      <c r="E169" s="24" t="s">
        <v>373</v>
      </c>
      <c r="F169" s="25">
        <v>42102</v>
      </c>
      <c r="G169" s="46" t="s">
        <v>374</v>
      </c>
      <c r="H169" s="27">
        <v>1300000</v>
      </c>
      <c r="I169" s="27">
        <v>878175</v>
      </c>
      <c r="J169" s="27"/>
      <c r="K169" s="26">
        <v>-0.32448076923076924</v>
      </c>
      <c r="L169" s="11" t="s">
        <v>464</v>
      </c>
      <c r="M169" s="15">
        <v>7</v>
      </c>
      <c r="N169" s="11" t="s">
        <v>25</v>
      </c>
      <c r="O169" s="15">
        <v>2</v>
      </c>
      <c r="P169" s="35" t="s">
        <v>457</v>
      </c>
    </row>
    <row r="170" spans="3:22" x14ac:dyDescent="0.25">
      <c r="C170" s="39">
        <v>2015</v>
      </c>
      <c r="D170" s="15" t="s">
        <v>425</v>
      </c>
      <c r="E170" s="24" t="s">
        <v>426</v>
      </c>
      <c r="F170" s="25">
        <v>42338</v>
      </c>
      <c r="G170" s="46" t="s">
        <v>34</v>
      </c>
      <c r="H170" s="27">
        <v>1200000</v>
      </c>
      <c r="I170" s="27">
        <v>1222222</v>
      </c>
      <c r="J170" s="27"/>
      <c r="K170" s="26">
        <v>1.8518333333333335E-2</v>
      </c>
      <c r="L170" s="11" t="s">
        <v>464</v>
      </c>
      <c r="M170" s="15">
        <v>6</v>
      </c>
      <c r="N170" s="35" t="s">
        <v>93</v>
      </c>
      <c r="O170" s="15">
        <v>4</v>
      </c>
      <c r="P170" s="35" t="s">
        <v>458</v>
      </c>
      <c r="Q170" s="15"/>
      <c r="R170" s="24"/>
      <c r="S170" s="15"/>
      <c r="T170" s="15"/>
      <c r="U170" s="15"/>
      <c r="V170" s="15"/>
    </row>
    <row r="171" spans="3:22" x14ac:dyDescent="0.25">
      <c r="C171" s="39">
        <v>2015</v>
      </c>
      <c r="D171" s="15" t="s">
        <v>176</v>
      </c>
      <c r="E171" s="24" t="s">
        <v>417</v>
      </c>
      <c r="F171" s="25">
        <v>42256</v>
      </c>
      <c r="G171" s="46" t="s">
        <v>177</v>
      </c>
      <c r="H171" s="27">
        <v>325000</v>
      </c>
      <c r="I171" s="27">
        <v>377777</v>
      </c>
      <c r="J171" s="27"/>
      <c r="K171" s="26">
        <v>0.16239076923076923</v>
      </c>
      <c r="L171" s="11" t="s">
        <v>465</v>
      </c>
      <c r="M171" s="15">
        <v>6</v>
      </c>
      <c r="N171" s="35" t="s">
        <v>25</v>
      </c>
      <c r="O171" s="15">
        <v>3</v>
      </c>
      <c r="P171" s="35" t="s">
        <v>458</v>
      </c>
      <c r="Q171" s="15"/>
      <c r="R171" s="24"/>
      <c r="S171" s="15"/>
      <c r="T171" s="15"/>
      <c r="U171" s="15"/>
      <c r="V171" s="15"/>
    </row>
    <row r="172" spans="3:22" x14ac:dyDescent="0.25">
      <c r="C172" s="39">
        <v>2015</v>
      </c>
      <c r="D172" s="15" t="s">
        <v>6</v>
      </c>
      <c r="E172" s="24" t="s">
        <v>7</v>
      </c>
      <c r="F172" s="25">
        <v>42243</v>
      </c>
      <c r="G172" s="46" t="s">
        <v>34</v>
      </c>
      <c r="H172" s="27">
        <v>1650000</v>
      </c>
      <c r="I172" s="27">
        <v>1898000</v>
      </c>
      <c r="J172" s="27"/>
      <c r="K172" s="26">
        <v>0.1503030303030303</v>
      </c>
      <c r="L172" s="11" t="s">
        <v>465</v>
      </c>
      <c r="M172" s="15">
        <v>4</v>
      </c>
      <c r="N172" s="35" t="s">
        <v>93</v>
      </c>
      <c r="O172" s="15">
        <v>3</v>
      </c>
      <c r="P172" s="35" t="s">
        <v>458</v>
      </c>
      <c r="Q172" s="15"/>
      <c r="R172" s="24"/>
      <c r="S172" s="15"/>
      <c r="T172" s="15"/>
      <c r="U172" s="15"/>
      <c r="V172" s="15"/>
    </row>
    <row r="173" spans="3:22" x14ac:dyDescent="0.25">
      <c r="C173" s="39">
        <v>2015</v>
      </c>
      <c r="D173" s="15" t="s">
        <v>235</v>
      </c>
      <c r="E173" s="24" t="s">
        <v>236</v>
      </c>
      <c r="F173" s="25">
        <v>42234</v>
      </c>
      <c r="G173" s="46" t="s">
        <v>177</v>
      </c>
      <c r="H173" s="27">
        <v>354000</v>
      </c>
      <c r="I173" s="27">
        <v>396811</v>
      </c>
      <c r="J173" s="27"/>
      <c r="K173" s="26">
        <v>0.12093502824858757</v>
      </c>
      <c r="L173" s="11" t="s">
        <v>465</v>
      </c>
      <c r="M173" s="15">
        <v>3</v>
      </c>
      <c r="N173" s="35" t="s">
        <v>25</v>
      </c>
      <c r="O173" s="15">
        <v>3</v>
      </c>
      <c r="P173" s="35" t="s">
        <v>458</v>
      </c>
      <c r="Q173" s="15"/>
      <c r="R173" s="24"/>
      <c r="S173" s="15"/>
      <c r="T173" s="15"/>
      <c r="U173" s="15"/>
      <c r="V173" s="15"/>
    </row>
    <row r="174" spans="3:22" x14ac:dyDescent="0.25">
      <c r="C174" s="39">
        <v>2015</v>
      </c>
      <c r="D174" s="15" t="s">
        <v>241</v>
      </c>
      <c r="E174" s="24" t="s">
        <v>242</v>
      </c>
      <c r="F174" s="25">
        <v>42213</v>
      </c>
      <c r="G174" s="46" t="s">
        <v>34</v>
      </c>
      <c r="H174" s="27">
        <v>1918000</v>
      </c>
      <c r="I174" s="27">
        <v>1389000</v>
      </c>
      <c r="J174" s="27"/>
      <c r="K174" s="26">
        <v>-0.27580813347236705</v>
      </c>
      <c r="L174" s="11" t="s">
        <v>464</v>
      </c>
      <c r="M174" s="15">
        <v>12</v>
      </c>
      <c r="N174" s="35" t="s">
        <v>25</v>
      </c>
      <c r="O174" s="15">
        <v>3</v>
      </c>
      <c r="P174" s="35" t="s">
        <v>458</v>
      </c>
      <c r="Q174" s="15"/>
      <c r="R174" s="24"/>
      <c r="S174" s="15"/>
      <c r="T174" s="15"/>
      <c r="U174" s="15"/>
      <c r="V174" s="15"/>
    </row>
    <row r="175" spans="3:22" x14ac:dyDescent="0.25">
      <c r="C175" s="39">
        <v>2015</v>
      </c>
      <c r="D175" s="15" t="s">
        <v>258</v>
      </c>
      <c r="E175" s="24" t="s">
        <v>259</v>
      </c>
      <c r="F175" s="25">
        <v>42209</v>
      </c>
      <c r="G175" s="46" t="s">
        <v>34</v>
      </c>
      <c r="H175" s="27">
        <v>4100000</v>
      </c>
      <c r="I175" s="27">
        <v>1775000</v>
      </c>
      <c r="J175" s="27"/>
      <c r="K175" s="26">
        <v>-0.56707317073170727</v>
      </c>
      <c r="L175" s="11" t="s">
        <v>465</v>
      </c>
      <c r="M175" s="15">
        <v>7</v>
      </c>
      <c r="N175" s="35" t="s">
        <v>93</v>
      </c>
      <c r="O175" s="15">
        <v>3</v>
      </c>
      <c r="P175" s="35" t="s">
        <v>458</v>
      </c>
      <c r="Q175" s="15"/>
      <c r="R175" s="24"/>
      <c r="S175" s="15"/>
      <c r="T175" s="15"/>
      <c r="U175" s="15"/>
      <c r="V175" s="15"/>
    </row>
    <row r="176" spans="3:22" x14ac:dyDescent="0.25">
      <c r="C176" s="39">
        <v>2015</v>
      </c>
      <c r="D176" s="15" t="s">
        <v>313</v>
      </c>
      <c r="E176" s="24" t="s">
        <v>314</v>
      </c>
      <c r="F176" s="25">
        <v>42143</v>
      </c>
      <c r="G176" s="46" t="s">
        <v>34</v>
      </c>
      <c r="H176" s="27">
        <v>1263000</v>
      </c>
      <c r="I176" s="27">
        <v>930000</v>
      </c>
      <c r="J176" s="27"/>
      <c r="K176" s="26">
        <v>-0.26365795724465557</v>
      </c>
      <c r="L176" s="11" t="s">
        <v>465</v>
      </c>
      <c r="M176" s="15">
        <v>1</v>
      </c>
      <c r="N176" s="11" t="s">
        <v>93</v>
      </c>
      <c r="O176" s="15">
        <v>2</v>
      </c>
      <c r="P176" s="35" t="s">
        <v>458</v>
      </c>
    </row>
    <row r="177" spans="3:22" x14ac:dyDescent="0.25">
      <c r="C177" s="39">
        <v>2015</v>
      </c>
      <c r="D177" s="15" t="s">
        <v>315</v>
      </c>
      <c r="E177" s="24" t="s">
        <v>316</v>
      </c>
      <c r="F177" s="25">
        <v>42115</v>
      </c>
      <c r="G177" s="46" t="s">
        <v>34</v>
      </c>
      <c r="H177" s="27">
        <v>735000</v>
      </c>
      <c r="I177" s="27">
        <v>512568</v>
      </c>
      <c r="J177" s="27"/>
      <c r="K177" s="26">
        <v>-0.30262857142857141</v>
      </c>
      <c r="L177" s="11" t="s">
        <v>464</v>
      </c>
      <c r="M177" s="15">
        <v>9</v>
      </c>
      <c r="N177" s="11" t="s">
        <v>25</v>
      </c>
      <c r="O177" s="15">
        <v>2</v>
      </c>
      <c r="P177" s="35" t="s">
        <v>458</v>
      </c>
    </row>
    <row r="178" spans="3:22" x14ac:dyDescent="0.25">
      <c r="C178" s="39">
        <v>2015</v>
      </c>
      <c r="D178" s="15" t="s">
        <v>421</v>
      </c>
      <c r="E178" s="24" t="s">
        <v>352</v>
      </c>
      <c r="F178" s="25">
        <v>42104</v>
      </c>
      <c r="G178" s="46" t="s">
        <v>34</v>
      </c>
      <c r="H178" s="27">
        <v>1770000</v>
      </c>
      <c r="I178" s="27">
        <v>1397380</v>
      </c>
      <c r="J178" s="27"/>
      <c r="K178" s="26">
        <v>-0.21051977401129943</v>
      </c>
      <c r="L178" s="11" t="s">
        <v>464</v>
      </c>
      <c r="M178" s="15">
        <v>10</v>
      </c>
      <c r="N178" s="11" t="s">
        <v>93</v>
      </c>
      <c r="O178" s="15">
        <v>2</v>
      </c>
      <c r="P178" s="35" t="s">
        <v>458</v>
      </c>
    </row>
    <row r="179" spans="3:22" x14ac:dyDescent="0.25">
      <c r="C179" s="39">
        <v>2015</v>
      </c>
      <c r="D179" s="15" t="s">
        <v>402</v>
      </c>
      <c r="E179" s="24" t="s">
        <v>403</v>
      </c>
      <c r="F179" s="25">
        <v>42060</v>
      </c>
      <c r="G179" s="46" t="s">
        <v>177</v>
      </c>
      <c r="H179" s="27">
        <v>640000</v>
      </c>
      <c r="I179" s="27">
        <v>574000</v>
      </c>
      <c r="J179" s="27"/>
      <c r="K179" s="26">
        <v>-0.10312499999999999</v>
      </c>
      <c r="L179" s="11" t="s">
        <v>464</v>
      </c>
      <c r="M179" s="15">
        <v>4</v>
      </c>
      <c r="N179" s="11" t="s">
        <v>93</v>
      </c>
      <c r="O179" s="15">
        <v>1</v>
      </c>
      <c r="P179" s="35" t="s">
        <v>458</v>
      </c>
    </row>
    <row r="180" spans="3:22" x14ac:dyDescent="0.25">
      <c r="C180" s="39">
        <v>2015</v>
      </c>
      <c r="D180" s="15" t="s">
        <v>420</v>
      </c>
      <c r="E180" s="24" t="s">
        <v>342</v>
      </c>
      <c r="F180" s="25">
        <v>42108</v>
      </c>
      <c r="G180" s="46" t="s">
        <v>190</v>
      </c>
      <c r="H180" s="27">
        <v>521000</v>
      </c>
      <c r="I180" s="27">
        <v>1840000</v>
      </c>
      <c r="J180" s="27"/>
      <c r="K180" s="26">
        <v>2.5316698656429941</v>
      </c>
      <c r="L180" s="11" t="s">
        <v>465</v>
      </c>
      <c r="M180" s="15">
        <v>3</v>
      </c>
      <c r="N180" s="35" t="s">
        <v>226</v>
      </c>
      <c r="O180" s="15">
        <v>2</v>
      </c>
      <c r="P180" s="35" t="s">
        <v>459</v>
      </c>
    </row>
    <row r="181" spans="3:22" x14ac:dyDescent="0.25">
      <c r="C181" s="39"/>
    </row>
    <row r="182" spans="3:22" x14ac:dyDescent="0.25">
      <c r="C182" s="39"/>
    </row>
    <row r="183" spans="3:22" x14ac:dyDescent="0.25">
      <c r="C183" s="39"/>
    </row>
    <row r="184" spans="3:22" x14ac:dyDescent="0.25">
      <c r="C184" s="39"/>
    </row>
    <row r="185" spans="3:22" ht="18" customHeight="1" x14ac:dyDescent="0.25">
      <c r="C185" s="39"/>
      <c r="D185" s="15" t="s">
        <v>478</v>
      </c>
      <c r="E185" s="24"/>
      <c r="F185" s="25"/>
      <c r="G185" s="46"/>
      <c r="H185" s="27"/>
      <c r="I185" s="27"/>
      <c r="J185" s="27"/>
      <c r="K185" s="26"/>
      <c r="L185" s="11"/>
      <c r="M185" s="15"/>
      <c r="P185" s="11"/>
    </row>
    <row r="186" spans="3:22" ht="8.25" customHeight="1" x14ac:dyDescent="0.25">
      <c r="C186" s="39"/>
      <c r="D186" s="15"/>
      <c r="E186" s="24"/>
      <c r="F186" s="25"/>
      <c r="G186" s="46"/>
      <c r="H186" s="27"/>
      <c r="I186" s="27"/>
      <c r="J186" s="27"/>
      <c r="K186" s="26"/>
      <c r="L186" s="11"/>
      <c r="M186" s="15"/>
      <c r="P186" s="11"/>
    </row>
    <row r="187" spans="3:22" x14ac:dyDescent="0.25">
      <c r="C187" s="39">
        <v>2015</v>
      </c>
      <c r="D187" s="15" t="s">
        <v>224</v>
      </c>
      <c r="E187" s="24" t="s">
        <v>80</v>
      </c>
      <c r="F187" s="25">
        <v>42312</v>
      </c>
      <c r="G187" s="46" t="s">
        <v>34</v>
      </c>
      <c r="H187" s="27">
        <v>8700000</v>
      </c>
      <c r="I187" s="27">
        <v>10162935</v>
      </c>
      <c r="J187" s="27"/>
      <c r="K187" s="26">
        <v>0.16815344827586207</v>
      </c>
      <c r="L187" s="11" t="s">
        <v>465</v>
      </c>
      <c r="M187" s="15">
        <v>3</v>
      </c>
      <c r="N187" s="35" t="s">
        <v>226</v>
      </c>
      <c r="O187" s="15">
        <v>4</v>
      </c>
      <c r="P187" s="35" t="s">
        <v>457</v>
      </c>
      <c r="Q187" s="15"/>
      <c r="R187" s="24"/>
      <c r="S187" s="15"/>
      <c r="T187" s="15"/>
      <c r="U187" s="15"/>
      <c r="V187" s="15"/>
    </row>
    <row r="188" spans="3:22" x14ac:dyDescent="0.25">
      <c r="C188" s="39">
        <v>2015</v>
      </c>
      <c r="D188" s="15" t="s">
        <v>196</v>
      </c>
      <c r="E188" s="24" t="s">
        <v>197</v>
      </c>
      <c r="F188" s="25">
        <v>42307</v>
      </c>
      <c r="G188" s="46" t="s">
        <v>34</v>
      </c>
      <c r="H188" s="27">
        <v>7100000</v>
      </c>
      <c r="I188" s="27">
        <v>6676400</v>
      </c>
      <c r="J188" s="27"/>
      <c r="K188" s="26">
        <v>-5.9661971830985913E-2</v>
      </c>
      <c r="L188" s="11" t="s">
        <v>464</v>
      </c>
      <c r="M188" s="15">
        <v>11</v>
      </c>
      <c r="N188" s="35" t="s">
        <v>226</v>
      </c>
      <c r="O188" s="15">
        <v>4</v>
      </c>
      <c r="P188" s="35" t="s">
        <v>457</v>
      </c>
      <c r="Q188" s="15"/>
      <c r="R188" s="24"/>
      <c r="S188" s="15"/>
      <c r="T188" s="15"/>
      <c r="U188" s="15"/>
      <c r="V188" s="15"/>
    </row>
    <row r="189" spans="3:22" x14ac:dyDescent="0.25">
      <c r="C189" s="39">
        <v>2015</v>
      </c>
      <c r="D189" s="15" t="s">
        <v>117</v>
      </c>
      <c r="E189" s="24" t="s">
        <v>118</v>
      </c>
      <c r="F189" s="25">
        <v>42277</v>
      </c>
      <c r="G189" s="46" t="s">
        <v>34</v>
      </c>
      <c r="H189" s="27">
        <v>7000000</v>
      </c>
      <c r="I189" s="27">
        <v>5851111</v>
      </c>
      <c r="J189" s="27"/>
      <c r="K189" s="26">
        <v>-0.164127</v>
      </c>
      <c r="L189" s="11" t="s">
        <v>464</v>
      </c>
      <c r="M189" s="15">
        <v>15</v>
      </c>
      <c r="N189" s="35" t="s">
        <v>25</v>
      </c>
      <c r="O189" s="15">
        <v>3</v>
      </c>
      <c r="P189" s="35" t="s">
        <v>457</v>
      </c>
      <c r="Q189" s="15"/>
      <c r="R189" s="24"/>
      <c r="S189" s="15"/>
      <c r="T189" s="15"/>
      <c r="U189" s="15"/>
      <c r="V189" s="15"/>
    </row>
    <row r="190" spans="3:22" x14ac:dyDescent="0.25">
      <c r="C190" s="39">
        <v>2015</v>
      </c>
      <c r="D190" s="15" t="s">
        <v>268</v>
      </c>
      <c r="E190" s="24" t="s">
        <v>269</v>
      </c>
      <c r="F190" s="25">
        <v>42177</v>
      </c>
      <c r="G190" s="46" t="s">
        <v>34</v>
      </c>
      <c r="H190" s="27">
        <v>6500000</v>
      </c>
      <c r="I190" s="27">
        <v>6374800</v>
      </c>
      <c r="J190" s="27"/>
      <c r="K190" s="26">
        <v>-1.9261538461538462E-2</v>
      </c>
      <c r="L190" s="11" t="s">
        <v>464</v>
      </c>
      <c r="M190" s="15">
        <v>7</v>
      </c>
      <c r="N190" s="35" t="s">
        <v>226</v>
      </c>
      <c r="O190" s="15">
        <v>2</v>
      </c>
      <c r="P190" s="35" t="s">
        <v>457</v>
      </c>
      <c r="Q190" s="15"/>
      <c r="R190" s="15"/>
      <c r="S190" s="15"/>
      <c r="T190" s="15"/>
      <c r="U190" s="15"/>
      <c r="V190" s="15"/>
    </row>
    <row r="191" spans="3:22" x14ac:dyDescent="0.25">
      <c r="C191" s="39">
        <v>2015</v>
      </c>
      <c r="D191" s="15" t="s">
        <v>35</v>
      </c>
      <c r="E191" s="24" t="s">
        <v>36</v>
      </c>
      <c r="F191" s="25">
        <v>42157</v>
      </c>
      <c r="G191" s="46" t="s">
        <v>34</v>
      </c>
      <c r="H191" s="27">
        <v>29100000</v>
      </c>
      <c r="I191" s="27">
        <v>30452500</v>
      </c>
      <c r="J191" s="27"/>
      <c r="K191" s="26">
        <v>4.6477663230240551E-2</v>
      </c>
      <c r="L191" s="11" t="s">
        <v>464</v>
      </c>
      <c r="M191" s="15">
        <v>11</v>
      </c>
      <c r="N191" s="35" t="s">
        <v>25</v>
      </c>
      <c r="O191" s="15">
        <v>2</v>
      </c>
      <c r="P191" s="35" t="s">
        <v>457</v>
      </c>
      <c r="Q191" s="15"/>
      <c r="R191" s="15"/>
      <c r="S191" s="15"/>
      <c r="T191" s="15"/>
      <c r="U191" s="15"/>
      <c r="V191" s="15"/>
    </row>
    <row r="192" spans="3:22" x14ac:dyDescent="0.25">
      <c r="C192" s="39">
        <v>2015</v>
      </c>
      <c r="D192" s="15" t="s">
        <v>45</v>
      </c>
      <c r="E192" s="24" t="s">
        <v>46</v>
      </c>
      <c r="F192" s="25">
        <v>42145</v>
      </c>
      <c r="G192" s="46" t="s">
        <v>34</v>
      </c>
      <c r="H192" s="27">
        <v>6400000</v>
      </c>
      <c r="I192" s="27">
        <v>5777000</v>
      </c>
      <c r="J192" s="27"/>
      <c r="K192" s="26">
        <v>-9.7343750000000007E-2</v>
      </c>
      <c r="L192" s="11" t="s">
        <v>464</v>
      </c>
      <c r="M192" s="15">
        <v>7</v>
      </c>
      <c r="N192" s="11" t="s">
        <v>25</v>
      </c>
      <c r="O192" s="15">
        <v>2</v>
      </c>
      <c r="P192" s="35" t="s">
        <v>457</v>
      </c>
    </row>
    <row r="193" spans="3:28" x14ac:dyDescent="0.25">
      <c r="C193" s="39">
        <v>2015</v>
      </c>
      <c r="D193" s="15" t="s">
        <v>388</v>
      </c>
      <c r="E193" s="24" t="s">
        <v>389</v>
      </c>
      <c r="F193" s="25">
        <v>42072</v>
      </c>
      <c r="G193" s="46" t="s">
        <v>34</v>
      </c>
      <c r="H193" s="27">
        <v>9600000</v>
      </c>
      <c r="I193" s="27">
        <v>6748000</v>
      </c>
      <c r="J193" s="27"/>
      <c r="K193" s="26">
        <v>-0.29708333333333331</v>
      </c>
      <c r="L193" s="11" t="s">
        <v>464</v>
      </c>
      <c r="M193" s="15">
        <v>12</v>
      </c>
      <c r="N193" s="11" t="s">
        <v>25</v>
      </c>
      <c r="O193" s="15">
        <v>1</v>
      </c>
      <c r="P193" s="35" t="s">
        <v>457</v>
      </c>
    </row>
    <row r="194" spans="3:28" x14ac:dyDescent="0.25">
      <c r="C194" s="39">
        <v>2015</v>
      </c>
      <c r="D194" s="15" t="s">
        <v>188</v>
      </c>
      <c r="E194" s="24" t="s">
        <v>189</v>
      </c>
      <c r="F194" s="25">
        <v>42310</v>
      </c>
      <c r="G194" s="46" t="s">
        <v>190</v>
      </c>
      <c r="H194" s="27">
        <v>7055100</v>
      </c>
      <c r="I194" s="27">
        <v>5774440</v>
      </c>
      <c r="J194" s="27"/>
      <c r="K194" s="26">
        <v>-0.18152258649771089</v>
      </c>
      <c r="L194" s="11" t="s">
        <v>465</v>
      </c>
      <c r="M194" s="15">
        <v>3</v>
      </c>
      <c r="N194" s="35" t="s">
        <v>25</v>
      </c>
      <c r="O194" s="15">
        <v>4</v>
      </c>
      <c r="P194" s="35" t="s">
        <v>458</v>
      </c>
      <c r="Q194" s="15"/>
      <c r="R194" s="24"/>
      <c r="S194" s="15"/>
      <c r="T194" s="15"/>
      <c r="U194" s="15"/>
      <c r="V194" s="15"/>
    </row>
    <row r="195" spans="3:28" x14ac:dyDescent="0.25">
      <c r="C195" s="39">
        <v>2015</v>
      </c>
      <c r="D195" s="15" t="s">
        <v>151</v>
      </c>
      <c r="E195" s="24" t="s">
        <v>152</v>
      </c>
      <c r="F195" s="25">
        <v>42268</v>
      </c>
      <c r="G195" s="46" t="s">
        <v>34</v>
      </c>
      <c r="H195" s="27">
        <v>7900000</v>
      </c>
      <c r="I195" s="27">
        <v>6769800</v>
      </c>
      <c r="J195" s="27"/>
      <c r="K195" s="26">
        <v>-0.14306329113924052</v>
      </c>
      <c r="L195" s="11" t="s">
        <v>464</v>
      </c>
      <c r="M195" s="15">
        <v>18</v>
      </c>
      <c r="N195" s="35" t="s">
        <v>93</v>
      </c>
      <c r="O195" s="15">
        <v>3</v>
      </c>
      <c r="P195" s="35" t="s">
        <v>458</v>
      </c>
      <c r="Q195" s="15"/>
      <c r="R195" s="24"/>
      <c r="S195" s="15"/>
      <c r="T195" s="15"/>
      <c r="U195" s="15"/>
      <c r="V195" s="15"/>
    </row>
    <row r="196" spans="3:28" x14ac:dyDescent="0.25">
      <c r="C196" s="39">
        <v>2015</v>
      </c>
      <c r="D196" s="15" t="s">
        <v>410</v>
      </c>
      <c r="E196" s="24" t="s">
        <v>411</v>
      </c>
      <c r="F196" s="25">
        <v>42057</v>
      </c>
      <c r="G196" s="46" t="s">
        <v>190</v>
      </c>
      <c r="H196" s="27">
        <v>9700000</v>
      </c>
      <c r="I196" s="27">
        <v>8742268</v>
      </c>
      <c r="J196" s="27"/>
      <c r="K196" s="26">
        <v>-9.8735257731958764E-2</v>
      </c>
      <c r="L196" s="11" t="s">
        <v>464</v>
      </c>
      <c r="M196" s="15">
        <v>3</v>
      </c>
      <c r="N196" s="11" t="s">
        <v>93</v>
      </c>
      <c r="O196" s="15">
        <v>1</v>
      </c>
      <c r="P196" s="35" t="s">
        <v>458</v>
      </c>
    </row>
    <row r="197" spans="3:28" x14ac:dyDescent="0.25">
      <c r="C197" s="39">
        <v>2015</v>
      </c>
      <c r="D197" s="15" t="s">
        <v>414</v>
      </c>
      <c r="E197" s="24" t="s">
        <v>415</v>
      </c>
      <c r="F197" s="25">
        <v>42038</v>
      </c>
      <c r="G197" s="46" t="s">
        <v>190</v>
      </c>
      <c r="H197" s="27">
        <v>25770000</v>
      </c>
      <c r="I197" s="27">
        <v>28747550</v>
      </c>
      <c r="J197" s="27"/>
      <c r="K197" s="26">
        <v>0.11554326736515327</v>
      </c>
      <c r="L197" s="11" t="s">
        <v>465</v>
      </c>
      <c r="M197" s="15">
        <v>3</v>
      </c>
      <c r="N197" s="11" t="s">
        <v>93</v>
      </c>
      <c r="O197" s="15">
        <v>1</v>
      </c>
      <c r="P197" s="35" t="s">
        <v>458</v>
      </c>
    </row>
    <row r="198" spans="3:28" x14ac:dyDescent="0.25">
      <c r="C198" s="39"/>
    </row>
    <row r="199" spans="3:28" ht="18" customHeight="1" x14ac:dyDescent="0.25">
      <c r="C199" s="39"/>
      <c r="D199" s="15" t="s">
        <v>589</v>
      </c>
      <c r="E199" s="24"/>
      <c r="F199" s="25"/>
      <c r="G199" s="46"/>
      <c r="H199" s="27"/>
      <c r="I199" s="27"/>
      <c r="J199" s="27"/>
      <c r="K199" s="26"/>
      <c r="L199" s="11"/>
      <c r="M199" s="15"/>
      <c r="P199" s="11"/>
    </row>
    <row r="200" spans="3:28" ht="8.25" customHeight="1" x14ac:dyDescent="0.25">
      <c r="C200" s="39"/>
      <c r="D200" s="15"/>
      <c r="E200" s="24"/>
      <c r="F200" s="25"/>
      <c r="G200" s="46"/>
      <c r="H200" s="27"/>
      <c r="I200" s="27"/>
      <c r="J200" s="27"/>
      <c r="K200" s="26"/>
      <c r="L200" s="11"/>
      <c r="M200" s="15"/>
      <c r="P200" s="11"/>
    </row>
    <row r="201" spans="3:28" x14ac:dyDescent="0.25">
      <c r="C201" s="39">
        <v>2015</v>
      </c>
      <c r="D201" s="15" t="s">
        <v>434</v>
      </c>
      <c r="E201" s="24" t="s">
        <v>436</v>
      </c>
      <c r="F201" s="25">
        <v>42342</v>
      </c>
      <c r="G201" s="46" t="s">
        <v>190</v>
      </c>
      <c r="H201" s="27">
        <v>2000000</v>
      </c>
      <c r="I201" s="27">
        <v>2092850</v>
      </c>
      <c r="J201" s="27"/>
      <c r="K201" s="26">
        <v>4.6425000000000001E-2</v>
      </c>
      <c r="L201" s="11" t="s">
        <v>464</v>
      </c>
      <c r="M201" s="15">
        <v>4</v>
      </c>
      <c r="N201" s="35" t="s">
        <v>93</v>
      </c>
      <c r="O201" s="15">
        <v>4</v>
      </c>
      <c r="P201" s="35" t="s">
        <v>457</v>
      </c>
      <c r="Q201" s="15"/>
      <c r="R201" s="24"/>
      <c r="S201" s="15" t="s">
        <v>435</v>
      </c>
      <c r="T201" s="15" t="s">
        <v>434</v>
      </c>
      <c r="U201" s="15"/>
      <c r="V201" s="54">
        <v>2000000</v>
      </c>
      <c r="W201" s="54">
        <v>2092850</v>
      </c>
      <c r="X201" s="54">
        <v>-92850</v>
      </c>
    </row>
    <row r="202" spans="3:28" x14ac:dyDescent="0.25">
      <c r="C202" s="39">
        <v>2015</v>
      </c>
      <c r="D202" s="15" t="s">
        <v>96</v>
      </c>
      <c r="E202" s="24" t="s">
        <v>97</v>
      </c>
      <c r="F202" s="25">
        <v>42304</v>
      </c>
      <c r="G202" s="46" t="s">
        <v>34</v>
      </c>
      <c r="H202" s="27">
        <v>2420000</v>
      </c>
      <c r="I202" s="27">
        <v>4137000</v>
      </c>
      <c r="J202" s="27"/>
      <c r="K202" s="26">
        <v>0.70950413223140496</v>
      </c>
      <c r="L202" s="11" t="s">
        <v>465</v>
      </c>
      <c r="M202" s="15">
        <v>2</v>
      </c>
      <c r="N202" s="35" t="s">
        <v>93</v>
      </c>
      <c r="O202" s="15">
        <v>4</v>
      </c>
      <c r="P202" s="35" t="s">
        <v>459</v>
      </c>
      <c r="Q202" s="15"/>
      <c r="R202" s="11"/>
      <c r="S202" s="15"/>
      <c r="T202" s="15" t="s">
        <v>96</v>
      </c>
      <c r="U202" s="15"/>
      <c r="V202" s="54">
        <v>2420000</v>
      </c>
      <c r="W202" s="54">
        <v>4137000</v>
      </c>
      <c r="X202" s="54">
        <v>-1717000</v>
      </c>
    </row>
    <row r="203" spans="3:28" x14ac:dyDescent="0.25">
      <c r="C203" s="39">
        <v>2015</v>
      </c>
      <c r="D203" s="15" t="s">
        <v>106</v>
      </c>
      <c r="E203" s="24" t="s">
        <v>107</v>
      </c>
      <c r="F203" s="25">
        <v>42292</v>
      </c>
      <c r="G203" s="46" t="s">
        <v>34</v>
      </c>
      <c r="H203" s="27">
        <v>3650000</v>
      </c>
      <c r="I203" s="27">
        <v>3270000</v>
      </c>
      <c r="J203" s="27"/>
      <c r="K203" s="26">
        <v>-0.10410958904109589</v>
      </c>
      <c r="L203" s="11" t="s">
        <v>464</v>
      </c>
      <c r="M203" s="15">
        <v>6</v>
      </c>
      <c r="N203" s="35" t="s">
        <v>25</v>
      </c>
      <c r="O203" s="15">
        <v>4</v>
      </c>
      <c r="P203" s="35" t="s">
        <v>458</v>
      </c>
      <c r="Q203" s="15"/>
      <c r="R203" s="24"/>
      <c r="S203" s="15"/>
      <c r="T203" s="15" t="s">
        <v>106</v>
      </c>
      <c r="U203" s="15"/>
      <c r="V203" s="54">
        <v>3650000</v>
      </c>
      <c r="W203" s="54">
        <v>3270000</v>
      </c>
      <c r="X203" s="54">
        <v>380000</v>
      </c>
    </row>
    <row r="204" spans="3:28" x14ac:dyDescent="0.25">
      <c r="C204" s="39">
        <v>2015</v>
      </c>
      <c r="D204" s="15" t="s">
        <v>309</v>
      </c>
      <c r="E204" s="24" t="s">
        <v>310</v>
      </c>
      <c r="F204" s="25">
        <v>42144</v>
      </c>
      <c r="G204" s="46" t="s">
        <v>34</v>
      </c>
      <c r="H204" s="27">
        <v>3340000</v>
      </c>
      <c r="I204" s="27">
        <v>4538160</v>
      </c>
      <c r="J204" s="27"/>
      <c r="K204" s="26">
        <v>0.35873053892215567</v>
      </c>
      <c r="L204" s="11" t="s">
        <v>465</v>
      </c>
      <c r="M204" s="15">
        <v>3</v>
      </c>
      <c r="N204" s="11" t="s">
        <v>25</v>
      </c>
      <c r="O204" s="15">
        <v>2</v>
      </c>
      <c r="P204" s="35" t="s">
        <v>459</v>
      </c>
      <c r="T204" s="15" t="s">
        <v>309</v>
      </c>
      <c r="V204" s="54">
        <v>3340000</v>
      </c>
      <c r="W204" s="54">
        <v>4538160</v>
      </c>
      <c r="X204" s="54">
        <v>-1198160</v>
      </c>
    </row>
    <row r="205" spans="3:28" x14ac:dyDescent="0.25">
      <c r="C205" s="39">
        <v>2015</v>
      </c>
      <c r="D205" s="15" t="s">
        <v>344</v>
      </c>
      <c r="E205" s="24" t="s">
        <v>345</v>
      </c>
      <c r="F205" s="25">
        <v>42104</v>
      </c>
      <c r="G205" s="46" t="s">
        <v>34</v>
      </c>
      <c r="H205" s="27">
        <v>3760000</v>
      </c>
      <c r="I205" s="27">
        <v>2999293</v>
      </c>
      <c r="J205" s="27"/>
      <c r="K205" s="26">
        <v>-0.20231569148936171</v>
      </c>
      <c r="L205" s="11" t="s">
        <v>464</v>
      </c>
      <c r="M205" s="15">
        <v>10</v>
      </c>
      <c r="N205" s="11" t="s">
        <v>93</v>
      </c>
      <c r="O205" s="15">
        <v>2</v>
      </c>
      <c r="P205" s="35" t="s">
        <v>458</v>
      </c>
      <c r="T205" s="15" t="s">
        <v>344</v>
      </c>
      <c r="V205" s="54">
        <v>3760000</v>
      </c>
      <c r="W205" s="54">
        <v>2999293</v>
      </c>
      <c r="X205" s="54">
        <v>760707</v>
      </c>
    </row>
    <row r="206" spans="3:28" x14ac:dyDescent="0.25">
      <c r="C206" s="39">
        <v>2015</v>
      </c>
      <c r="D206" s="15" t="s">
        <v>368</v>
      </c>
      <c r="E206" s="24" t="s">
        <v>369</v>
      </c>
      <c r="F206" s="25">
        <v>42102</v>
      </c>
      <c r="G206" s="46" t="s">
        <v>34</v>
      </c>
      <c r="H206" s="27">
        <v>4900000</v>
      </c>
      <c r="I206" s="27">
        <v>3388390</v>
      </c>
      <c r="J206" s="27"/>
      <c r="K206" s="26">
        <v>-0.30849183673469388</v>
      </c>
      <c r="L206" s="11" t="s">
        <v>465</v>
      </c>
      <c r="M206" s="15">
        <v>9</v>
      </c>
      <c r="N206" s="11" t="s">
        <v>93</v>
      </c>
      <c r="O206" s="15">
        <v>2</v>
      </c>
      <c r="P206" s="35" t="s">
        <v>458</v>
      </c>
      <c r="T206" s="15" t="s">
        <v>368</v>
      </c>
      <c r="V206" s="54">
        <v>4900000</v>
      </c>
      <c r="W206" s="54">
        <v>3388390</v>
      </c>
      <c r="X206" s="54">
        <v>1511610</v>
      </c>
    </row>
    <row r="207" spans="3:28" x14ac:dyDescent="0.25">
      <c r="C207" s="39">
        <v>2015</v>
      </c>
      <c r="D207" s="15" t="s">
        <v>383</v>
      </c>
      <c r="E207" s="24" t="s">
        <v>384</v>
      </c>
      <c r="F207" s="25">
        <v>42080</v>
      </c>
      <c r="G207" s="46" t="s">
        <v>190</v>
      </c>
      <c r="H207" s="27">
        <v>4450000</v>
      </c>
      <c r="I207" s="27">
        <v>3620000</v>
      </c>
      <c r="J207" s="27"/>
      <c r="K207" s="26">
        <v>-0.18651685393258427</v>
      </c>
      <c r="L207" s="11" t="s">
        <v>464</v>
      </c>
      <c r="M207" s="15">
        <v>3</v>
      </c>
      <c r="O207" s="15">
        <v>1</v>
      </c>
      <c r="P207" s="35" t="s">
        <v>459</v>
      </c>
      <c r="T207" s="15" t="s">
        <v>383</v>
      </c>
      <c r="V207" s="54">
        <v>4450000</v>
      </c>
      <c r="W207" s="54">
        <v>3620000</v>
      </c>
      <c r="X207" s="54">
        <v>830000</v>
      </c>
      <c r="Z207" s="4">
        <v>50160000</v>
      </c>
      <c r="AA207" s="4">
        <v>48431818</v>
      </c>
      <c r="AB207" s="7">
        <v>1.0356827819265426</v>
      </c>
    </row>
    <row r="208" spans="3:28" x14ac:dyDescent="0.25">
      <c r="C208" s="39"/>
    </row>
    <row r="209" spans="3:3" x14ac:dyDescent="0.25">
      <c r="C209" s="39"/>
    </row>
    <row r="210" spans="3:3" x14ac:dyDescent="0.25">
      <c r="C210" s="39"/>
    </row>
    <row r="211" spans="3:3" x14ac:dyDescent="0.25">
      <c r="C211" s="39"/>
    </row>
    <row r="212" spans="3:3" x14ac:dyDescent="0.25">
      <c r="C212" s="39"/>
    </row>
    <row r="213" spans="3:3" x14ac:dyDescent="0.25">
      <c r="C213" s="39"/>
    </row>
    <row r="214" spans="3:3" x14ac:dyDescent="0.25">
      <c r="C214" s="39"/>
    </row>
    <row r="215" spans="3:3" x14ac:dyDescent="0.25">
      <c r="C215" s="39"/>
    </row>
    <row r="216" spans="3:3" x14ac:dyDescent="0.25">
      <c r="C216" s="39"/>
    </row>
    <row r="217" spans="3:3" x14ac:dyDescent="0.25">
      <c r="C217" s="39"/>
    </row>
    <row r="218" spans="3:3" x14ac:dyDescent="0.25">
      <c r="C218" s="39"/>
    </row>
    <row r="219" spans="3:3" x14ac:dyDescent="0.25">
      <c r="C219" s="39"/>
    </row>
    <row r="220" spans="3:3" x14ac:dyDescent="0.25">
      <c r="C220" s="39"/>
    </row>
    <row r="221" spans="3:3" x14ac:dyDescent="0.25">
      <c r="C221" s="39"/>
    </row>
    <row r="222" spans="3:3" x14ac:dyDescent="0.25">
      <c r="C222" s="39"/>
    </row>
    <row r="223" spans="3:3" x14ac:dyDescent="0.25">
      <c r="C223" s="39"/>
    </row>
    <row r="224" spans="3:3" x14ac:dyDescent="0.25">
      <c r="C224" s="39"/>
    </row>
    <row r="225" spans="3:3" x14ac:dyDescent="0.25">
      <c r="C225" s="39"/>
    </row>
    <row r="226" spans="3:3" x14ac:dyDescent="0.25">
      <c r="C226" s="39"/>
    </row>
    <row r="227" spans="3:3" x14ac:dyDescent="0.25">
      <c r="C227" s="39"/>
    </row>
    <row r="228" spans="3:3" x14ac:dyDescent="0.25">
      <c r="C228" s="39"/>
    </row>
    <row r="229" spans="3:3" x14ac:dyDescent="0.25">
      <c r="C229" s="39"/>
    </row>
    <row r="230" spans="3:3" x14ac:dyDescent="0.25">
      <c r="C230" s="39"/>
    </row>
    <row r="231" spans="3:3" x14ac:dyDescent="0.25">
      <c r="C231" s="39"/>
    </row>
    <row r="232" spans="3:3" x14ac:dyDescent="0.25">
      <c r="C232" s="39"/>
    </row>
    <row r="233" spans="3:3" x14ac:dyDescent="0.25">
      <c r="C233" s="39"/>
    </row>
    <row r="234" spans="3:3" x14ac:dyDescent="0.25">
      <c r="C234" s="39"/>
    </row>
    <row r="235" spans="3:3" x14ac:dyDescent="0.25">
      <c r="C235" s="39"/>
    </row>
    <row r="236" spans="3:3" x14ac:dyDescent="0.25">
      <c r="C236" s="39"/>
    </row>
    <row r="237" spans="3:3" x14ac:dyDescent="0.25">
      <c r="C237" s="39"/>
    </row>
    <row r="238" spans="3:3" x14ac:dyDescent="0.25">
      <c r="C238" s="39"/>
    </row>
    <row r="239" spans="3:3" x14ac:dyDescent="0.25">
      <c r="C239" s="39"/>
    </row>
    <row r="240" spans="3:3" x14ac:dyDescent="0.25">
      <c r="C240" s="39"/>
    </row>
    <row r="241" spans="3:3" x14ac:dyDescent="0.25">
      <c r="C241" s="39"/>
    </row>
    <row r="242" spans="3:3" x14ac:dyDescent="0.25">
      <c r="C242" s="39"/>
    </row>
    <row r="243" spans="3:3" x14ac:dyDescent="0.25">
      <c r="C243" s="39"/>
    </row>
    <row r="244" spans="3:3" x14ac:dyDescent="0.25">
      <c r="C244" s="39"/>
    </row>
    <row r="245" spans="3:3" x14ac:dyDescent="0.25">
      <c r="C245" s="39"/>
    </row>
    <row r="246" spans="3:3" x14ac:dyDescent="0.25">
      <c r="C246" s="39"/>
    </row>
    <row r="247" spans="3:3" x14ac:dyDescent="0.25">
      <c r="C247" s="39"/>
    </row>
    <row r="248" spans="3:3" x14ac:dyDescent="0.25">
      <c r="C248" s="39"/>
    </row>
    <row r="249" spans="3:3" x14ac:dyDescent="0.25">
      <c r="C249" s="39"/>
    </row>
    <row r="250" spans="3:3" x14ac:dyDescent="0.25">
      <c r="C250" s="39"/>
    </row>
    <row r="251" spans="3:3" x14ac:dyDescent="0.25">
      <c r="C251" s="39"/>
    </row>
    <row r="252" spans="3:3" x14ac:dyDescent="0.25">
      <c r="C252" s="39"/>
    </row>
    <row r="253" spans="3:3" x14ac:dyDescent="0.25">
      <c r="C253" s="39"/>
    </row>
    <row r="254" spans="3:3" x14ac:dyDescent="0.25">
      <c r="C254" s="39"/>
    </row>
    <row r="255" spans="3:3" x14ac:dyDescent="0.25">
      <c r="C255" s="39"/>
    </row>
    <row r="256" spans="3:3" x14ac:dyDescent="0.25">
      <c r="C256" s="39"/>
    </row>
    <row r="257" spans="3:3" x14ac:dyDescent="0.25">
      <c r="C257" s="39"/>
    </row>
    <row r="258" spans="3:3" x14ac:dyDescent="0.25">
      <c r="C258" s="39"/>
    </row>
    <row r="259" spans="3:3" x14ac:dyDescent="0.25">
      <c r="C259" s="39"/>
    </row>
    <row r="260" spans="3:3" x14ac:dyDescent="0.25">
      <c r="C260" s="39"/>
    </row>
    <row r="261" spans="3:3" x14ac:dyDescent="0.25">
      <c r="C261" s="39"/>
    </row>
    <row r="262" spans="3:3" x14ac:dyDescent="0.25">
      <c r="C262" s="39"/>
    </row>
    <row r="263" spans="3:3" x14ac:dyDescent="0.25">
      <c r="C263" s="39"/>
    </row>
    <row r="264" spans="3:3" x14ac:dyDescent="0.25">
      <c r="C264" s="39"/>
    </row>
    <row r="265" spans="3:3" x14ac:dyDescent="0.25">
      <c r="C265" s="39"/>
    </row>
    <row r="266" spans="3:3" x14ac:dyDescent="0.25">
      <c r="C266" s="39"/>
    </row>
    <row r="267" spans="3:3" x14ac:dyDescent="0.25">
      <c r="C267" s="39"/>
    </row>
    <row r="268" spans="3:3" x14ac:dyDescent="0.25">
      <c r="C268" s="39"/>
    </row>
    <row r="269" spans="3:3" x14ac:dyDescent="0.25">
      <c r="C269" s="39"/>
    </row>
    <row r="270" spans="3:3" x14ac:dyDescent="0.25">
      <c r="C270" s="39"/>
    </row>
    <row r="271" spans="3:3" x14ac:dyDescent="0.25">
      <c r="C271" s="39"/>
    </row>
    <row r="272" spans="3:3" x14ac:dyDescent="0.25">
      <c r="C272" s="39"/>
    </row>
    <row r="273" spans="3:3" x14ac:dyDescent="0.25">
      <c r="C273" s="39"/>
    </row>
    <row r="274" spans="3:3" x14ac:dyDescent="0.25">
      <c r="C274" s="39"/>
    </row>
    <row r="275" spans="3:3" x14ac:dyDescent="0.25">
      <c r="C275" s="39"/>
    </row>
    <row r="276" spans="3:3" x14ac:dyDescent="0.25">
      <c r="C276" s="39"/>
    </row>
    <row r="277" spans="3:3" x14ac:dyDescent="0.25">
      <c r="C277" s="39"/>
    </row>
    <row r="278" spans="3:3" x14ac:dyDescent="0.25">
      <c r="C278" s="39"/>
    </row>
    <row r="279" spans="3:3" x14ac:dyDescent="0.25">
      <c r="C279" s="39"/>
    </row>
    <row r="280" spans="3:3" x14ac:dyDescent="0.25">
      <c r="C280" s="39"/>
    </row>
    <row r="281" spans="3:3" x14ac:dyDescent="0.25">
      <c r="C281" s="39"/>
    </row>
    <row r="282" spans="3:3" x14ac:dyDescent="0.25">
      <c r="C282" s="39"/>
    </row>
    <row r="283" spans="3:3" x14ac:dyDescent="0.25">
      <c r="C283" s="39"/>
    </row>
    <row r="284" spans="3:3" x14ac:dyDescent="0.25">
      <c r="C284" s="39"/>
    </row>
    <row r="285" spans="3:3" x14ac:dyDescent="0.25">
      <c r="C285" s="39"/>
    </row>
    <row r="286" spans="3:3" x14ac:dyDescent="0.25">
      <c r="C286" s="39"/>
    </row>
    <row r="287" spans="3:3" x14ac:dyDescent="0.25">
      <c r="C287" s="39"/>
    </row>
    <row r="288" spans="3:3" x14ac:dyDescent="0.25">
      <c r="C288" s="39"/>
    </row>
    <row r="289" spans="3:3" x14ac:dyDescent="0.25">
      <c r="C289" s="39"/>
    </row>
    <row r="290" spans="3:3" x14ac:dyDescent="0.25">
      <c r="C290" s="39"/>
    </row>
    <row r="291" spans="3:3" x14ac:dyDescent="0.25">
      <c r="C291" s="39"/>
    </row>
    <row r="292" spans="3:3" x14ac:dyDescent="0.25">
      <c r="C292" s="39"/>
    </row>
    <row r="293" spans="3:3" x14ac:dyDescent="0.25">
      <c r="C293" s="39"/>
    </row>
    <row r="294" spans="3:3" x14ac:dyDescent="0.25">
      <c r="C294" s="39"/>
    </row>
    <row r="295" spans="3:3" x14ac:dyDescent="0.25">
      <c r="C295" s="39"/>
    </row>
    <row r="296" spans="3:3" x14ac:dyDescent="0.25">
      <c r="C296" s="39"/>
    </row>
    <row r="297" spans="3:3" x14ac:dyDescent="0.25">
      <c r="C297" s="39"/>
    </row>
    <row r="298" spans="3:3" x14ac:dyDescent="0.25">
      <c r="C298" s="39"/>
    </row>
    <row r="299" spans="3:3" x14ac:dyDescent="0.25">
      <c r="C299" s="39"/>
    </row>
    <row r="300" spans="3:3" x14ac:dyDescent="0.25">
      <c r="C300" s="39"/>
    </row>
    <row r="301" spans="3:3" x14ac:dyDescent="0.25">
      <c r="C301" s="39"/>
    </row>
    <row r="302" spans="3:3" x14ac:dyDescent="0.25">
      <c r="C302" s="39"/>
    </row>
    <row r="303" spans="3:3" x14ac:dyDescent="0.25">
      <c r="C303" s="39"/>
    </row>
    <row r="304" spans="3:3" x14ac:dyDescent="0.25">
      <c r="C304" s="39"/>
    </row>
    <row r="305" spans="3:3" x14ac:dyDescent="0.25">
      <c r="C305" s="39"/>
    </row>
    <row r="306" spans="3:3" x14ac:dyDescent="0.25">
      <c r="C306" s="39"/>
    </row>
    <row r="307" spans="3:3" x14ac:dyDescent="0.25">
      <c r="C307" s="39"/>
    </row>
    <row r="308" spans="3:3" x14ac:dyDescent="0.25">
      <c r="C308" s="39"/>
    </row>
    <row r="309" spans="3:3" x14ac:dyDescent="0.25">
      <c r="C309" s="39"/>
    </row>
    <row r="310" spans="3:3" x14ac:dyDescent="0.25">
      <c r="C310" s="39"/>
    </row>
    <row r="311" spans="3:3" x14ac:dyDescent="0.25">
      <c r="C311" s="39"/>
    </row>
    <row r="312" spans="3:3" x14ac:dyDescent="0.25">
      <c r="C312" s="39"/>
    </row>
    <row r="313" spans="3:3" x14ac:dyDescent="0.25">
      <c r="C313" s="39"/>
    </row>
    <row r="314" spans="3:3" x14ac:dyDescent="0.25">
      <c r="C314" s="39"/>
    </row>
    <row r="315" spans="3:3" x14ac:dyDescent="0.25">
      <c r="C315" s="39"/>
    </row>
    <row r="316" spans="3:3" x14ac:dyDescent="0.25">
      <c r="C316" s="39"/>
    </row>
    <row r="317" spans="3:3" x14ac:dyDescent="0.25">
      <c r="C317" s="39"/>
    </row>
    <row r="318" spans="3:3" x14ac:dyDescent="0.25">
      <c r="C318" s="39"/>
    </row>
    <row r="319" spans="3:3" x14ac:dyDescent="0.25">
      <c r="C319" s="39"/>
    </row>
    <row r="320" spans="3:3" x14ac:dyDescent="0.25">
      <c r="C320" s="39"/>
    </row>
    <row r="321" spans="3:3" x14ac:dyDescent="0.25">
      <c r="C321" s="39"/>
    </row>
    <row r="322" spans="3:3" x14ac:dyDescent="0.25">
      <c r="C322" s="39"/>
    </row>
    <row r="323" spans="3:3" x14ac:dyDescent="0.25">
      <c r="C323" s="39"/>
    </row>
    <row r="324" spans="3:3" x14ac:dyDescent="0.25">
      <c r="C324" s="39"/>
    </row>
    <row r="325" spans="3:3" x14ac:dyDescent="0.25">
      <c r="C325" s="39"/>
    </row>
    <row r="326" spans="3:3" x14ac:dyDescent="0.25">
      <c r="C326" s="39"/>
    </row>
    <row r="327" spans="3:3" x14ac:dyDescent="0.25">
      <c r="C327" s="39"/>
    </row>
    <row r="328" spans="3:3" x14ac:dyDescent="0.25">
      <c r="C328" s="39"/>
    </row>
    <row r="329" spans="3:3" x14ac:dyDescent="0.25">
      <c r="C329" s="39"/>
    </row>
    <row r="330" spans="3:3" x14ac:dyDescent="0.25">
      <c r="C330" s="39"/>
    </row>
    <row r="331" spans="3:3" x14ac:dyDescent="0.25">
      <c r="C331" s="39"/>
    </row>
    <row r="332" spans="3:3" x14ac:dyDescent="0.25">
      <c r="C332" s="39"/>
    </row>
    <row r="333" spans="3:3" x14ac:dyDescent="0.25">
      <c r="C333" s="39"/>
    </row>
    <row r="334" spans="3:3" x14ac:dyDescent="0.25">
      <c r="C334" s="39"/>
    </row>
    <row r="335" spans="3:3" x14ac:dyDescent="0.25">
      <c r="C335" s="39"/>
    </row>
    <row r="336" spans="3:3" x14ac:dyDescent="0.25">
      <c r="C336" s="39"/>
    </row>
    <row r="337" spans="3:3" x14ac:dyDescent="0.25">
      <c r="C337" s="39"/>
    </row>
    <row r="338" spans="3:3" x14ac:dyDescent="0.25">
      <c r="C338" s="39"/>
    </row>
    <row r="339" spans="3:3" x14ac:dyDescent="0.25">
      <c r="C339" s="39"/>
    </row>
    <row r="340" spans="3:3" x14ac:dyDescent="0.25">
      <c r="C340" s="39"/>
    </row>
    <row r="341" spans="3:3" x14ac:dyDescent="0.25">
      <c r="C341" s="39"/>
    </row>
    <row r="342" spans="3:3" x14ac:dyDescent="0.25">
      <c r="C342" s="39"/>
    </row>
    <row r="343" spans="3:3" x14ac:dyDescent="0.25">
      <c r="C343" s="39"/>
    </row>
    <row r="344" spans="3:3" x14ac:dyDescent="0.25">
      <c r="C344" s="39"/>
    </row>
    <row r="345" spans="3:3" x14ac:dyDescent="0.25">
      <c r="C345" s="39"/>
    </row>
    <row r="346" spans="3:3" x14ac:dyDescent="0.25">
      <c r="C346" s="39"/>
    </row>
    <row r="347" spans="3:3" x14ac:dyDescent="0.25">
      <c r="C347" s="39"/>
    </row>
    <row r="348" spans="3:3" x14ac:dyDescent="0.25">
      <c r="C348" s="39"/>
    </row>
    <row r="349" spans="3:3" x14ac:dyDescent="0.25">
      <c r="C349" s="39"/>
    </row>
    <row r="350" spans="3:3" x14ac:dyDescent="0.25">
      <c r="C350" s="39"/>
    </row>
    <row r="351" spans="3:3" x14ac:dyDescent="0.25">
      <c r="C351" s="39"/>
    </row>
    <row r="352" spans="3:3" x14ac:dyDescent="0.25">
      <c r="C352" s="39"/>
    </row>
    <row r="353" spans="3:3" x14ac:dyDescent="0.25">
      <c r="C353" s="39"/>
    </row>
    <row r="354" spans="3:3" x14ac:dyDescent="0.25">
      <c r="C354" s="39"/>
    </row>
    <row r="355" spans="3:3" x14ac:dyDescent="0.25">
      <c r="C355" s="39"/>
    </row>
    <row r="356" spans="3:3" x14ac:dyDescent="0.25">
      <c r="C356" s="39"/>
    </row>
    <row r="357" spans="3:3" x14ac:dyDescent="0.25">
      <c r="C357" s="39"/>
    </row>
    <row r="358" spans="3:3" x14ac:dyDescent="0.25">
      <c r="C358" s="39"/>
    </row>
    <row r="359" spans="3:3" x14ac:dyDescent="0.25">
      <c r="C359" s="39"/>
    </row>
    <row r="360" spans="3:3" x14ac:dyDescent="0.25">
      <c r="C360" s="39"/>
    </row>
    <row r="361" spans="3:3" x14ac:dyDescent="0.25">
      <c r="C361" s="39"/>
    </row>
    <row r="362" spans="3:3" x14ac:dyDescent="0.25">
      <c r="C362" s="39"/>
    </row>
    <row r="363" spans="3:3" x14ac:dyDescent="0.25">
      <c r="C363" s="39"/>
    </row>
    <row r="364" spans="3:3" x14ac:dyDescent="0.25">
      <c r="C364" s="39"/>
    </row>
    <row r="365" spans="3:3" x14ac:dyDescent="0.25">
      <c r="C365" s="39"/>
    </row>
    <row r="366" spans="3:3" x14ac:dyDescent="0.25">
      <c r="C366" s="39"/>
    </row>
    <row r="367" spans="3:3" x14ac:dyDescent="0.25">
      <c r="C367" s="39"/>
    </row>
    <row r="368" spans="3:3" x14ac:dyDescent="0.25">
      <c r="C368" s="39"/>
    </row>
    <row r="369" spans="3:3" x14ac:dyDescent="0.25">
      <c r="C369" s="39"/>
    </row>
    <row r="370" spans="3:3" x14ac:dyDescent="0.25">
      <c r="C370" s="39"/>
    </row>
    <row r="371" spans="3:3" x14ac:dyDescent="0.25">
      <c r="C371" s="39"/>
    </row>
    <row r="372" spans="3:3" x14ac:dyDescent="0.25">
      <c r="C372" s="39"/>
    </row>
    <row r="373" spans="3:3" x14ac:dyDescent="0.25">
      <c r="C373" s="39"/>
    </row>
    <row r="374" spans="3:3" x14ac:dyDescent="0.25">
      <c r="C374" s="39"/>
    </row>
    <row r="375" spans="3:3" x14ac:dyDescent="0.25">
      <c r="C375" s="39"/>
    </row>
    <row r="376" spans="3:3" x14ac:dyDescent="0.25">
      <c r="C376" s="39"/>
    </row>
    <row r="377" spans="3:3" x14ac:dyDescent="0.25">
      <c r="C377" s="39"/>
    </row>
    <row r="378" spans="3:3" x14ac:dyDescent="0.25">
      <c r="C378" s="39"/>
    </row>
    <row r="379" spans="3:3" x14ac:dyDescent="0.25">
      <c r="C379" s="39"/>
    </row>
    <row r="380" spans="3:3" x14ac:dyDescent="0.25">
      <c r="C380" s="39"/>
    </row>
    <row r="381" spans="3:3" x14ac:dyDescent="0.25">
      <c r="C381" s="39"/>
    </row>
    <row r="382" spans="3:3" x14ac:dyDescent="0.25">
      <c r="C382" s="39"/>
    </row>
    <row r="383" spans="3:3" x14ac:dyDescent="0.25">
      <c r="C383" s="39"/>
    </row>
    <row r="384" spans="3:3" x14ac:dyDescent="0.25">
      <c r="C384" s="39"/>
    </row>
    <row r="385" spans="3:3" x14ac:dyDescent="0.25">
      <c r="C385" s="39"/>
    </row>
    <row r="386" spans="3:3" x14ac:dyDescent="0.25">
      <c r="C386" s="39"/>
    </row>
    <row r="387" spans="3:3" x14ac:dyDescent="0.25">
      <c r="C387" s="39"/>
    </row>
    <row r="388" spans="3:3" x14ac:dyDescent="0.25">
      <c r="C388" s="39"/>
    </row>
    <row r="389" spans="3:3" x14ac:dyDescent="0.25">
      <c r="C389" s="39"/>
    </row>
    <row r="390" spans="3:3" x14ac:dyDescent="0.25">
      <c r="C390" s="39"/>
    </row>
    <row r="391" spans="3:3" x14ac:dyDescent="0.25">
      <c r="C391" s="39"/>
    </row>
    <row r="392" spans="3:3" x14ac:dyDescent="0.25">
      <c r="C392" s="39"/>
    </row>
    <row r="393" spans="3:3" x14ac:dyDescent="0.25">
      <c r="C393" s="39"/>
    </row>
    <row r="394" spans="3:3" x14ac:dyDescent="0.25">
      <c r="C394" s="39"/>
    </row>
    <row r="395" spans="3:3" x14ac:dyDescent="0.25">
      <c r="C395" s="39"/>
    </row>
    <row r="396" spans="3:3" x14ac:dyDescent="0.25">
      <c r="C396" s="39"/>
    </row>
    <row r="397" spans="3:3" x14ac:dyDescent="0.25">
      <c r="C397" s="39"/>
    </row>
    <row r="398" spans="3:3" x14ac:dyDescent="0.25">
      <c r="C398" s="39"/>
    </row>
    <row r="399" spans="3:3" x14ac:dyDescent="0.25">
      <c r="C399" s="39"/>
    </row>
    <row r="400" spans="3:3" x14ac:dyDescent="0.25">
      <c r="C400" s="39"/>
    </row>
    <row r="401" spans="3:3" x14ac:dyDescent="0.25">
      <c r="C401" s="39"/>
    </row>
    <row r="402" spans="3:3" x14ac:dyDescent="0.25">
      <c r="C402" s="39"/>
    </row>
    <row r="403" spans="3:3" x14ac:dyDescent="0.25">
      <c r="C403" s="39"/>
    </row>
    <row r="404" spans="3:3" x14ac:dyDescent="0.25">
      <c r="C404" s="39"/>
    </row>
    <row r="405" spans="3:3" x14ac:dyDescent="0.25">
      <c r="C405" s="39"/>
    </row>
    <row r="406" spans="3:3" x14ac:dyDescent="0.25">
      <c r="C406" s="39"/>
    </row>
    <row r="407" spans="3:3" x14ac:dyDescent="0.25">
      <c r="C407" s="39"/>
    </row>
    <row r="408" spans="3:3" x14ac:dyDescent="0.25">
      <c r="C408" s="39"/>
    </row>
    <row r="409" spans="3:3" x14ac:dyDescent="0.25">
      <c r="C409" s="39"/>
    </row>
    <row r="410" spans="3:3" x14ac:dyDescent="0.25">
      <c r="C410" s="39"/>
    </row>
    <row r="411" spans="3:3" x14ac:dyDescent="0.25">
      <c r="C411" s="39"/>
    </row>
    <row r="412" spans="3:3" x14ac:dyDescent="0.25">
      <c r="C412" s="39"/>
    </row>
    <row r="413" spans="3:3" x14ac:dyDescent="0.25">
      <c r="C413" s="39"/>
    </row>
    <row r="414" spans="3:3" x14ac:dyDescent="0.25">
      <c r="C414" s="39"/>
    </row>
    <row r="415" spans="3:3" x14ac:dyDescent="0.25">
      <c r="C415" s="39"/>
    </row>
    <row r="416" spans="3:3" x14ac:dyDescent="0.25">
      <c r="C416" s="39"/>
    </row>
    <row r="417" spans="3:3" x14ac:dyDescent="0.25">
      <c r="C417" s="39"/>
    </row>
    <row r="418" spans="3:3" x14ac:dyDescent="0.25">
      <c r="C418" s="39"/>
    </row>
    <row r="419" spans="3:3" x14ac:dyDescent="0.25">
      <c r="C419" s="39"/>
    </row>
    <row r="420" spans="3:3" x14ac:dyDescent="0.25">
      <c r="C420" s="39"/>
    </row>
    <row r="421" spans="3:3" x14ac:dyDescent="0.25">
      <c r="C421" s="39"/>
    </row>
    <row r="422" spans="3:3" x14ac:dyDescent="0.25">
      <c r="C422" s="39"/>
    </row>
    <row r="423" spans="3:3" x14ac:dyDescent="0.25">
      <c r="C423" s="39"/>
    </row>
    <row r="424" spans="3:3" x14ac:dyDescent="0.25">
      <c r="C424" s="39"/>
    </row>
    <row r="425" spans="3:3" x14ac:dyDescent="0.25">
      <c r="C425" s="39"/>
    </row>
    <row r="426" spans="3:3" x14ac:dyDescent="0.25">
      <c r="C426" s="39"/>
    </row>
    <row r="427" spans="3:3" x14ac:dyDescent="0.25">
      <c r="C427" s="39"/>
    </row>
    <row r="428" spans="3:3" x14ac:dyDescent="0.25">
      <c r="C428" s="39"/>
    </row>
    <row r="429" spans="3:3" x14ac:dyDescent="0.25">
      <c r="C429" s="39"/>
    </row>
    <row r="430" spans="3:3" x14ac:dyDescent="0.25">
      <c r="C430" s="39"/>
    </row>
    <row r="431" spans="3:3" x14ac:dyDescent="0.25">
      <c r="C431" s="39"/>
    </row>
    <row r="432" spans="3:3" x14ac:dyDescent="0.25">
      <c r="C432" s="39"/>
    </row>
    <row r="433" spans="3:3" x14ac:dyDescent="0.25">
      <c r="C433" s="39"/>
    </row>
    <row r="434" spans="3:3" x14ac:dyDescent="0.25">
      <c r="C434" s="39"/>
    </row>
    <row r="435" spans="3:3" x14ac:dyDescent="0.25">
      <c r="C435" s="39"/>
    </row>
    <row r="436" spans="3:3" x14ac:dyDescent="0.25">
      <c r="C436" s="39"/>
    </row>
    <row r="437" spans="3:3" x14ac:dyDescent="0.25">
      <c r="C437" s="39"/>
    </row>
    <row r="438" spans="3:3" x14ac:dyDescent="0.25">
      <c r="C438" s="39"/>
    </row>
    <row r="439" spans="3:3" x14ac:dyDescent="0.25">
      <c r="C439" s="39"/>
    </row>
    <row r="440" spans="3:3" x14ac:dyDescent="0.25">
      <c r="C440" s="39"/>
    </row>
    <row r="441" spans="3:3" x14ac:dyDescent="0.25">
      <c r="C441" s="39"/>
    </row>
    <row r="442" spans="3:3" x14ac:dyDescent="0.25">
      <c r="C442" s="39"/>
    </row>
    <row r="443" spans="3:3" x14ac:dyDescent="0.25">
      <c r="C443" s="39"/>
    </row>
    <row r="444" spans="3:3" x14ac:dyDescent="0.25">
      <c r="C444" s="39"/>
    </row>
    <row r="445" spans="3:3" x14ac:dyDescent="0.25">
      <c r="C445" s="39"/>
    </row>
    <row r="446" spans="3:3" x14ac:dyDescent="0.25">
      <c r="C446" s="39"/>
    </row>
    <row r="447" spans="3:3" x14ac:dyDescent="0.25">
      <c r="C447" s="39"/>
    </row>
    <row r="448" spans="3:3" x14ac:dyDescent="0.25">
      <c r="C448" s="39"/>
    </row>
    <row r="449" spans="3:3" x14ac:dyDescent="0.25">
      <c r="C449" s="39"/>
    </row>
    <row r="450" spans="3:3" x14ac:dyDescent="0.25">
      <c r="C450" s="39"/>
    </row>
    <row r="451" spans="3:3" x14ac:dyDescent="0.25">
      <c r="C451" s="39"/>
    </row>
    <row r="452" spans="3:3" x14ac:dyDescent="0.25">
      <c r="C452" s="39"/>
    </row>
    <row r="453" spans="3:3" x14ac:dyDescent="0.25">
      <c r="C453" s="39"/>
    </row>
    <row r="454" spans="3:3" x14ac:dyDescent="0.25">
      <c r="C454" s="39"/>
    </row>
    <row r="455" spans="3:3" x14ac:dyDescent="0.25">
      <c r="C455" s="39"/>
    </row>
    <row r="456" spans="3:3" x14ac:dyDescent="0.25">
      <c r="C456" s="39"/>
    </row>
    <row r="457" spans="3:3" x14ac:dyDescent="0.25">
      <c r="C457" s="39"/>
    </row>
    <row r="458" spans="3:3" x14ac:dyDescent="0.25">
      <c r="C458" s="39"/>
    </row>
    <row r="459" spans="3:3" x14ac:dyDescent="0.25">
      <c r="C459" s="39"/>
    </row>
    <row r="460" spans="3:3" x14ac:dyDescent="0.25">
      <c r="C460" s="39"/>
    </row>
    <row r="461" spans="3:3" x14ac:dyDescent="0.25">
      <c r="C461" s="39"/>
    </row>
    <row r="462" spans="3:3" x14ac:dyDescent="0.25">
      <c r="C462" s="39"/>
    </row>
    <row r="463" spans="3:3" x14ac:dyDescent="0.25">
      <c r="C463" s="39"/>
    </row>
    <row r="464" spans="3:3" x14ac:dyDescent="0.25">
      <c r="C464" s="39"/>
    </row>
    <row r="465" spans="3:3" x14ac:dyDescent="0.25">
      <c r="C465" s="39"/>
    </row>
    <row r="466" spans="3:3" x14ac:dyDescent="0.25">
      <c r="C466" s="39"/>
    </row>
    <row r="467" spans="3:3" x14ac:dyDescent="0.25">
      <c r="C467" s="39"/>
    </row>
    <row r="468" spans="3:3" x14ac:dyDescent="0.25">
      <c r="C468" s="39"/>
    </row>
    <row r="469" spans="3:3" x14ac:dyDescent="0.25">
      <c r="C469" s="39"/>
    </row>
    <row r="470" spans="3:3" x14ac:dyDescent="0.25">
      <c r="C470" s="39"/>
    </row>
    <row r="471" spans="3:3" x14ac:dyDescent="0.25">
      <c r="C471" s="39"/>
    </row>
    <row r="472" spans="3:3" x14ac:dyDescent="0.25">
      <c r="C472" s="39"/>
    </row>
    <row r="473" spans="3:3" x14ac:dyDescent="0.25">
      <c r="C473" s="39"/>
    </row>
    <row r="474" spans="3:3" x14ac:dyDescent="0.25">
      <c r="C474" s="39"/>
    </row>
    <row r="475" spans="3:3" x14ac:dyDescent="0.25">
      <c r="C475" s="39"/>
    </row>
    <row r="476" spans="3:3" x14ac:dyDescent="0.25">
      <c r="C476" s="39"/>
    </row>
    <row r="477" spans="3:3" x14ac:dyDescent="0.25">
      <c r="C477" s="39"/>
    </row>
    <row r="478" spans="3:3" x14ac:dyDescent="0.25">
      <c r="C478" s="39"/>
    </row>
    <row r="479" spans="3:3" x14ac:dyDescent="0.25">
      <c r="C479" s="39"/>
    </row>
    <row r="480" spans="3:3" x14ac:dyDescent="0.25">
      <c r="C480" s="39"/>
    </row>
    <row r="481" spans="3:3" x14ac:dyDescent="0.25">
      <c r="C481" s="39"/>
    </row>
    <row r="482" spans="3:3" x14ac:dyDescent="0.25">
      <c r="C482" s="39"/>
    </row>
    <row r="483" spans="3:3" x14ac:dyDescent="0.25">
      <c r="C483" s="39"/>
    </row>
    <row r="484" spans="3:3" x14ac:dyDescent="0.25">
      <c r="C484" s="39"/>
    </row>
    <row r="485" spans="3:3" x14ac:dyDescent="0.25">
      <c r="C485" s="39"/>
    </row>
    <row r="486" spans="3:3" x14ac:dyDescent="0.25">
      <c r="C486" s="39"/>
    </row>
    <row r="487" spans="3:3" x14ac:dyDescent="0.25">
      <c r="C487" s="38"/>
    </row>
    <row r="488" spans="3:3" x14ac:dyDescent="0.25">
      <c r="C488" s="38"/>
    </row>
    <row r="489" spans="3:3" x14ac:dyDescent="0.25">
      <c r="C489" s="38"/>
    </row>
    <row r="490" spans="3:3" x14ac:dyDescent="0.25">
      <c r="C490" s="38"/>
    </row>
    <row r="491" spans="3:3" x14ac:dyDescent="0.25">
      <c r="C491" s="38"/>
    </row>
    <row r="492" spans="3:3" x14ac:dyDescent="0.25">
      <c r="C492" s="38"/>
    </row>
    <row r="493" spans="3:3" x14ac:dyDescent="0.25">
      <c r="C493" s="38"/>
    </row>
    <row r="494" spans="3:3" x14ac:dyDescent="0.25">
      <c r="C494" s="38"/>
    </row>
    <row r="495" spans="3:3" x14ac:dyDescent="0.25">
      <c r="C495" s="38"/>
    </row>
    <row r="496" spans="3:3" x14ac:dyDescent="0.25">
      <c r="C496" s="38"/>
    </row>
    <row r="497" spans="3:3" x14ac:dyDescent="0.25">
      <c r="C497" s="38"/>
    </row>
    <row r="498" spans="3:3" x14ac:dyDescent="0.25">
      <c r="C498" s="38"/>
    </row>
    <row r="499" spans="3:3" x14ac:dyDescent="0.25">
      <c r="C499" s="38"/>
    </row>
    <row r="500" spans="3:3" x14ac:dyDescent="0.25">
      <c r="C500" s="38"/>
    </row>
    <row r="501" spans="3:3" x14ac:dyDescent="0.25">
      <c r="C501" s="38"/>
    </row>
    <row r="502" spans="3:3" x14ac:dyDescent="0.25">
      <c r="C502" s="38"/>
    </row>
    <row r="503" spans="3:3" x14ac:dyDescent="0.25">
      <c r="C503" s="38"/>
    </row>
    <row r="504" spans="3:3" x14ac:dyDescent="0.25">
      <c r="C504" s="38"/>
    </row>
    <row r="505" spans="3:3" x14ac:dyDescent="0.25">
      <c r="C505" s="38"/>
    </row>
    <row r="506" spans="3:3" x14ac:dyDescent="0.25">
      <c r="C506" s="38"/>
    </row>
    <row r="507" spans="3:3" x14ac:dyDescent="0.25">
      <c r="C507" s="38"/>
    </row>
    <row r="508" spans="3:3" x14ac:dyDescent="0.25">
      <c r="C508" s="38"/>
    </row>
    <row r="509" spans="3:3" x14ac:dyDescent="0.25">
      <c r="C509" s="38"/>
    </row>
    <row r="510" spans="3:3" x14ac:dyDescent="0.25">
      <c r="C510" s="38"/>
    </row>
    <row r="511" spans="3:3" x14ac:dyDescent="0.25">
      <c r="C511" s="38"/>
    </row>
    <row r="512" spans="3:3" x14ac:dyDescent="0.25">
      <c r="C512" s="38"/>
    </row>
    <row r="513" spans="3:3" x14ac:dyDescent="0.25">
      <c r="C513" s="38"/>
    </row>
    <row r="514" spans="3:3" x14ac:dyDescent="0.25">
      <c r="C514" s="38"/>
    </row>
    <row r="515" spans="3:3" x14ac:dyDescent="0.25">
      <c r="C515" s="38"/>
    </row>
    <row r="516" spans="3:3" x14ac:dyDescent="0.25">
      <c r="C516" s="38"/>
    </row>
    <row r="517" spans="3:3" x14ac:dyDescent="0.25">
      <c r="C517" s="38"/>
    </row>
    <row r="518" spans="3:3" x14ac:dyDescent="0.25">
      <c r="C518" s="38"/>
    </row>
    <row r="519" spans="3:3" x14ac:dyDescent="0.25">
      <c r="C519" s="38"/>
    </row>
    <row r="520" spans="3:3" x14ac:dyDescent="0.25">
      <c r="C520" s="38"/>
    </row>
    <row r="521" spans="3:3" x14ac:dyDescent="0.25">
      <c r="C521" s="38"/>
    </row>
    <row r="522" spans="3:3" x14ac:dyDescent="0.25">
      <c r="C522" s="38"/>
    </row>
    <row r="523" spans="3:3" x14ac:dyDescent="0.25">
      <c r="C523" s="38"/>
    </row>
    <row r="524" spans="3:3" x14ac:dyDescent="0.25">
      <c r="C524" s="38"/>
    </row>
    <row r="525" spans="3:3" x14ac:dyDescent="0.25">
      <c r="C525" s="38"/>
    </row>
    <row r="526" spans="3:3" x14ac:dyDescent="0.25">
      <c r="C526" s="38"/>
    </row>
    <row r="527" spans="3:3" x14ac:dyDescent="0.25">
      <c r="C527" s="38"/>
    </row>
    <row r="528" spans="3:3" x14ac:dyDescent="0.25">
      <c r="C528" s="38"/>
    </row>
    <row r="529" spans="3:3" x14ac:dyDescent="0.25">
      <c r="C529" s="38"/>
    </row>
    <row r="530" spans="3:3" x14ac:dyDescent="0.25">
      <c r="C530" s="38"/>
    </row>
    <row r="531" spans="3:3" x14ac:dyDescent="0.25">
      <c r="C531" s="38"/>
    </row>
    <row r="532" spans="3:3" x14ac:dyDescent="0.25">
      <c r="C532" s="38"/>
    </row>
    <row r="533" spans="3:3" x14ac:dyDescent="0.25">
      <c r="C533" s="38"/>
    </row>
    <row r="534" spans="3:3" x14ac:dyDescent="0.25">
      <c r="C534" s="38"/>
    </row>
    <row r="535" spans="3:3" x14ac:dyDescent="0.25">
      <c r="C535" s="38"/>
    </row>
    <row r="536" spans="3:3" x14ac:dyDescent="0.25">
      <c r="C536" s="38"/>
    </row>
    <row r="537" spans="3:3" x14ac:dyDescent="0.25">
      <c r="C537" s="38"/>
    </row>
    <row r="538" spans="3:3" x14ac:dyDescent="0.25">
      <c r="C538" s="38"/>
    </row>
    <row r="539" spans="3:3" x14ac:dyDescent="0.25">
      <c r="C539" s="38"/>
    </row>
    <row r="540" spans="3:3" x14ac:dyDescent="0.25">
      <c r="C540" s="38"/>
    </row>
    <row r="541" spans="3:3" x14ac:dyDescent="0.25">
      <c r="C541" s="38"/>
    </row>
    <row r="542" spans="3:3" x14ac:dyDescent="0.25">
      <c r="C542" s="38"/>
    </row>
    <row r="543" spans="3:3" x14ac:dyDescent="0.25">
      <c r="C543" s="38"/>
    </row>
    <row r="544" spans="3:3" x14ac:dyDescent="0.25">
      <c r="C544" s="38"/>
    </row>
    <row r="545" spans="3:3" x14ac:dyDescent="0.25">
      <c r="C545" s="38"/>
    </row>
    <row r="546" spans="3:3" x14ac:dyDescent="0.25">
      <c r="C546" s="38"/>
    </row>
    <row r="547" spans="3:3" x14ac:dyDescent="0.25">
      <c r="C547" s="38"/>
    </row>
    <row r="548" spans="3:3" x14ac:dyDescent="0.25">
      <c r="C548" s="38"/>
    </row>
    <row r="549" spans="3:3" x14ac:dyDescent="0.25">
      <c r="C549" s="38"/>
    </row>
    <row r="550" spans="3:3" x14ac:dyDescent="0.25">
      <c r="C550" s="38"/>
    </row>
    <row r="551" spans="3:3" x14ac:dyDescent="0.25">
      <c r="C551" s="38"/>
    </row>
    <row r="552" spans="3:3" x14ac:dyDescent="0.25">
      <c r="C552" s="38"/>
    </row>
    <row r="553" spans="3:3" x14ac:dyDescent="0.25">
      <c r="C553" s="38"/>
    </row>
    <row r="554" spans="3:3" x14ac:dyDescent="0.25">
      <c r="C554" s="38"/>
    </row>
    <row r="555" spans="3:3" x14ac:dyDescent="0.25">
      <c r="C555" s="38"/>
    </row>
    <row r="556" spans="3:3" x14ac:dyDescent="0.25">
      <c r="C556" s="38"/>
    </row>
    <row r="557" spans="3:3" x14ac:dyDescent="0.25">
      <c r="C557" s="38"/>
    </row>
    <row r="558" spans="3:3" x14ac:dyDescent="0.25">
      <c r="C558" s="38"/>
    </row>
    <row r="559" spans="3:3" x14ac:dyDescent="0.25">
      <c r="C559" s="38"/>
    </row>
    <row r="560" spans="3:3" x14ac:dyDescent="0.25">
      <c r="C560" s="38"/>
    </row>
    <row r="561" spans="3:3" x14ac:dyDescent="0.25">
      <c r="C561" s="38"/>
    </row>
    <row r="562" spans="3:3" x14ac:dyDescent="0.25">
      <c r="C562" s="38"/>
    </row>
    <row r="563" spans="3:3" x14ac:dyDescent="0.25">
      <c r="C563" s="38"/>
    </row>
    <row r="564" spans="3:3" x14ac:dyDescent="0.25">
      <c r="C564" s="38"/>
    </row>
    <row r="565" spans="3:3" x14ac:dyDescent="0.25">
      <c r="C565" s="38"/>
    </row>
    <row r="566" spans="3:3" x14ac:dyDescent="0.25">
      <c r="C566" s="38"/>
    </row>
    <row r="567" spans="3:3" x14ac:dyDescent="0.25">
      <c r="C567" s="38"/>
    </row>
    <row r="568" spans="3:3" x14ac:dyDescent="0.25">
      <c r="C568" s="38"/>
    </row>
    <row r="569" spans="3:3" x14ac:dyDescent="0.25">
      <c r="C569" s="38"/>
    </row>
    <row r="570" spans="3:3" x14ac:dyDescent="0.25">
      <c r="C570" s="38"/>
    </row>
    <row r="571" spans="3:3" x14ac:dyDescent="0.25">
      <c r="C571" s="38"/>
    </row>
    <row r="572" spans="3:3" x14ac:dyDescent="0.25">
      <c r="C572" s="38"/>
    </row>
    <row r="573" spans="3:3" x14ac:dyDescent="0.25">
      <c r="C573" s="38"/>
    </row>
    <row r="574" spans="3:3" x14ac:dyDescent="0.25">
      <c r="C574" s="38"/>
    </row>
    <row r="575" spans="3:3" x14ac:dyDescent="0.25">
      <c r="C575" s="38"/>
    </row>
    <row r="576" spans="3:3" x14ac:dyDescent="0.25">
      <c r="C576" s="38"/>
    </row>
    <row r="577" spans="3:3" x14ac:dyDescent="0.25">
      <c r="C577" s="38"/>
    </row>
    <row r="578" spans="3:3" x14ac:dyDescent="0.25">
      <c r="C578" s="38"/>
    </row>
    <row r="579" spans="3:3" x14ac:dyDescent="0.25">
      <c r="C579" s="38"/>
    </row>
    <row r="580" spans="3:3" x14ac:dyDescent="0.25">
      <c r="C580" s="38"/>
    </row>
    <row r="581" spans="3:3" x14ac:dyDescent="0.25">
      <c r="C581" s="38"/>
    </row>
    <row r="582" spans="3:3" x14ac:dyDescent="0.25">
      <c r="C582" s="38"/>
    </row>
    <row r="583" spans="3:3" x14ac:dyDescent="0.25">
      <c r="C583" s="38"/>
    </row>
    <row r="584" spans="3:3" x14ac:dyDescent="0.25">
      <c r="C584" s="38"/>
    </row>
    <row r="585" spans="3:3" x14ac:dyDescent="0.25">
      <c r="C585" s="38"/>
    </row>
    <row r="586" spans="3:3" x14ac:dyDescent="0.25">
      <c r="C586" s="38"/>
    </row>
    <row r="587" spans="3:3" x14ac:dyDescent="0.25">
      <c r="C587" s="38"/>
    </row>
    <row r="588" spans="3:3" x14ac:dyDescent="0.25">
      <c r="C588" s="38"/>
    </row>
    <row r="589" spans="3:3" x14ac:dyDescent="0.25">
      <c r="C589" s="38"/>
    </row>
    <row r="590" spans="3:3" x14ac:dyDescent="0.25">
      <c r="C590" s="38"/>
    </row>
    <row r="591" spans="3:3" x14ac:dyDescent="0.25">
      <c r="C591" s="38"/>
    </row>
    <row r="592" spans="3:3" x14ac:dyDescent="0.25">
      <c r="C592" s="38"/>
    </row>
    <row r="593" spans="3:3" x14ac:dyDescent="0.25">
      <c r="C593" s="38"/>
    </row>
    <row r="594" spans="3:3" x14ac:dyDescent="0.25">
      <c r="C594" s="38"/>
    </row>
    <row r="595" spans="3:3" x14ac:dyDescent="0.25">
      <c r="C595" s="38"/>
    </row>
    <row r="596" spans="3:3" x14ac:dyDescent="0.25">
      <c r="C596" s="38"/>
    </row>
    <row r="597" spans="3:3" x14ac:dyDescent="0.25">
      <c r="C597" s="38"/>
    </row>
    <row r="598" spans="3:3" x14ac:dyDescent="0.25">
      <c r="C598" s="38"/>
    </row>
    <row r="599" spans="3:3" x14ac:dyDescent="0.25">
      <c r="C599" s="38"/>
    </row>
    <row r="600" spans="3:3" x14ac:dyDescent="0.25">
      <c r="C600" s="38"/>
    </row>
    <row r="601" spans="3:3" x14ac:dyDescent="0.25">
      <c r="C601" s="38"/>
    </row>
    <row r="602" spans="3:3" x14ac:dyDescent="0.25">
      <c r="C602" s="38"/>
    </row>
    <row r="603" spans="3:3" x14ac:dyDescent="0.25">
      <c r="C603" s="38"/>
    </row>
    <row r="604" spans="3:3" x14ac:dyDescent="0.25">
      <c r="C604" s="38"/>
    </row>
    <row r="605" spans="3:3" x14ac:dyDescent="0.25">
      <c r="C605" s="38"/>
    </row>
    <row r="606" spans="3:3" x14ac:dyDescent="0.25">
      <c r="C606" s="38"/>
    </row>
    <row r="607" spans="3:3" x14ac:dyDescent="0.25">
      <c r="C607" s="38"/>
    </row>
    <row r="608" spans="3:3" x14ac:dyDescent="0.25">
      <c r="C608" s="38"/>
    </row>
    <row r="609" spans="3:3" x14ac:dyDescent="0.25">
      <c r="C609" s="38"/>
    </row>
    <row r="610" spans="3:3" x14ac:dyDescent="0.25">
      <c r="C610" s="38"/>
    </row>
    <row r="611" spans="3:3" x14ac:dyDescent="0.25">
      <c r="C611" s="38"/>
    </row>
    <row r="612" spans="3:3" x14ac:dyDescent="0.25">
      <c r="C612" s="38"/>
    </row>
    <row r="613" spans="3:3" x14ac:dyDescent="0.25">
      <c r="C613" s="38"/>
    </row>
    <row r="614" spans="3:3" x14ac:dyDescent="0.25">
      <c r="C614" s="38"/>
    </row>
    <row r="615" spans="3:3" x14ac:dyDescent="0.25">
      <c r="C615" s="38"/>
    </row>
    <row r="616" spans="3:3" x14ac:dyDescent="0.25">
      <c r="C616" s="38"/>
    </row>
    <row r="617" spans="3:3" x14ac:dyDescent="0.25">
      <c r="C617" s="38"/>
    </row>
    <row r="618" spans="3:3" x14ac:dyDescent="0.25">
      <c r="C618" s="38"/>
    </row>
    <row r="619" spans="3:3" x14ac:dyDescent="0.25">
      <c r="C619" s="38"/>
    </row>
    <row r="620" spans="3:3" x14ac:dyDescent="0.25">
      <c r="C620" s="38"/>
    </row>
    <row r="621" spans="3:3" x14ac:dyDescent="0.25">
      <c r="C621" s="38"/>
    </row>
    <row r="622" spans="3:3" x14ac:dyDescent="0.25">
      <c r="C622" s="38"/>
    </row>
    <row r="623" spans="3:3" x14ac:dyDescent="0.25">
      <c r="C623" s="38"/>
    </row>
    <row r="624" spans="3:3" x14ac:dyDescent="0.25">
      <c r="C624" s="38"/>
    </row>
    <row r="625" spans="3:3" x14ac:dyDescent="0.25">
      <c r="C625" s="38"/>
    </row>
    <row r="626" spans="3:3" x14ac:dyDescent="0.25">
      <c r="C626" s="38"/>
    </row>
    <row r="627" spans="3:3" x14ac:dyDescent="0.25">
      <c r="C627" s="38"/>
    </row>
    <row r="628" spans="3:3" x14ac:dyDescent="0.25">
      <c r="C628" s="38"/>
    </row>
    <row r="629" spans="3:3" x14ac:dyDescent="0.25">
      <c r="C629" s="38"/>
    </row>
    <row r="630" spans="3:3" x14ac:dyDescent="0.25">
      <c r="C630" s="38"/>
    </row>
    <row r="631" spans="3:3" x14ac:dyDescent="0.25">
      <c r="C631" s="38"/>
    </row>
    <row r="632" spans="3:3" x14ac:dyDescent="0.25">
      <c r="C632" s="38"/>
    </row>
    <row r="633" spans="3:3" x14ac:dyDescent="0.25">
      <c r="C633" s="38"/>
    </row>
    <row r="634" spans="3:3" x14ac:dyDescent="0.25">
      <c r="C634" s="38"/>
    </row>
    <row r="635" spans="3:3" x14ac:dyDescent="0.25">
      <c r="C635" s="38"/>
    </row>
    <row r="636" spans="3:3" x14ac:dyDescent="0.25">
      <c r="C636" s="38"/>
    </row>
    <row r="637" spans="3:3" x14ac:dyDescent="0.25">
      <c r="C637" s="38"/>
    </row>
    <row r="638" spans="3:3" x14ac:dyDescent="0.25">
      <c r="C638" s="38"/>
    </row>
    <row r="639" spans="3:3" x14ac:dyDescent="0.25">
      <c r="C639" s="38"/>
    </row>
    <row r="640" spans="3:3" x14ac:dyDescent="0.25">
      <c r="C640" s="38"/>
    </row>
    <row r="641" spans="3:3" x14ac:dyDescent="0.25">
      <c r="C641" s="38"/>
    </row>
    <row r="642" spans="3:3" x14ac:dyDescent="0.25">
      <c r="C642" s="38"/>
    </row>
    <row r="643" spans="3:3" x14ac:dyDescent="0.25">
      <c r="C643" s="38"/>
    </row>
    <row r="644" spans="3:3" x14ac:dyDescent="0.25">
      <c r="C644" s="38"/>
    </row>
    <row r="645" spans="3:3" x14ac:dyDescent="0.25">
      <c r="C645" s="38"/>
    </row>
    <row r="646" spans="3:3" x14ac:dyDescent="0.25">
      <c r="C646" s="38"/>
    </row>
    <row r="647" spans="3:3" x14ac:dyDescent="0.25">
      <c r="C647" s="38"/>
    </row>
    <row r="648" spans="3:3" x14ac:dyDescent="0.25">
      <c r="C648" s="38"/>
    </row>
    <row r="649" spans="3:3" x14ac:dyDescent="0.25">
      <c r="C649" s="38"/>
    </row>
    <row r="650" spans="3:3" x14ac:dyDescent="0.25">
      <c r="C650" s="38"/>
    </row>
    <row r="651" spans="3:3" x14ac:dyDescent="0.25">
      <c r="C651" s="38"/>
    </row>
    <row r="652" spans="3:3" x14ac:dyDescent="0.25">
      <c r="C652" s="38"/>
    </row>
    <row r="653" spans="3:3" x14ac:dyDescent="0.25">
      <c r="C653" s="38"/>
    </row>
    <row r="654" spans="3:3" x14ac:dyDescent="0.25">
      <c r="C654" s="38"/>
    </row>
    <row r="655" spans="3:3" x14ac:dyDescent="0.25">
      <c r="C655" s="38"/>
    </row>
    <row r="656" spans="3:3" x14ac:dyDescent="0.25">
      <c r="C656" s="38"/>
    </row>
    <row r="657" spans="3:3" x14ac:dyDescent="0.25">
      <c r="C657" s="38"/>
    </row>
    <row r="658" spans="3:3" x14ac:dyDescent="0.25">
      <c r="C658" s="38"/>
    </row>
    <row r="659" spans="3:3" x14ac:dyDescent="0.25">
      <c r="C659" s="38"/>
    </row>
    <row r="660" spans="3:3" x14ac:dyDescent="0.25">
      <c r="C660" s="38"/>
    </row>
    <row r="661" spans="3:3" x14ac:dyDescent="0.25">
      <c r="C661" s="38"/>
    </row>
    <row r="662" spans="3:3" x14ac:dyDescent="0.25">
      <c r="C662" s="38"/>
    </row>
    <row r="663" spans="3:3" x14ac:dyDescent="0.25">
      <c r="C663" s="38"/>
    </row>
    <row r="664" spans="3:3" x14ac:dyDescent="0.25">
      <c r="C664" s="38"/>
    </row>
    <row r="665" spans="3:3" x14ac:dyDescent="0.25">
      <c r="C665" s="38"/>
    </row>
    <row r="666" spans="3:3" x14ac:dyDescent="0.25">
      <c r="C666" s="38"/>
    </row>
    <row r="667" spans="3:3" x14ac:dyDescent="0.25">
      <c r="C667" s="38"/>
    </row>
    <row r="668" spans="3:3" x14ac:dyDescent="0.25">
      <c r="C668" s="38"/>
    </row>
    <row r="669" spans="3:3" x14ac:dyDescent="0.25">
      <c r="C669" s="38"/>
    </row>
    <row r="670" spans="3:3" x14ac:dyDescent="0.25">
      <c r="C670" s="38"/>
    </row>
    <row r="671" spans="3:3" x14ac:dyDescent="0.25">
      <c r="C671" s="38"/>
    </row>
    <row r="672" spans="3:3" x14ac:dyDescent="0.25">
      <c r="C672" s="38"/>
    </row>
    <row r="673" spans="3:3" x14ac:dyDescent="0.25">
      <c r="C673" s="38"/>
    </row>
    <row r="674" spans="3:3" x14ac:dyDescent="0.25">
      <c r="C674" s="38"/>
    </row>
    <row r="675" spans="3:3" x14ac:dyDescent="0.25">
      <c r="C675" s="38"/>
    </row>
    <row r="676" spans="3:3" x14ac:dyDescent="0.25">
      <c r="C676" s="38"/>
    </row>
    <row r="677" spans="3:3" x14ac:dyDescent="0.25">
      <c r="C677" s="38"/>
    </row>
    <row r="678" spans="3:3" x14ac:dyDescent="0.25">
      <c r="C678" s="38"/>
    </row>
    <row r="679" spans="3:3" x14ac:dyDescent="0.25">
      <c r="C679" s="38"/>
    </row>
    <row r="680" spans="3:3" x14ac:dyDescent="0.25">
      <c r="C680" s="38"/>
    </row>
    <row r="681" spans="3:3" x14ac:dyDescent="0.25">
      <c r="C681" s="38"/>
    </row>
    <row r="682" spans="3:3" x14ac:dyDescent="0.25">
      <c r="C682" s="38"/>
    </row>
    <row r="683" spans="3:3" x14ac:dyDescent="0.25">
      <c r="C683" s="38"/>
    </row>
    <row r="684" spans="3:3" x14ac:dyDescent="0.25">
      <c r="C684" s="38"/>
    </row>
    <row r="685" spans="3:3" x14ac:dyDescent="0.25">
      <c r="C685" s="38"/>
    </row>
    <row r="686" spans="3:3" x14ac:dyDescent="0.25">
      <c r="C686" s="38"/>
    </row>
    <row r="687" spans="3:3" x14ac:dyDescent="0.25">
      <c r="C687" s="38"/>
    </row>
    <row r="688" spans="3:3" x14ac:dyDescent="0.25">
      <c r="C688" s="38"/>
    </row>
    <row r="689" spans="3:3" x14ac:dyDescent="0.25">
      <c r="C689" s="38"/>
    </row>
    <row r="690" spans="3:3" x14ac:dyDescent="0.25">
      <c r="C690" s="38"/>
    </row>
    <row r="691" spans="3:3" x14ac:dyDescent="0.25">
      <c r="C691" s="38"/>
    </row>
    <row r="692" spans="3:3" x14ac:dyDescent="0.25">
      <c r="C692" s="38"/>
    </row>
    <row r="693" spans="3:3" x14ac:dyDescent="0.25">
      <c r="C693" s="38"/>
    </row>
    <row r="694" spans="3:3" x14ac:dyDescent="0.25">
      <c r="C694" s="38"/>
    </row>
    <row r="695" spans="3:3" x14ac:dyDescent="0.25">
      <c r="C695" s="38"/>
    </row>
    <row r="696" spans="3:3" x14ac:dyDescent="0.25">
      <c r="C696" s="38"/>
    </row>
    <row r="697" spans="3:3" x14ac:dyDescent="0.25">
      <c r="C697" s="38"/>
    </row>
    <row r="698" spans="3:3" x14ac:dyDescent="0.25">
      <c r="C698" s="38"/>
    </row>
    <row r="699" spans="3:3" x14ac:dyDescent="0.25">
      <c r="C699" s="38"/>
    </row>
    <row r="700" spans="3:3" x14ac:dyDescent="0.25">
      <c r="C700" s="38"/>
    </row>
    <row r="701" spans="3:3" x14ac:dyDescent="0.25">
      <c r="C701" s="38"/>
    </row>
    <row r="702" spans="3:3" x14ac:dyDescent="0.25">
      <c r="C702" s="38"/>
    </row>
    <row r="703" spans="3:3" x14ac:dyDescent="0.25">
      <c r="C703" s="38"/>
    </row>
    <row r="704" spans="3:3" x14ac:dyDescent="0.25">
      <c r="C704" s="38"/>
    </row>
    <row r="705" spans="3:3" x14ac:dyDescent="0.25">
      <c r="C705" s="38"/>
    </row>
    <row r="706" spans="3:3" x14ac:dyDescent="0.25">
      <c r="C706" s="38"/>
    </row>
    <row r="707" spans="3:3" x14ac:dyDescent="0.25">
      <c r="C707" s="38"/>
    </row>
    <row r="708" spans="3:3" x14ac:dyDescent="0.25">
      <c r="C708" s="38"/>
    </row>
    <row r="709" spans="3:3" x14ac:dyDescent="0.25">
      <c r="C709" s="38"/>
    </row>
    <row r="710" spans="3:3" x14ac:dyDescent="0.25">
      <c r="C710" s="38"/>
    </row>
    <row r="711" spans="3:3" x14ac:dyDescent="0.25">
      <c r="C711" s="38"/>
    </row>
    <row r="712" spans="3:3" x14ac:dyDescent="0.25">
      <c r="C712" s="38"/>
    </row>
    <row r="713" spans="3:3" x14ac:dyDescent="0.25">
      <c r="C713" s="38"/>
    </row>
    <row r="714" spans="3:3" x14ac:dyDescent="0.25">
      <c r="C714" s="38"/>
    </row>
    <row r="715" spans="3:3" x14ac:dyDescent="0.25">
      <c r="C715" s="38"/>
    </row>
    <row r="716" spans="3:3" x14ac:dyDescent="0.25">
      <c r="C716" s="38"/>
    </row>
    <row r="717" spans="3:3" x14ac:dyDescent="0.25">
      <c r="C717" s="38"/>
    </row>
    <row r="718" spans="3:3" x14ac:dyDescent="0.25">
      <c r="C718" s="38"/>
    </row>
    <row r="719" spans="3:3" x14ac:dyDescent="0.25">
      <c r="C719" s="38"/>
    </row>
    <row r="720" spans="3:3" x14ac:dyDescent="0.25">
      <c r="C720" s="38"/>
    </row>
    <row r="721" spans="3:3" x14ac:dyDescent="0.25">
      <c r="C721" s="38"/>
    </row>
    <row r="722" spans="3:3" x14ac:dyDescent="0.25">
      <c r="C722" s="38"/>
    </row>
    <row r="723" spans="3:3" x14ac:dyDescent="0.25">
      <c r="C723" s="38"/>
    </row>
    <row r="724" spans="3:3" x14ac:dyDescent="0.25">
      <c r="C724" s="38"/>
    </row>
    <row r="725" spans="3:3" x14ac:dyDescent="0.25">
      <c r="C725" s="38"/>
    </row>
    <row r="726" spans="3:3" x14ac:dyDescent="0.25">
      <c r="C726" s="38"/>
    </row>
    <row r="727" spans="3:3" x14ac:dyDescent="0.25">
      <c r="C727" s="38"/>
    </row>
    <row r="728" spans="3:3" x14ac:dyDescent="0.25">
      <c r="C728" s="38"/>
    </row>
    <row r="729" spans="3:3" x14ac:dyDescent="0.25">
      <c r="C729" s="38"/>
    </row>
    <row r="730" spans="3:3" x14ac:dyDescent="0.25">
      <c r="C730" s="38"/>
    </row>
    <row r="731" spans="3:3" x14ac:dyDescent="0.25">
      <c r="C731" s="38"/>
    </row>
    <row r="732" spans="3:3" x14ac:dyDescent="0.25">
      <c r="C732" s="38"/>
    </row>
    <row r="733" spans="3:3" x14ac:dyDescent="0.25">
      <c r="C733" s="38"/>
    </row>
    <row r="734" spans="3:3" x14ac:dyDescent="0.25">
      <c r="C734" s="38"/>
    </row>
    <row r="735" spans="3:3" x14ac:dyDescent="0.25">
      <c r="C735" s="38"/>
    </row>
    <row r="736" spans="3:3" x14ac:dyDescent="0.25">
      <c r="C736" s="38"/>
    </row>
    <row r="737" spans="3:3" x14ac:dyDescent="0.25">
      <c r="C737" s="38"/>
    </row>
    <row r="738" spans="3:3" x14ac:dyDescent="0.25">
      <c r="C738" s="38"/>
    </row>
    <row r="739" spans="3:3" x14ac:dyDescent="0.25">
      <c r="C739" s="38"/>
    </row>
    <row r="740" spans="3:3" x14ac:dyDescent="0.25">
      <c r="C740" s="38"/>
    </row>
    <row r="741" spans="3:3" x14ac:dyDescent="0.25">
      <c r="C741" s="38"/>
    </row>
    <row r="742" spans="3:3" x14ac:dyDescent="0.25">
      <c r="C742" s="38"/>
    </row>
  </sheetData>
  <conditionalFormatting sqref="R56 L68:L77 L80:L88 L139:L157 L161:L180 L185:L197 L202:L207 L120:L136 L91:L117 L7:L59">
    <cfRule type="containsText" dxfId="5382" priority="58" operator="containsText" text="FAIL">
      <formula>NOT(ISERROR(SEARCH("FAIL",L7)))</formula>
    </cfRule>
  </conditionalFormatting>
  <conditionalFormatting sqref="R56 L68:L77 L80:L88 L139:L157 L161:L180 L185:L197 L202:L207 L120:L136 L91:L117 L7:L59">
    <cfRule type="containsText" dxfId="5381" priority="57" operator="containsText" text="GOOD">
      <formula>NOT(ISERROR(SEARCH("GOOD",L7)))</formula>
    </cfRule>
  </conditionalFormatting>
  <conditionalFormatting sqref="L199:L200">
    <cfRule type="containsText" dxfId="5380" priority="6" operator="containsText" text="FAIL">
      <formula>NOT(ISERROR(SEARCH("FAIL",L199)))</formula>
    </cfRule>
  </conditionalFormatting>
  <conditionalFormatting sqref="L199:L200">
    <cfRule type="containsText" dxfId="5379" priority="5" operator="containsText" text="GOOD">
      <formula>NOT(ISERROR(SEARCH("GOOD",L199)))</formula>
    </cfRule>
  </conditionalFormatting>
  <conditionalFormatting sqref="L201">
    <cfRule type="containsText" dxfId="5378" priority="4" operator="containsText" text="FAIL">
      <formula>NOT(ISERROR(SEARCH("FAIL",L201)))</formula>
    </cfRule>
  </conditionalFormatting>
  <conditionalFormatting sqref="L201">
    <cfRule type="containsText" dxfId="5377" priority="3" operator="containsText" text="GOOD">
      <formula>NOT(ISERROR(SEARCH("GOOD",L201)))</formula>
    </cfRule>
  </conditionalFormatting>
  <conditionalFormatting sqref="R202">
    <cfRule type="containsText" dxfId="5376" priority="2" operator="containsText" text="FAIL">
      <formula>NOT(ISERROR(SEARCH("FAIL",R202)))</formula>
    </cfRule>
  </conditionalFormatting>
  <conditionalFormatting sqref="R202">
    <cfRule type="containsText" dxfId="5375" priority="1" operator="containsText" text="GOOD">
      <formula>NOT(ISERROR(SEARCH("GOOD",R202)))</formula>
    </cfRule>
  </conditionalFormatting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MSPhotoEd.3" shapeId="7169" r:id="rId4">
          <objectPr defaultSize="0" autoPict="0" r:id="rId5">
            <anchor moveWithCells="1">
              <from>
                <xdr:col>2</xdr:col>
                <xdr:colOff>28575</xdr:colOff>
                <xdr:row>0</xdr:row>
                <xdr:rowOff>142875</xdr:rowOff>
              </from>
              <to>
                <xdr:col>4</xdr:col>
                <xdr:colOff>1409700</xdr:colOff>
                <xdr:row>2</xdr:row>
                <xdr:rowOff>0</xdr:rowOff>
              </to>
            </anchor>
          </objectPr>
        </oleObject>
      </mc:Choice>
      <mc:Fallback>
        <oleObject progId="MSPhotoEd.3" shapeId="7169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B4:G13"/>
  <sheetViews>
    <sheetView workbookViewId="0">
      <selection activeCell="K12" sqref="K12"/>
    </sheetView>
  </sheetViews>
  <sheetFormatPr defaultColWidth="8.85546875" defaultRowHeight="15" x14ac:dyDescent="0.25"/>
  <cols>
    <col min="3" max="4" width="14.28515625" customWidth="1"/>
    <col min="5" max="5" width="13.140625" customWidth="1"/>
    <col min="7" max="7" width="9.42578125" customWidth="1"/>
  </cols>
  <sheetData>
    <row r="4" spans="2:7" ht="30" x14ac:dyDescent="0.25">
      <c r="B4" s="58" t="s">
        <v>583</v>
      </c>
      <c r="C4" s="59" t="s">
        <v>584</v>
      </c>
      <c r="D4" s="59" t="s">
        <v>585</v>
      </c>
      <c r="E4" s="59" t="s">
        <v>586</v>
      </c>
      <c r="F4" s="60" t="s">
        <v>62</v>
      </c>
      <c r="G4" s="61" t="s">
        <v>588</v>
      </c>
    </row>
    <row r="5" spans="2:7" x14ac:dyDescent="0.25">
      <c r="B5" t="s">
        <v>578</v>
      </c>
      <c r="C5" s="55">
        <f>+SUMMARY!AK228</f>
        <v>142801000</v>
      </c>
      <c r="D5" s="55">
        <f>+SUMMARY!AL228</f>
        <v>116652275</v>
      </c>
      <c r="E5" s="7">
        <f>+SUMMARY!AM228</f>
        <v>1.2241595802567931</v>
      </c>
      <c r="F5">
        <v>10</v>
      </c>
      <c r="G5" s="56">
        <v>0.7</v>
      </c>
    </row>
    <row r="6" spans="2:7" x14ac:dyDescent="0.25">
      <c r="B6" t="s">
        <v>579</v>
      </c>
      <c r="C6" s="55">
        <f>+SUMMARY!AK240</f>
        <v>39735100</v>
      </c>
      <c r="D6" s="55">
        <f>+SUMMARY!AL240</f>
        <v>37587329.5</v>
      </c>
      <c r="E6" s="7">
        <f>+SUMMARY!AM240</f>
        <v>1.0571408112406602</v>
      </c>
      <c r="F6">
        <v>11</v>
      </c>
      <c r="G6" s="56">
        <v>0.36</v>
      </c>
    </row>
    <row r="7" spans="2:7" x14ac:dyDescent="0.25">
      <c r="B7" t="s">
        <v>580</v>
      </c>
      <c r="C7" s="55">
        <f>+SUMMARY!AK253</f>
        <v>19147000</v>
      </c>
      <c r="D7" s="55">
        <f>+SUMMARY!AL253</f>
        <v>16682499</v>
      </c>
      <c r="E7" s="7">
        <f>+SUMMARY!AM253</f>
        <v>1.1477297256244403</v>
      </c>
      <c r="F7">
        <v>7</v>
      </c>
      <c r="G7" s="56">
        <v>0.43</v>
      </c>
    </row>
    <row r="8" spans="2:7" x14ac:dyDescent="0.25">
      <c r="B8" t="s">
        <v>581</v>
      </c>
      <c r="C8" s="55">
        <f>+SUMMARY!AK261</f>
        <v>64639000</v>
      </c>
      <c r="D8" s="55">
        <f>+SUMMARY!AL261</f>
        <v>66886744.329999998</v>
      </c>
      <c r="E8" s="7">
        <f>+SUMMARY!AM261</f>
        <v>0.96639477145261743</v>
      </c>
      <c r="F8">
        <v>17</v>
      </c>
      <c r="G8" s="56">
        <v>0.53</v>
      </c>
    </row>
    <row r="9" spans="2:7" x14ac:dyDescent="0.25">
      <c r="B9" t="s">
        <v>582</v>
      </c>
      <c r="C9" s="55">
        <f>+SUMMARY!AK279</f>
        <v>50160000</v>
      </c>
      <c r="D9" s="55">
        <f>+SUMMARY!AL279</f>
        <v>48431818</v>
      </c>
      <c r="E9" s="7">
        <f>+SUMMARY!AM279</f>
        <v>1.0356827819265426</v>
      </c>
      <c r="F9">
        <v>5</v>
      </c>
      <c r="G9" s="56">
        <v>0.8</v>
      </c>
    </row>
    <row r="10" spans="2:7" x14ac:dyDescent="0.25">
      <c r="G10" s="56"/>
    </row>
    <row r="11" spans="2:7" x14ac:dyDescent="0.25">
      <c r="B11" t="s">
        <v>587</v>
      </c>
      <c r="C11" s="57">
        <f>SUM(C5:C8)</f>
        <v>266322100</v>
      </c>
      <c r="D11" s="57">
        <f>SUM(D5:D8)</f>
        <v>237808847.82999998</v>
      </c>
      <c r="E11" s="7">
        <f>+C11/D11</f>
        <v>1.1198998793786807</v>
      </c>
      <c r="F11">
        <f>SUM(F5:F8)</f>
        <v>45</v>
      </c>
      <c r="G11" s="56">
        <v>0.51</v>
      </c>
    </row>
    <row r="12" spans="2:7" x14ac:dyDescent="0.25">
      <c r="B12" s="23">
        <v>2015</v>
      </c>
      <c r="C12" s="57">
        <f>SUM(C6:C9)</f>
        <v>173681100</v>
      </c>
      <c r="D12" s="57">
        <f>SUM(D6:D9)</f>
        <v>169588390.82999998</v>
      </c>
      <c r="E12" s="7">
        <f>+C12/D12</f>
        <v>1.0241331918415493</v>
      </c>
      <c r="F12">
        <f>SUM(F6:F9)</f>
        <v>40</v>
      </c>
      <c r="G12" s="56">
        <v>0.5</v>
      </c>
    </row>
    <row r="13" spans="2:7" x14ac:dyDescent="0.25">
      <c r="G13" s="56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-0.249977111117893"/>
    <pageSetUpPr fitToPage="1"/>
  </sheetPr>
  <dimension ref="C2:X586"/>
  <sheetViews>
    <sheetView zoomScaleNormal="100" workbookViewId="0">
      <pane ySplit="5" topLeftCell="A15" activePane="bottomLeft" state="frozen"/>
      <selection pane="bottomLeft" activeCell="R49" sqref="R49"/>
    </sheetView>
  </sheetViews>
  <sheetFormatPr defaultColWidth="8.85546875" defaultRowHeight="15" x14ac:dyDescent="0.25"/>
  <cols>
    <col min="1" max="1" width="3.140625" customWidth="1"/>
    <col min="2" max="2" width="2.85546875" customWidth="1"/>
    <col min="3" max="3" width="5.28515625" customWidth="1"/>
    <col min="4" max="4" width="13.42578125" customWidth="1"/>
    <col min="5" max="5" width="51.42578125" customWidth="1"/>
    <col min="6" max="6" width="9.42578125" bestFit="1" customWidth="1"/>
    <col min="7" max="7" width="8.42578125" customWidth="1"/>
    <col min="8" max="10" width="13.7109375" customWidth="1"/>
    <col min="11" max="11" width="9.42578125" customWidth="1"/>
    <col min="12" max="12" width="7" customWidth="1"/>
    <col min="13" max="13" width="6.42578125" customWidth="1"/>
    <col min="14" max="14" width="6.42578125" style="11" customWidth="1"/>
    <col min="15" max="15" width="3.42578125" customWidth="1"/>
    <col min="16" max="16" width="6.140625" customWidth="1"/>
    <col min="17" max="17" width="3.42578125" customWidth="1"/>
    <col min="18" max="18" width="44.7109375" customWidth="1"/>
    <col min="19" max="19" width="27" customWidth="1"/>
    <col min="22" max="22" width="11.140625" bestFit="1" customWidth="1"/>
    <col min="23" max="23" width="12.42578125" bestFit="1" customWidth="1"/>
    <col min="24" max="24" width="12" bestFit="1" customWidth="1"/>
    <col min="26" max="27" width="12.140625" bestFit="1" customWidth="1"/>
  </cols>
  <sheetData>
    <row r="2" spans="3:24" ht="27.75" customHeight="1" x14ac:dyDescent="0.25">
      <c r="D2" s="21"/>
      <c r="E2" s="15"/>
      <c r="F2" s="15" t="s">
        <v>32</v>
      </c>
      <c r="I2" s="15"/>
      <c r="J2" s="15"/>
      <c r="L2" s="15" t="s">
        <v>936</v>
      </c>
    </row>
    <row r="3" spans="3:24" ht="18.75" x14ac:dyDescent="0.3">
      <c r="D3" s="3"/>
      <c r="F3" s="3" t="s">
        <v>53</v>
      </c>
      <c r="K3" s="36" t="s">
        <v>54</v>
      </c>
      <c r="L3" s="37">
        <v>2017</v>
      </c>
      <c r="S3" s="77" t="s">
        <v>975</v>
      </c>
    </row>
    <row r="5" spans="3:24" x14ac:dyDescent="0.25">
      <c r="C5" s="40" t="s">
        <v>423</v>
      </c>
      <c r="D5" s="49" t="s">
        <v>55</v>
      </c>
      <c r="E5" s="49" t="s">
        <v>56</v>
      </c>
      <c r="F5" s="49" t="s">
        <v>57</v>
      </c>
      <c r="G5" s="50" t="s">
        <v>424</v>
      </c>
      <c r="H5" s="47" t="s">
        <v>58</v>
      </c>
      <c r="I5" s="47" t="s">
        <v>59</v>
      </c>
      <c r="J5" s="42" t="s">
        <v>456</v>
      </c>
      <c r="K5" s="47" t="s">
        <v>60</v>
      </c>
      <c r="L5" s="48" t="s">
        <v>61</v>
      </c>
      <c r="M5" s="47" t="s">
        <v>62</v>
      </c>
      <c r="N5" s="43" t="s">
        <v>225</v>
      </c>
      <c r="O5" s="43" t="s">
        <v>422</v>
      </c>
      <c r="P5" s="43" t="s">
        <v>454</v>
      </c>
      <c r="Q5" s="43"/>
      <c r="R5" s="41" t="s">
        <v>63</v>
      </c>
      <c r="S5" s="9" t="s">
        <v>551</v>
      </c>
      <c r="T5" s="9"/>
      <c r="U5" s="9"/>
      <c r="V5" s="9"/>
    </row>
    <row r="6" spans="3:24" ht="7.5" customHeight="1" x14ac:dyDescent="0.25">
      <c r="C6" s="39"/>
      <c r="G6" s="45"/>
    </row>
    <row r="7" spans="3:24" ht="7.5" customHeight="1" x14ac:dyDescent="0.25">
      <c r="C7" s="39"/>
      <c r="G7" s="45"/>
      <c r="P7" s="11"/>
      <c r="S7" s="15"/>
      <c r="V7" s="54"/>
      <c r="W7" s="54"/>
      <c r="X7" s="54"/>
    </row>
    <row r="8" spans="3:24" x14ac:dyDescent="0.25">
      <c r="C8" s="39">
        <v>2017</v>
      </c>
      <c r="D8" s="62" t="str">
        <f>+'BT-254.123'!$F$4</f>
        <v>BT-254.123</v>
      </c>
      <c r="E8" s="63" t="str">
        <f>+'BT-254.123'!$F$5</f>
        <v>PABT Supplemental Fire Alarm Systems</v>
      </c>
      <c r="F8" s="64">
        <f>+'BT-254.123'!$F$6</f>
        <v>42823</v>
      </c>
      <c r="G8" s="65" t="str">
        <f>+'BT-254.123'!$G$7</f>
        <v>Public</v>
      </c>
      <c r="H8" s="27">
        <f>+'BT-254.123'!$F$7</f>
        <v>3700000</v>
      </c>
      <c r="I8" s="27">
        <f>+'BT-254.123'!$F$8</f>
        <v>2490000</v>
      </c>
      <c r="J8" s="27"/>
      <c r="K8" s="26">
        <f>+'BT-254.123'!$G$9</f>
        <v>-0.32702702702702702</v>
      </c>
      <c r="L8" s="11" t="str">
        <f>+'BT-254.123'!$F$11</f>
        <v>GOOD</v>
      </c>
      <c r="M8" s="15">
        <f>+'BT-254.123'!$H$12</f>
        <v>7</v>
      </c>
      <c r="N8" s="35" t="s">
        <v>93</v>
      </c>
      <c r="O8" s="15">
        <v>1</v>
      </c>
      <c r="P8" s="35" t="s">
        <v>457</v>
      </c>
      <c r="Q8" s="15"/>
      <c r="R8" s="24" t="s">
        <v>976</v>
      </c>
      <c r="S8" s="62" t="str">
        <f>+'BT-254.123'!$J$4</f>
        <v>Reddy Gunda</v>
      </c>
      <c r="T8" s="15"/>
      <c r="U8" s="15"/>
      <c r="V8" s="54">
        <f t="shared" ref="V8:W23" si="0">+H8</f>
        <v>3700000</v>
      </c>
      <c r="W8" s="54">
        <f t="shared" si="0"/>
        <v>2490000</v>
      </c>
      <c r="X8" s="54">
        <f t="shared" ref="X8:X26" si="1">+V8-W8</f>
        <v>1210000</v>
      </c>
    </row>
    <row r="9" spans="3:24" x14ac:dyDescent="0.25">
      <c r="C9" s="39">
        <v>2017</v>
      </c>
      <c r="D9" s="62" t="str">
        <f>+'LGA-124.255'!$F$4</f>
        <v>LGA-124.255</v>
      </c>
      <c r="E9" s="63" t="str">
        <f>+'LGA-124.255'!$F$5</f>
        <v>Rehab of Runway 22 Deck Wearing Course Panel 1A</v>
      </c>
      <c r="F9" s="64">
        <f>+'LGA-124.255'!$F$6</f>
        <v>42815</v>
      </c>
      <c r="G9" s="65" t="str">
        <f>+'LGA-124.255'!$G$7</f>
        <v>PQL</v>
      </c>
      <c r="H9" s="27">
        <f>+'LGA-124.255'!$F$7</f>
        <v>3750000</v>
      </c>
      <c r="I9" s="27">
        <f>+'LGA-124.255'!$F$8</f>
        <v>2468147</v>
      </c>
      <c r="J9" s="27"/>
      <c r="K9" s="26">
        <f>+'LGA-124.255'!$G$9</f>
        <v>-0.34182746666666669</v>
      </c>
      <c r="L9" s="11" t="str">
        <f>+'LGA-124.255'!$F$11</f>
        <v>FAIL</v>
      </c>
      <c r="M9" s="15">
        <f>+'LGA-124.255'!$H$12</f>
        <v>3</v>
      </c>
      <c r="N9" s="35" t="s">
        <v>93</v>
      </c>
      <c r="O9" s="15">
        <v>1</v>
      </c>
      <c r="P9" s="35" t="s">
        <v>458</v>
      </c>
      <c r="Q9" s="15"/>
      <c r="R9" s="24"/>
      <c r="S9" s="62" t="str">
        <f>+'LGA-124.255'!$J$4</f>
        <v>Joe Lucin</v>
      </c>
      <c r="T9" s="15"/>
      <c r="U9" s="15"/>
      <c r="V9" s="54">
        <f t="shared" si="0"/>
        <v>3750000</v>
      </c>
      <c r="W9" s="54">
        <f t="shared" si="0"/>
        <v>2468147</v>
      </c>
      <c r="X9" s="54">
        <f t="shared" si="1"/>
        <v>1281853</v>
      </c>
    </row>
    <row r="10" spans="3:24" x14ac:dyDescent="0.25">
      <c r="C10" s="39">
        <v>2017</v>
      </c>
      <c r="D10" s="62" t="str">
        <f>+'EWR-154.234'!$F$4</f>
        <v>EWR-154.234</v>
      </c>
      <c r="E10" s="63" t="str">
        <f>+'EWR-154.234'!$F$5</f>
        <v>AOA Light Circuit Replacement</v>
      </c>
      <c r="F10" s="64">
        <f>+'EWR-154.234'!$F$6</f>
        <v>42844</v>
      </c>
      <c r="G10" s="65" t="str">
        <f>+'EWR-154.234'!$G$7</f>
        <v>PQL</v>
      </c>
      <c r="H10" s="27">
        <f>+'EWR-154.234'!$F$7</f>
        <v>18870000</v>
      </c>
      <c r="I10" s="27">
        <f>+'EWR-154.234'!$F$8</f>
        <v>19910000</v>
      </c>
      <c r="J10" s="27"/>
      <c r="K10" s="26">
        <f>+'EWR-154.234'!$G$9</f>
        <v>5.5113937466878642E-2</v>
      </c>
      <c r="L10" s="11" t="str">
        <f>+'EWR-154.234'!$F$11</f>
        <v>GOOD</v>
      </c>
      <c r="M10" s="15">
        <f>+'EWR-154.234'!$H$12</f>
        <v>3</v>
      </c>
      <c r="N10" s="35" t="s">
        <v>93</v>
      </c>
      <c r="O10" s="15">
        <v>1</v>
      </c>
      <c r="P10" s="35" t="s">
        <v>458</v>
      </c>
      <c r="Q10" s="15"/>
      <c r="R10" s="24"/>
      <c r="S10" s="62" t="str">
        <f>+'EWR-154.234'!$J$4</f>
        <v>Henry Yu</v>
      </c>
      <c r="T10" s="15"/>
      <c r="U10" s="15"/>
      <c r="V10" s="54">
        <f t="shared" si="0"/>
        <v>18870000</v>
      </c>
      <c r="W10" s="54">
        <f t="shared" si="0"/>
        <v>19910000</v>
      </c>
      <c r="X10" s="54">
        <f t="shared" si="1"/>
        <v>-1040000</v>
      </c>
    </row>
    <row r="11" spans="3:24" x14ac:dyDescent="0.25">
      <c r="C11" s="39">
        <v>2017</v>
      </c>
      <c r="D11" s="62" t="str">
        <f>+'MFP-072.016'!$F$4</f>
        <v>MFP-072.016</v>
      </c>
      <c r="E11" s="63" t="str">
        <f>+'MFP-072.016'!$F$5</f>
        <v>NY Marine Terminals - Paving and Utilities by Work Order</v>
      </c>
      <c r="F11" s="64">
        <f>+'MFP-072.016'!$F$6</f>
        <v>42810</v>
      </c>
      <c r="G11" s="65" t="str">
        <f>+'MFP-072.016'!$G$7</f>
        <v>MWBE</v>
      </c>
      <c r="H11" s="27">
        <f>+'MFP-072.016'!$F$7</f>
        <v>1425000</v>
      </c>
      <c r="I11" s="27">
        <f>+'MFP-072.016'!$F$8</f>
        <v>1087425</v>
      </c>
      <c r="J11" s="27"/>
      <c r="K11" s="26">
        <f>+'MFP-072.016'!$G$9</f>
        <v>-0.23689473684210527</v>
      </c>
      <c r="L11" s="11" t="str">
        <f>+'MFP-072.016'!$F$11</f>
        <v>GOOD</v>
      </c>
      <c r="M11" s="15">
        <f>+'MFP-072.016'!$H$12</f>
        <v>6</v>
      </c>
      <c r="N11" s="35" t="s">
        <v>93</v>
      </c>
      <c r="O11" s="15">
        <v>1</v>
      </c>
      <c r="P11" s="35" t="s">
        <v>492</v>
      </c>
      <c r="Q11" s="15"/>
      <c r="R11" s="24"/>
      <c r="S11" s="62" t="str">
        <f>+'MFP-072.016'!$J$4</f>
        <v>Ed Minall</v>
      </c>
      <c r="T11" s="15"/>
      <c r="U11" s="15"/>
      <c r="V11" s="54">
        <f t="shared" si="0"/>
        <v>1425000</v>
      </c>
      <c r="W11" s="54">
        <f t="shared" si="0"/>
        <v>1087425</v>
      </c>
      <c r="X11" s="54">
        <f t="shared" si="1"/>
        <v>337575</v>
      </c>
    </row>
    <row r="12" spans="3:24" x14ac:dyDescent="0.25">
      <c r="C12" s="39">
        <v>2017</v>
      </c>
      <c r="D12" s="62" t="str">
        <f>+'GWB-244.263'!$F$4</f>
        <v>GWB-244.263</v>
      </c>
      <c r="E12" s="63" t="str">
        <f>+'GWB-244.263'!$F$5</f>
        <v>Replacement of Automatic Transfer Switches</v>
      </c>
      <c r="F12" s="64">
        <f>+'GWB-244.263'!$F$6</f>
        <v>42789</v>
      </c>
      <c r="G12" s="65" t="str">
        <f>+'GWB-244.263'!$G$7</f>
        <v>MWBE</v>
      </c>
      <c r="H12" s="27">
        <f>+'GWB-244.263'!$F$7</f>
        <v>240000</v>
      </c>
      <c r="I12" s="27">
        <f>+'GWB-244.263'!$F$8</f>
        <v>97300</v>
      </c>
      <c r="J12" s="27"/>
      <c r="K12" s="26">
        <f>+'GWB-244.263'!$G$9</f>
        <v>-0.59458333333333335</v>
      </c>
      <c r="L12" s="11" t="str">
        <f>+'GWB-244.263'!$F$11</f>
        <v>FAIL</v>
      </c>
      <c r="M12" s="15">
        <f>+'GWB-244.263'!$H$12</f>
        <v>6</v>
      </c>
      <c r="N12" s="35" t="s">
        <v>25</v>
      </c>
      <c r="O12" s="15">
        <v>1</v>
      </c>
      <c r="P12" s="35" t="s">
        <v>457</v>
      </c>
      <c r="Q12" s="15"/>
      <c r="R12" s="24"/>
      <c r="S12" s="62" t="str">
        <f>+'GWB-244.263'!$J$4</f>
        <v>Reddy Gunda</v>
      </c>
      <c r="T12" s="15"/>
      <c r="U12" s="15"/>
      <c r="V12" s="54">
        <f t="shared" si="0"/>
        <v>240000</v>
      </c>
      <c r="W12" s="54">
        <f t="shared" si="0"/>
        <v>97300</v>
      </c>
      <c r="X12" s="54">
        <f t="shared" si="1"/>
        <v>142700</v>
      </c>
    </row>
    <row r="13" spans="3:24" x14ac:dyDescent="0.25">
      <c r="C13" s="39">
        <v>2017</v>
      </c>
      <c r="D13" s="62" t="str">
        <f>+'GWB-244.048'!$F$4</f>
        <v>GWB-244.048</v>
      </c>
      <c r="E13" s="63" t="str">
        <f>+'GWB-244.048'!$F$5</f>
        <v>Replacement of Suspender Ropes and Rehab of Main Cables &amp; Strands</v>
      </c>
      <c r="F13" s="64">
        <f>+'GWB-244.048'!$F$6</f>
        <v>42789</v>
      </c>
      <c r="G13" s="65" t="str">
        <f>+'GWB-244.048'!$G$7</f>
        <v>PQL</v>
      </c>
      <c r="H13" s="94">
        <f>+'GWB-244.048'!$F$7</f>
        <v>479900000</v>
      </c>
      <c r="I13" s="27">
        <f>+'GWB-244.048'!$F$8</f>
        <v>451841280</v>
      </c>
      <c r="J13" s="27"/>
      <c r="K13" s="26">
        <f>+'GWB-244.048'!$G$9</f>
        <v>-5.8467847468222547E-2</v>
      </c>
      <c r="L13" s="11" t="str">
        <f>+'GWB-244.048'!$F$11</f>
        <v>GOOD</v>
      </c>
      <c r="M13" s="15">
        <f>+'GWB-244.048'!$H$12</f>
        <v>5</v>
      </c>
      <c r="N13" s="35" t="s">
        <v>226</v>
      </c>
      <c r="O13" s="15">
        <v>1</v>
      </c>
      <c r="P13" s="35" t="s">
        <v>457</v>
      </c>
      <c r="Q13" s="15"/>
      <c r="R13" s="24"/>
      <c r="S13" s="62" t="str">
        <f>+'GWB-244.048'!$J$4</f>
        <v>Reddy Gunda</v>
      </c>
      <c r="T13" s="15"/>
      <c r="U13" s="15"/>
      <c r="V13" s="54">
        <f t="shared" si="0"/>
        <v>479900000</v>
      </c>
      <c r="W13" s="54">
        <f t="shared" si="0"/>
        <v>451841280</v>
      </c>
      <c r="X13" s="54">
        <f t="shared" si="1"/>
        <v>28058720</v>
      </c>
    </row>
    <row r="14" spans="3:24" x14ac:dyDescent="0.25">
      <c r="C14" s="39">
        <v>2017</v>
      </c>
      <c r="D14" s="62" t="str">
        <f>+'LGA-124.250'!$F$4</f>
        <v>LGA-124.250</v>
      </c>
      <c r="E14" s="63" t="str">
        <f>+'LGA-124.250'!$F$5</f>
        <v>Rehab Taxiways B, AA, BB, and Associated Taxiways</v>
      </c>
      <c r="F14" s="64">
        <f>+'LGA-124.250'!$F$6</f>
        <v>42787</v>
      </c>
      <c r="G14" s="65" t="str">
        <f>+'LGA-124.250'!$G$7</f>
        <v>PQL</v>
      </c>
      <c r="H14" s="94">
        <f>+'LGA-124.250'!$F$7</f>
        <v>10393000</v>
      </c>
      <c r="I14" s="27">
        <f>+'LGA-124.250'!$F$8</f>
        <v>7903950</v>
      </c>
      <c r="J14" s="27"/>
      <c r="K14" s="26">
        <f>+'LGA-124.250'!$G$9</f>
        <v>-0.2394929279322621</v>
      </c>
      <c r="L14" s="11" t="str">
        <f>+'LGA-124.250'!$F$11</f>
        <v>FAIL</v>
      </c>
      <c r="M14" s="15">
        <f>+'LGA-124.250'!$H$12</f>
        <v>3</v>
      </c>
      <c r="N14" s="35" t="s">
        <v>93</v>
      </c>
      <c r="O14" s="15">
        <v>1</v>
      </c>
      <c r="P14" s="35" t="s">
        <v>458</v>
      </c>
      <c r="Q14" s="15"/>
      <c r="R14" s="24" t="s">
        <v>932</v>
      </c>
      <c r="S14" s="62" t="str">
        <f>+'LGA-124.250'!$J$4</f>
        <v>Joe Lucin</v>
      </c>
      <c r="T14" s="15"/>
      <c r="U14" s="15"/>
      <c r="V14" s="54">
        <f t="shared" si="0"/>
        <v>10393000</v>
      </c>
      <c r="W14" s="54">
        <f t="shared" si="0"/>
        <v>7903950</v>
      </c>
      <c r="X14" s="54">
        <f t="shared" si="1"/>
        <v>2489050</v>
      </c>
    </row>
    <row r="15" spans="3:24" x14ac:dyDescent="0.25">
      <c r="C15" s="39">
        <v>2017</v>
      </c>
      <c r="D15" s="62" t="str">
        <f>+'TEB-144.045'!$F$4</f>
        <v>TEB-144.045</v>
      </c>
      <c r="E15" s="63" t="str">
        <f>+'TEB-144.045'!$F$5</f>
        <v>Storm Drainage System Rehab Phase 1</v>
      </c>
      <c r="F15" s="64">
        <f>+'TEB-144.045'!$F$6</f>
        <v>42780</v>
      </c>
      <c r="G15" s="65" t="str">
        <f>+'TEB-144.045'!$G$7</f>
        <v>Public</v>
      </c>
      <c r="H15" s="94">
        <f>+'TEB-144.045'!$F$7</f>
        <v>2580000</v>
      </c>
      <c r="I15" s="27">
        <f>+'TEB-144.045'!$F$8</f>
        <v>1386000</v>
      </c>
      <c r="J15" s="27"/>
      <c r="K15" s="26">
        <f>+'TEB-144.045'!$G$9</f>
        <v>-0.46279069767441861</v>
      </c>
      <c r="L15" s="11" t="str">
        <f>+'TEB-144.045'!$F$11</f>
        <v>GOOD</v>
      </c>
      <c r="M15" s="15">
        <f>+'TEB-144.045'!$H$12</f>
        <v>16</v>
      </c>
      <c r="N15" s="35" t="s">
        <v>25</v>
      </c>
      <c r="O15" s="15">
        <v>1</v>
      </c>
      <c r="P15" s="35" t="s">
        <v>458</v>
      </c>
      <c r="Q15" s="15"/>
      <c r="R15" s="24" t="s">
        <v>910</v>
      </c>
      <c r="S15" s="62" t="str">
        <f>+'EWR-924.375'!$J$4</f>
        <v>Henry Yu</v>
      </c>
      <c r="T15" s="15"/>
      <c r="U15" s="15"/>
      <c r="V15" s="54">
        <f t="shared" si="0"/>
        <v>2580000</v>
      </c>
      <c r="W15" s="54">
        <f t="shared" si="0"/>
        <v>1386000</v>
      </c>
      <c r="X15" s="54">
        <f t="shared" si="1"/>
        <v>1194000</v>
      </c>
    </row>
    <row r="16" spans="3:24" x14ac:dyDescent="0.25">
      <c r="C16" s="39">
        <v>2017</v>
      </c>
      <c r="D16" s="62" t="str">
        <f>+'EWR-924.375'!$F$4</f>
        <v>EWR-924.375</v>
      </c>
      <c r="E16" s="63" t="str">
        <f>+'EWR-924.375'!$F$5</f>
        <v>Peripheral Ditch Containment Boom Anchor Walls</v>
      </c>
      <c r="F16" s="64">
        <f>+'EWR-924.375'!$F$6</f>
        <v>42774</v>
      </c>
      <c r="G16" s="65" t="str">
        <f>+'EWR-924.375'!$G$7</f>
        <v>Public</v>
      </c>
      <c r="H16" s="94">
        <f>+'EWR-924.375'!$F$7</f>
        <v>970000</v>
      </c>
      <c r="I16" s="27">
        <f>+'EWR-924.375'!$F$8</f>
        <v>756482</v>
      </c>
      <c r="J16" s="27"/>
      <c r="K16" s="26">
        <f>+'EWR-924.375'!$G$9</f>
        <v>-0.22012164948453608</v>
      </c>
      <c r="L16" s="11" t="str">
        <f>+'EWR-924.375'!$F$11</f>
        <v>GOOD</v>
      </c>
      <c r="M16" s="15">
        <f>+'EWR-924.375'!$H$12</f>
        <v>9</v>
      </c>
      <c r="N16" s="35" t="s">
        <v>25</v>
      </c>
      <c r="O16" s="15">
        <v>1</v>
      </c>
      <c r="P16" s="35" t="s">
        <v>458</v>
      </c>
      <c r="Q16" s="15"/>
      <c r="R16" s="24"/>
      <c r="S16" s="62" t="str">
        <f>+'EWR-924.375'!$J$4</f>
        <v>Henry Yu</v>
      </c>
      <c r="T16" s="15"/>
      <c r="U16" s="15"/>
      <c r="V16" s="54">
        <f t="shared" si="0"/>
        <v>970000</v>
      </c>
      <c r="W16" s="54">
        <f t="shared" si="0"/>
        <v>756482</v>
      </c>
      <c r="X16" s="54">
        <f t="shared" si="1"/>
        <v>213518</v>
      </c>
    </row>
    <row r="17" spans="3:24" x14ac:dyDescent="0.25">
      <c r="C17" s="39">
        <v>2017</v>
      </c>
      <c r="D17" s="62" t="str">
        <f>+'GWB-924.170'!$F$4</f>
        <v>GWB-924.170</v>
      </c>
      <c r="E17" s="63" t="str">
        <f>+'GWB-924.170'!$F$5</f>
        <v>Maintenance Pavement Repairs via Work Order</v>
      </c>
      <c r="F17" s="64">
        <f>+'GWB-924.170'!$F$6</f>
        <v>42773</v>
      </c>
      <c r="G17" s="65" t="str">
        <f>+'GWB-924.170'!$G$7</f>
        <v>PQL</v>
      </c>
      <c r="H17" s="94">
        <f>+'GWB-924.170'!$F$7</f>
        <v>1965000</v>
      </c>
      <c r="I17" s="27">
        <f>+'GWB-924.170'!$F$8</f>
        <v>1450000</v>
      </c>
      <c r="J17" s="27"/>
      <c r="K17" s="26">
        <f>+'GWB-924.170'!$G$9</f>
        <v>-0.26208651399491095</v>
      </c>
      <c r="L17" s="11" t="str">
        <f>+'GWB-924.170'!$F$11</f>
        <v>GOOD</v>
      </c>
      <c r="M17" s="15">
        <f>+'GWB-924.170'!$H$12</f>
        <v>6</v>
      </c>
      <c r="N17" s="35" t="s">
        <v>226</v>
      </c>
      <c r="O17" s="15">
        <v>1</v>
      </c>
      <c r="P17" s="35" t="s">
        <v>457</v>
      </c>
      <c r="Q17" s="15"/>
      <c r="R17" s="24" t="s">
        <v>900</v>
      </c>
      <c r="S17" s="62" t="str">
        <f>+'GWB-924.170'!$J$4</f>
        <v>Reddy Gunda</v>
      </c>
      <c r="T17" s="15"/>
      <c r="U17" s="15"/>
      <c r="V17" s="54">
        <f t="shared" si="0"/>
        <v>1965000</v>
      </c>
      <c r="W17" s="54">
        <f t="shared" si="0"/>
        <v>1450000</v>
      </c>
      <c r="X17" s="54">
        <f t="shared" si="1"/>
        <v>515000</v>
      </c>
    </row>
    <row r="18" spans="3:24" x14ac:dyDescent="0.25">
      <c r="C18" s="39">
        <v>2017</v>
      </c>
      <c r="D18" s="62" t="str">
        <f>+'JFK-124.009'!$F$4</f>
        <v>JFK-124.009</v>
      </c>
      <c r="E18" s="63" t="str">
        <f>+'JFK-124.009'!$F$5</f>
        <v>Bldg 14 Roof Replacement, East Wing</v>
      </c>
      <c r="F18" s="64">
        <f>+'JFK-124.009'!$F$6</f>
        <v>42768</v>
      </c>
      <c r="G18" s="65" t="str">
        <f>+'JFK-124.009'!$G$7</f>
        <v>Public</v>
      </c>
      <c r="H18" s="94">
        <f>+'JFK-124.009'!$F$7</f>
        <v>4800000</v>
      </c>
      <c r="I18" s="27">
        <f>+'JFK-124.009'!$F$8</f>
        <v>3901193</v>
      </c>
      <c r="J18" s="27"/>
      <c r="K18" s="26">
        <f>+'JFK-124.009'!$G$9</f>
        <v>-0.18725145833333334</v>
      </c>
      <c r="L18" s="11" t="str">
        <f>+'JFK-124.009'!$F$11</f>
        <v>GOOD</v>
      </c>
      <c r="M18" s="15">
        <f>+'JFK-124.009'!$H$12</f>
        <v>14</v>
      </c>
      <c r="N18" s="35" t="s">
        <v>93</v>
      </c>
      <c r="O18" s="15">
        <v>1</v>
      </c>
      <c r="P18" s="35" t="s">
        <v>458</v>
      </c>
      <c r="Q18" s="15"/>
      <c r="R18" s="24"/>
      <c r="S18" s="62" t="str">
        <f>+'JFK-124.009'!$J$4</f>
        <v>Henry Yu</v>
      </c>
      <c r="T18" s="15"/>
      <c r="U18" s="15"/>
      <c r="V18" s="54">
        <f t="shared" si="0"/>
        <v>4800000</v>
      </c>
      <c r="W18" s="54">
        <f t="shared" si="0"/>
        <v>3901193</v>
      </c>
      <c r="X18" s="54">
        <f t="shared" si="1"/>
        <v>898807</v>
      </c>
    </row>
    <row r="19" spans="3:24" x14ac:dyDescent="0.25">
      <c r="C19" s="39">
        <v>2017</v>
      </c>
      <c r="D19" s="62" t="str">
        <f>+'MFP-924.645 Void'!$F$4</f>
        <v>MFP-924.645</v>
      </c>
      <c r="E19" s="63" t="str">
        <f>+'MFP-924.645 Void'!$F$5</f>
        <v>NJ Paving and Utility Rehab by Work Order</v>
      </c>
      <c r="F19" s="64">
        <f>+'MFP-924.645 Void'!$F$6</f>
        <v>42766</v>
      </c>
      <c r="G19" s="65"/>
      <c r="H19" s="94"/>
      <c r="I19" s="27"/>
      <c r="J19" s="27"/>
      <c r="K19" s="26"/>
      <c r="L19" s="11"/>
      <c r="M19" s="15"/>
      <c r="N19" s="35"/>
      <c r="O19" s="15"/>
      <c r="P19" s="35"/>
      <c r="Q19" s="15"/>
      <c r="R19" s="24" t="s">
        <v>472</v>
      </c>
      <c r="S19" s="62" t="str">
        <f>+'MFP-924.645 Void'!$J$4</f>
        <v>Ed Minall</v>
      </c>
      <c r="T19" s="15"/>
      <c r="U19" s="15"/>
      <c r="V19" s="54">
        <f t="shared" si="0"/>
        <v>0</v>
      </c>
      <c r="W19" s="54">
        <f t="shared" si="0"/>
        <v>0</v>
      </c>
      <c r="X19" s="54">
        <f t="shared" si="1"/>
        <v>0</v>
      </c>
    </row>
    <row r="20" spans="3:24" x14ac:dyDescent="0.25">
      <c r="C20" s="39">
        <v>2017</v>
      </c>
      <c r="D20" s="62" t="str">
        <f>+'JFK-154.022'!$F$4</f>
        <v>JFK-154.022</v>
      </c>
      <c r="E20" s="63" t="str">
        <f>+'JFK-154.022'!$F$5</f>
        <v>Vehicle Gates Security Upgrade</v>
      </c>
      <c r="F20" s="64">
        <f>+'JFK-154.022'!$F$6</f>
        <v>42765</v>
      </c>
      <c r="G20" s="65" t="str">
        <f>+'JFK-154.022'!$G$7</f>
        <v>VVP</v>
      </c>
      <c r="H20" s="94">
        <f>+'JFK-154.022'!$F$7</f>
        <v>6500000</v>
      </c>
      <c r="I20" s="27">
        <f>+'JFK-154.022'!$F$8</f>
        <v>5987000</v>
      </c>
      <c r="J20" s="27"/>
      <c r="K20" s="26">
        <f>+'JFK-154.022'!$G$9</f>
        <v>-7.8923076923076929E-2</v>
      </c>
      <c r="L20" s="11" t="str">
        <f>+'JFK-154.022'!$F$11</f>
        <v>GOOD</v>
      </c>
      <c r="M20" s="15">
        <f>+'JFK-154.022'!$H$12</f>
        <v>5</v>
      </c>
      <c r="N20" s="35" t="s">
        <v>93</v>
      </c>
      <c r="O20" s="15">
        <v>1</v>
      </c>
      <c r="P20" s="35" t="s">
        <v>458</v>
      </c>
      <c r="Q20" s="15"/>
      <c r="R20" s="24"/>
      <c r="S20" s="62" t="str">
        <f>+'JFK-154.022'!$J$4</f>
        <v>Nathan Demaisip</v>
      </c>
      <c r="T20" s="15"/>
      <c r="U20" s="15"/>
      <c r="V20" s="54">
        <f t="shared" si="0"/>
        <v>6500000</v>
      </c>
      <c r="W20" s="54">
        <f t="shared" si="0"/>
        <v>5987000</v>
      </c>
      <c r="X20" s="54">
        <f t="shared" si="1"/>
        <v>513000</v>
      </c>
    </row>
    <row r="21" spans="3:24" x14ac:dyDescent="0.25">
      <c r="C21" s="39">
        <v>2017</v>
      </c>
      <c r="D21" s="62" t="str">
        <f>+'LGA-103.015'!$F$4</f>
        <v>LGA-103.015</v>
      </c>
      <c r="E21" s="63" t="str">
        <f>+'LGA-103.015'!$F$5</f>
        <v>Pump House 6 Substation</v>
      </c>
      <c r="F21" s="64">
        <f>+'LGA-103.015'!$F$6</f>
        <v>42761</v>
      </c>
      <c r="G21" s="65" t="str">
        <f>+'LGA-103.015'!$G$7</f>
        <v>Public</v>
      </c>
      <c r="H21" s="94">
        <f>+'LGA-103.015'!$F$7</f>
        <v>5100000</v>
      </c>
      <c r="I21" s="27">
        <f>+'LGA-103.015'!$F$8</f>
        <v>4640176</v>
      </c>
      <c r="J21" s="27"/>
      <c r="K21" s="26">
        <f>+'LGA-103.015'!$G$9</f>
        <v>-9.0161568627450978E-2</v>
      </c>
      <c r="L21" s="11" t="str">
        <f>+'LGA-103.015'!$F$11</f>
        <v>GOOD</v>
      </c>
      <c r="M21" s="15">
        <f>+'LGA-103.015'!$H$12</f>
        <v>7</v>
      </c>
      <c r="N21" s="35" t="s">
        <v>93</v>
      </c>
      <c r="O21" s="15">
        <v>1</v>
      </c>
      <c r="P21" s="35" t="s">
        <v>458</v>
      </c>
      <c r="Q21" s="15"/>
      <c r="R21" s="24"/>
      <c r="S21" s="62" t="str">
        <f>+'LGA-103.015'!$J$4</f>
        <v>Joe Lucin</v>
      </c>
      <c r="T21" s="15"/>
      <c r="U21" s="15"/>
      <c r="V21" s="54">
        <f t="shared" si="0"/>
        <v>5100000</v>
      </c>
      <c r="W21" s="54">
        <f t="shared" si="0"/>
        <v>4640176</v>
      </c>
      <c r="X21" s="54">
        <f t="shared" si="1"/>
        <v>459824</v>
      </c>
    </row>
    <row r="22" spans="3:24" x14ac:dyDescent="0.25">
      <c r="C22" s="39">
        <v>2017</v>
      </c>
      <c r="D22" s="62" t="str">
        <f>+'EWR-154.392'!$F$4</f>
        <v>EWR-154.392</v>
      </c>
      <c r="E22" s="63" t="str">
        <f>+'EWR-154.392'!$F$5</f>
        <v xml:space="preserve">Terminal A Redev - Bridges N57, N58, N59 and Utilities </v>
      </c>
      <c r="F22" s="64">
        <f>+'EWR-154.392'!$F$6</f>
        <v>42759</v>
      </c>
      <c r="G22" s="65" t="str">
        <f>+'EWR-154.392'!$G$7</f>
        <v>PQL</v>
      </c>
      <c r="H22" s="94">
        <f>+'EWR-154.392'!$F$7</f>
        <v>69800000</v>
      </c>
      <c r="I22" s="27">
        <f>+'EWR-154.392'!$F$8</f>
        <v>67107000</v>
      </c>
      <c r="J22" s="27"/>
      <c r="K22" s="26">
        <f>+'EWR-154.392'!$G$9</f>
        <v>-3.8581661891117482E-2</v>
      </c>
      <c r="L22" s="11" t="str">
        <f>+'EWR-154.392'!$F$11</f>
        <v>GOOD</v>
      </c>
      <c r="M22" s="15">
        <f>+'EWR-154.392'!$H$12</f>
        <v>9</v>
      </c>
      <c r="N22" s="35" t="s">
        <v>25</v>
      </c>
      <c r="O22" s="15">
        <v>1</v>
      </c>
      <c r="P22" s="35" t="s">
        <v>458</v>
      </c>
      <c r="Q22" s="15"/>
      <c r="R22" s="24"/>
      <c r="S22" s="62" t="str">
        <f>+'EWR-154.392'!$J$4</f>
        <v>Henry Yu</v>
      </c>
      <c r="T22" s="15"/>
      <c r="U22" s="15"/>
      <c r="V22" s="54">
        <f t="shared" si="0"/>
        <v>69800000</v>
      </c>
      <c r="W22" s="54">
        <f t="shared" si="0"/>
        <v>67107000</v>
      </c>
      <c r="X22" s="54">
        <f t="shared" si="1"/>
        <v>2693000</v>
      </c>
    </row>
    <row r="23" spans="3:24" x14ac:dyDescent="0.25">
      <c r="C23" s="39">
        <v>2017</v>
      </c>
      <c r="D23" s="62" t="str">
        <f>+'HT-924.089'!$F$4</f>
        <v>HT-924.089</v>
      </c>
      <c r="E23" s="63" t="str">
        <f>+'HT-924.089'!$F$5</f>
        <v>NJ Service Building 1 and 2 Priority Repairs</v>
      </c>
      <c r="F23" s="64">
        <f>+'HT-924.089'!$F$6</f>
        <v>42753</v>
      </c>
      <c r="G23" s="65" t="str">
        <f>+'HT-924.089'!$G$7</f>
        <v>MWBE</v>
      </c>
      <c r="H23" s="94">
        <f>+'HT-924.089'!$F$7</f>
        <v>1410000</v>
      </c>
      <c r="I23" s="27">
        <f>+'HT-924.089'!$F$8</f>
        <v>1399756</v>
      </c>
      <c r="J23" s="27"/>
      <c r="K23" s="26">
        <f>+'HT-924.089'!$G$9</f>
        <v>-7.2652482269503545E-3</v>
      </c>
      <c r="L23" s="11" t="str">
        <f>+'HT-924.089'!$F$11</f>
        <v>GOOD</v>
      </c>
      <c r="M23" s="15">
        <f>+'HT-924.089'!$H$12</f>
        <v>3</v>
      </c>
      <c r="N23" s="35" t="s">
        <v>25</v>
      </c>
      <c r="O23" s="15">
        <v>1</v>
      </c>
      <c r="P23" s="35" t="s">
        <v>457</v>
      </c>
      <c r="Q23" s="15"/>
      <c r="R23" s="24"/>
      <c r="S23" s="62" t="str">
        <f>+'HT-924.089'!$J$4</f>
        <v>Reddy Gunda</v>
      </c>
      <c r="T23" s="15"/>
      <c r="U23" s="15"/>
      <c r="V23" s="54">
        <f t="shared" si="0"/>
        <v>1410000</v>
      </c>
      <c r="W23" s="54">
        <f t="shared" si="0"/>
        <v>1399756</v>
      </c>
      <c r="X23" s="54">
        <f t="shared" si="1"/>
        <v>10244</v>
      </c>
    </row>
    <row r="24" spans="3:24" x14ac:dyDescent="0.25">
      <c r="C24" s="39">
        <v>2017</v>
      </c>
      <c r="D24" s="62" t="str">
        <f>+'MFP-924.644'!$F$4</f>
        <v>MFP-924.644</v>
      </c>
      <c r="E24" s="63" t="str">
        <f>+'MFP-924.644'!$F$5</f>
        <v>NJ Marine Terminals Railroad Rehab via Work Order</v>
      </c>
      <c r="F24" s="64">
        <f>+'MFP-924.644'!$F$6</f>
        <v>42752</v>
      </c>
      <c r="G24" s="65" t="str">
        <f>+'MFP-924.644'!$G$7</f>
        <v>Public</v>
      </c>
      <c r="H24" s="94">
        <f>+'MFP-924.644'!$F$7</f>
        <v>4200000</v>
      </c>
      <c r="I24" s="27">
        <f>+'MFP-924.644'!$F$8</f>
        <v>3987114</v>
      </c>
      <c r="J24" s="27"/>
      <c r="K24" s="26">
        <f>+'MFP-924.644'!$G$9</f>
        <v>-5.0687142857142854E-2</v>
      </c>
      <c r="L24" s="11" t="str">
        <f>+'MFP-924.644'!$F$11</f>
        <v>GOOD</v>
      </c>
      <c r="M24" s="15">
        <f>+'MFP-924.644'!$H$12</f>
        <v>3</v>
      </c>
      <c r="N24" s="35" t="s">
        <v>25</v>
      </c>
      <c r="O24" s="15">
        <v>1</v>
      </c>
      <c r="P24" s="35" t="s">
        <v>492</v>
      </c>
      <c r="Q24" s="15"/>
      <c r="R24" s="24"/>
      <c r="S24" s="62" t="str">
        <f>+'MFP-924.644'!$J$4</f>
        <v>Ed Minall</v>
      </c>
      <c r="T24" s="15"/>
      <c r="U24" s="15"/>
      <c r="V24" s="54">
        <f t="shared" ref="V24:W26" si="2">+H24</f>
        <v>4200000</v>
      </c>
      <c r="W24" s="54">
        <f t="shared" si="2"/>
        <v>3987114</v>
      </c>
      <c r="X24" s="54">
        <f t="shared" si="1"/>
        <v>212886</v>
      </c>
    </row>
    <row r="25" spans="3:24" x14ac:dyDescent="0.25">
      <c r="C25" s="39">
        <v>2017</v>
      </c>
      <c r="D25" s="62" t="str">
        <f>+'JFK-1067'!$F$4</f>
        <v>JFK-1067</v>
      </c>
      <c r="E25" s="63" t="str">
        <f>+'JFK-1067'!$F$5</f>
        <v>Asphalt Pavement Repairs via Work Order</v>
      </c>
      <c r="F25" s="64">
        <f>+'JFK-1067'!$F$6</f>
        <v>42746</v>
      </c>
      <c r="G25" s="65" t="str">
        <f>+'JFK-1067'!$G$7</f>
        <v>PQL</v>
      </c>
      <c r="H25" s="94">
        <f>+'JFK-1067'!$F$7</f>
        <v>12071025</v>
      </c>
      <c r="I25" s="27">
        <f>+'JFK-1067'!$F$8</f>
        <v>9977777</v>
      </c>
      <c r="J25" s="27"/>
      <c r="K25" s="26">
        <f>+'JFK-1067'!$G$9</f>
        <v>-0.17341095723022693</v>
      </c>
      <c r="L25" s="11" t="str">
        <f>+'JFK-1067'!$F$11</f>
        <v>FAIL</v>
      </c>
      <c r="M25" s="15">
        <f>+'JFK-1067'!$H$12</f>
        <v>3</v>
      </c>
      <c r="N25" s="35" t="s">
        <v>93</v>
      </c>
      <c r="O25" s="15">
        <v>1</v>
      </c>
      <c r="P25" s="35" t="s">
        <v>458</v>
      </c>
      <c r="Q25" s="15"/>
      <c r="R25" s="24"/>
      <c r="S25" s="62" t="str">
        <f>+'JFK-1067'!$J$4</f>
        <v>Henry Yu</v>
      </c>
      <c r="T25" s="15"/>
      <c r="U25" s="15"/>
      <c r="V25" s="54">
        <f t="shared" si="2"/>
        <v>12071025</v>
      </c>
      <c r="W25" s="54">
        <f t="shared" si="2"/>
        <v>9977777</v>
      </c>
      <c r="X25" s="54">
        <f t="shared" si="1"/>
        <v>2093248</v>
      </c>
    </row>
    <row r="26" spans="3:24" x14ac:dyDescent="0.25">
      <c r="C26" s="39">
        <v>2017</v>
      </c>
      <c r="D26" s="62" t="str">
        <f>+'JFK-124.016'!$F$4</f>
        <v>JFK-124.016</v>
      </c>
      <c r="E26" s="63" t="str">
        <f>+'JFK-124.016'!$F$5</f>
        <v>Rehab Taxiway Q, QG and Restricted Vehicle Service Road</v>
      </c>
      <c r="F26" s="64">
        <f>+'JFK-124.016'!$F$6</f>
        <v>42739</v>
      </c>
      <c r="G26" s="65" t="str">
        <f>+'JFK-124.016'!$G$7</f>
        <v>PQL</v>
      </c>
      <c r="H26" s="94">
        <f>+'JFK-124.016'!$F$7</f>
        <v>28695000</v>
      </c>
      <c r="I26" s="27">
        <f>+'JFK-124.016'!$F$8</f>
        <v>31768035</v>
      </c>
      <c r="J26" s="27"/>
      <c r="K26" s="26">
        <f>+'JFK-124.016'!$G$9</f>
        <v>0.10709304756926294</v>
      </c>
      <c r="L26" s="11" t="str">
        <f>+'JFK-124.016'!$F$11</f>
        <v>GOOD</v>
      </c>
      <c r="M26" s="15">
        <f>+'JFK-124.016'!$H$12</f>
        <v>2</v>
      </c>
      <c r="N26" s="35" t="s">
        <v>93</v>
      </c>
      <c r="O26" s="15">
        <v>1</v>
      </c>
      <c r="P26" s="35" t="s">
        <v>458</v>
      </c>
      <c r="Q26" s="15"/>
      <c r="R26" s="24"/>
      <c r="S26" s="62" t="str">
        <f>+'JFK-124.016'!$J$4</f>
        <v>Henry Yu</v>
      </c>
      <c r="T26" s="15"/>
      <c r="U26" s="15"/>
      <c r="V26" s="54">
        <f t="shared" si="2"/>
        <v>28695000</v>
      </c>
      <c r="W26" s="54">
        <f t="shared" si="2"/>
        <v>31768035</v>
      </c>
      <c r="X26" s="54">
        <f t="shared" si="1"/>
        <v>-3073035</v>
      </c>
    </row>
    <row r="27" spans="3:24" ht="7.5" customHeight="1" x14ac:dyDescent="0.25">
      <c r="C27" s="39"/>
      <c r="G27" s="45"/>
      <c r="P27" s="11"/>
      <c r="S27" s="15"/>
      <c r="V27" s="54"/>
      <c r="W27" s="54"/>
      <c r="X27" s="54"/>
    </row>
    <row r="28" spans="3:24" x14ac:dyDescent="0.25">
      <c r="C28" s="39"/>
    </row>
    <row r="29" spans="3:24" s="96" customFormat="1" x14ac:dyDescent="0.25">
      <c r="C29" s="95"/>
      <c r="N29" s="97"/>
    </row>
    <row r="30" spans="3:24" x14ac:dyDescent="0.25">
      <c r="C30" s="39"/>
    </row>
    <row r="31" spans="3:24" x14ac:dyDescent="0.25">
      <c r="C31" s="39"/>
    </row>
    <row r="32" spans="3:24" x14ac:dyDescent="0.25">
      <c r="C32" s="39"/>
    </row>
    <row r="33" spans="3:24" x14ac:dyDescent="0.25">
      <c r="C33" s="39"/>
    </row>
    <row r="34" spans="3:24" x14ac:dyDescent="0.25">
      <c r="C34" s="39">
        <v>2017</v>
      </c>
      <c r="D34" s="62" t="s">
        <v>966</v>
      </c>
      <c r="E34" s="63" t="s">
        <v>967</v>
      </c>
      <c r="F34" s="64">
        <v>42823</v>
      </c>
      <c r="G34" s="65" t="s">
        <v>34</v>
      </c>
      <c r="H34" s="27">
        <v>3700000</v>
      </c>
      <c r="I34" s="27">
        <v>2490000</v>
      </c>
      <c r="J34" s="27"/>
      <c r="K34" s="26">
        <v>-0.32702702702702702</v>
      </c>
      <c r="L34" s="11" t="s">
        <v>464</v>
      </c>
      <c r="M34" s="15">
        <v>7</v>
      </c>
      <c r="N34" s="35" t="s">
        <v>93</v>
      </c>
      <c r="O34" s="15">
        <v>1</v>
      </c>
      <c r="P34" s="35" t="s">
        <v>457</v>
      </c>
      <c r="Q34" s="15"/>
      <c r="R34" s="24" t="s">
        <v>976</v>
      </c>
      <c r="S34" s="62" t="s">
        <v>630</v>
      </c>
      <c r="T34" s="15"/>
      <c r="U34" s="15"/>
      <c r="V34" s="54">
        <v>3700000</v>
      </c>
      <c r="W34" s="54">
        <v>2490000</v>
      </c>
      <c r="X34" s="54">
        <v>1210000</v>
      </c>
    </row>
    <row r="35" spans="3:24" x14ac:dyDescent="0.25">
      <c r="C35" s="39">
        <v>2017</v>
      </c>
      <c r="D35" s="62" t="s">
        <v>941</v>
      </c>
      <c r="E35" s="63" t="s">
        <v>940</v>
      </c>
      <c r="F35" s="64">
        <v>42789</v>
      </c>
      <c r="G35" s="65" t="s">
        <v>693</v>
      </c>
      <c r="H35" s="27">
        <v>240000</v>
      </c>
      <c r="I35" s="27">
        <v>97300</v>
      </c>
      <c r="J35" s="27"/>
      <c r="K35" s="26">
        <v>-0.59458333333333335</v>
      </c>
      <c r="L35" s="11" t="s">
        <v>465</v>
      </c>
      <c r="M35" s="15">
        <v>6</v>
      </c>
      <c r="N35" s="35" t="s">
        <v>25</v>
      </c>
      <c r="O35" s="15">
        <v>1</v>
      </c>
      <c r="P35" s="35" t="s">
        <v>457</v>
      </c>
      <c r="Q35" s="15"/>
      <c r="R35" s="24"/>
      <c r="S35" s="62" t="s">
        <v>630</v>
      </c>
      <c r="T35" s="15"/>
      <c r="U35" s="15"/>
      <c r="V35" s="54">
        <v>240000</v>
      </c>
      <c r="W35" s="54">
        <v>97300</v>
      </c>
      <c r="X35" s="54">
        <v>142700</v>
      </c>
    </row>
    <row r="36" spans="3:24" x14ac:dyDescent="0.25">
      <c r="C36" s="39">
        <v>2017</v>
      </c>
      <c r="D36" s="62" t="s">
        <v>912</v>
      </c>
      <c r="E36" s="63" t="s">
        <v>935</v>
      </c>
      <c r="F36" s="64">
        <v>42789</v>
      </c>
      <c r="G36" s="65" t="s">
        <v>190</v>
      </c>
      <c r="H36" s="94">
        <v>479900000</v>
      </c>
      <c r="I36" s="27">
        <v>451841280</v>
      </c>
      <c r="J36" s="27"/>
      <c r="K36" s="26">
        <v>-5.8467847468222547E-2</v>
      </c>
      <c r="L36" s="11" t="s">
        <v>464</v>
      </c>
      <c r="M36" s="15">
        <v>5</v>
      </c>
      <c r="N36" s="35" t="s">
        <v>226</v>
      </c>
      <c r="O36" s="15">
        <v>1</v>
      </c>
      <c r="P36" s="35" t="s">
        <v>457</v>
      </c>
      <c r="Q36" s="15"/>
      <c r="R36" s="24"/>
      <c r="S36" s="62" t="s">
        <v>630</v>
      </c>
      <c r="T36" s="15"/>
      <c r="U36" s="15"/>
      <c r="V36" s="54">
        <v>479900000</v>
      </c>
      <c r="W36" s="54">
        <v>451841280</v>
      </c>
      <c r="X36" s="54">
        <v>28058720</v>
      </c>
    </row>
    <row r="37" spans="3:24" x14ac:dyDescent="0.25">
      <c r="C37" s="39">
        <v>2017</v>
      </c>
      <c r="D37" s="62" t="s">
        <v>898</v>
      </c>
      <c r="E37" s="63" t="s">
        <v>717</v>
      </c>
      <c r="F37" s="64">
        <v>42773</v>
      </c>
      <c r="G37" s="65" t="s">
        <v>190</v>
      </c>
      <c r="H37" s="94">
        <v>1965000</v>
      </c>
      <c r="I37" s="27">
        <v>1450000</v>
      </c>
      <c r="J37" s="27"/>
      <c r="K37" s="26">
        <v>-0.26208651399491095</v>
      </c>
      <c r="L37" s="11" t="s">
        <v>464</v>
      </c>
      <c r="M37" s="15">
        <v>6</v>
      </c>
      <c r="N37" s="35" t="s">
        <v>226</v>
      </c>
      <c r="O37" s="15">
        <v>1</v>
      </c>
      <c r="P37" s="35" t="s">
        <v>457</v>
      </c>
      <c r="Q37" s="15"/>
      <c r="R37" s="24" t="s">
        <v>900</v>
      </c>
      <c r="S37" s="62" t="s">
        <v>630</v>
      </c>
      <c r="T37" s="15"/>
      <c r="U37" s="15"/>
      <c r="V37" s="54">
        <v>1965000</v>
      </c>
      <c r="W37" s="54">
        <v>1450000</v>
      </c>
      <c r="X37" s="54">
        <v>515000</v>
      </c>
    </row>
    <row r="38" spans="3:24" x14ac:dyDescent="0.25">
      <c r="C38" s="39">
        <v>2017</v>
      </c>
      <c r="D38" s="62" t="s">
        <v>857</v>
      </c>
      <c r="E38" s="63" t="s">
        <v>858</v>
      </c>
      <c r="F38" s="64">
        <v>42753</v>
      </c>
      <c r="G38" s="65" t="s">
        <v>693</v>
      </c>
      <c r="H38" s="94">
        <v>1410000</v>
      </c>
      <c r="I38" s="27">
        <v>1399756</v>
      </c>
      <c r="J38" s="27"/>
      <c r="K38" s="26">
        <v>-7.2652482269503545E-3</v>
      </c>
      <c r="L38" s="11" t="s">
        <v>464</v>
      </c>
      <c r="M38" s="15">
        <v>3</v>
      </c>
      <c r="N38" s="35" t="s">
        <v>25</v>
      </c>
      <c r="O38" s="15">
        <v>1</v>
      </c>
      <c r="P38" s="35" t="s">
        <v>457</v>
      </c>
      <c r="Q38" s="15"/>
      <c r="R38" s="24"/>
      <c r="S38" s="62" t="s">
        <v>630</v>
      </c>
      <c r="T38" s="15"/>
      <c r="U38" s="15"/>
      <c r="V38" s="54">
        <v>1410000</v>
      </c>
      <c r="W38" s="54">
        <v>1399756</v>
      </c>
      <c r="X38" s="54">
        <v>10244</v>
      </c>
    </row>
    <row r="39" spans="3:24" x14ac:dyDescent="0.25">
      <c r="C39" s="39"/>
      <c r="I39" s="99">
        <f>SUM(I34:I38)/1000000</f>
        <v>457.27833600000002</v>
      </c>
      <c r="J39" s="2" t="s">
        <v>980</v>
      </c>
      <c r="K39" s="68">
        <v>4</v>
      </c>
      <c r="L39">
        <f>COUNTA(L34:L38)</f>
        <v>5</v>
      </c>
      <c r="M39" s="84">
        <f>AVERAGE(M34:M38)</f>
        <v>5.4</v>
      </c>
      <c r="N39" s="98">
        <f>+K39/L39</f>
        <v>0.8</v>
      </c>
    </row>
    <row r="40" spans="3:24" x14ac:dyDescent="0.25">
      <c r="C40" s="39"/>
    </row>
    <row r="41" spans="3:24" x14ac:dyDescent="0.25">
      <c r="C41" s="39">
        <v>2017</v>
      </c>
      <c r="D41" s="62" t="s">
        <v>964</v>
      </c>
      <c r="E41" s="63" t="s">
        <v>965</v>
      </c>
      <c r="F41" s="64">
        <v>42815</v>
      </c>
      <c r="G41" s="65" t="s">
        <v>190</v>
      </c>
      <c r="H41" s="27">
        <v>3750000</v>
      </c>
      <c r="I41" s="27">
        <v>2468147</v>
      </c>
      <c r="J41" s="27"/>
      <c r="K41" s="26">
        <v>-0.34182746666666669</v>
      </c>
      <c r="L41" s="11" t="s">
        <v>465</v>
      </c>
      <c r="M41" s="15">
        <v>3</v>
      </c>
      <c r="N41" s="35" t="s">
        <v>93</v>
      </c>
      <c r="O41" s="15">
        <v>1</v>
      </c>
      <c r="P41" s="35" t="s">
        <v>458</v>
      </c>
      <c r="Q41" s="15"/>
      <c r="R41" s="24"/>
      <c r="S41" s="62" t="s">
        <v>784</v>
      </c>
      <c r="T41" s="15"/>
      <c r="U41" s="15"/>
      <c r="V41" s="54">
        <v>3750000</v>
      </c>
      <c r="W41" s="54">
        <v>2468147</v>
      </c>
      <c r="X41" s="54">
        <v>1281853</v>
      </c>
    </row>
    <row r="42" spans="3:24" x14ac:dyDescent="0.25">
      <c r="C42" s="39">
        <v>2017</v>
      </c>
      <c r="D42" s="62" t="s">
        <v>961</v>
      </c>
      <c r="E42" s="63" t="s">
        <v>963</v>
      </c>
      <c r="F42" s="64">
        <v>42811</v>
      </c>
      <c r="G42" s="65" t="s">
        <v>190</v>
      </c>
      <c r="H42" s="27">
        <v>4438000</v>
      </c>
      <c r="I42" s="27">
        <v>4273984</v>
      </c>
      <c r="J42" s="27"/>
      <c r="K42" s="26">
        <v>-3.695718792248761E-2</v>
      </c>
      <c r="L42" s="11" t="s">
        <v>464</v>
      </c>
      <c r="M42" s="15">
        <v>3</v>
      </c>
      <c r="N42" s="35" t="s">
        <v>93</v>
      </c>
      <c r="O42" s="15">
        <v>1</v>
      </c>
      <c r="P42" s="35" t="s">
        <v>458</v>
      </c>
      <c r="Q42" s="15"/>
      <c r="R42" s="24"/>
      <c r="S42" s="62" t="s">
        <v>962</v>
      </c>
      <c r="T42" s="15"/>
      <c r="U42" s="15"/>
      <c r="V42" s="54">
        <v>4438000</v>
      </c>
      <c r="W42" s="54">
        <v>4273984</v>
      </c>
      <c r="X42" s="54">
        <v>164016</v>
      </c>
    </row>
    <row r="43" spans="3:24" x14ac:dyDescent="0.25">
      <c r="C43" s="39">
        <v>2017</v>
      </c>
      <c r="D43" s="62" t="s">
        <v>914</v>
      </c>
      <c r="E43" s="63" t="s">
        <v>933</v>
      </c>
      <c r="F43" s="64">
        <v>42787</v>
      </c>
      <c r="G43" s="65" t="s">
        <v>190</v>
      </c>
      <c r="H43" s="94">
        <v>10393000</v>
      </c>
      <c r="I43" s="27">
        <v>7903950</v>
      </c>
      <c r="J43" s="27"/>
      <c r="K43" s="26">
        <v>-0.2394929279322621</v>
      </c>
      <c r="L43" s="11" t="s">
        <v>465</v>
      </c>
      <c r="M43" s="15">
        <v>3</v>
      </c>
      <c r="N43" s="35" t="s">
        <v>93</v>
      </c>
      <c r="O43" s="15">
        <v>1</v>
      </c>
      <c r="P43" s="35" t="s">
        <v>458</v>
      </c>
      <c r="Q43" s="15"/>
      <c r="R43" s="24" t="s">
        <v>932</v>
      </c>
      <c r="S43" s="62" t="s">
        <v>784</v>
      </c>
      <c r="T43" s="15"/>
      <c r="U43" s="15"/>
      <c r="V43" s="54">
        <v>10393000</v>
      </c>
      <c r="W43" s="54">
        <v>7903950</v>
      </c>
      <c r="X43" s="54">
        <v>2489050</v>
      </c>
    </row>
    <row r="44" spans="3:24" x14ac:dyDescent="0.25">
      <c r="C44" s="39">
        <v>2017</v>
      </c>
      <c r="D44" s="62" t="s">
        <v>916</v>
      </c>
      <c r="E44" s="63" t="s">
        <v>917</v>
      </c>
      <c r="F44" s="64">
        <v>42780</v>
      </c>
      <c r="G44" s="65" t="s">
        <v>34</v>
      </c>
      <c r="H44" s="94">
        <v>2580000</v>
      </c>
      <c r="I44" s="27">
        <v>1386000</v>
      </c>
      <c r="J44" s="27"/>
      <c r="K44" s="26">
        <v>-0.46279069767441861</v>
      </c>
      <c r="L44" s="11" t="s">
        <v>464</v>
      </c>
      <c r="M44" s="15">
        <v>16</v>
      </c>
      <c r="N44" s="35" t="s">
        <v>25</v>
      </c>
      <c r="O44" s="15">
        <v>1</v>
      </c>
      <c r="P44" s="35" t="s">
        <v>458</v>
      </c>
      <c r="Q44" s="15"/>
      <c r="R44" s="24" t="s">
        <v>910</v>
      </c>
      <c r="S44" s="62" t="s">
        <v>616</v>
      </c>
      <c r="T44" s="15"/>
      <c r="U44" s="15"/>
      <c r="V44" s="54">
        <v>2580000</v>
      </c>
      <c r="W44" s="54">
        <v>1386000</v>
      </c>
      <c r="X44" s="54">
        <v>1194000</v>
      </c>
    </row>
    <row r="45" spans="3:24" x14ac:dyDescent="0.25">
      <c r="C45" s="39">
        <v>2017</v>
      </c>
      <c r="D45" s="62" t="s">
        <v>901</v>
      </c>
      <c r="E45" s="63" t="s">
        <v>902</v>
      </c>
      <c r="F45" s="64">
        <v>42774</v>
      </c>
      <c r="G45" s="65" t="s">
        <v>34</v>
      </c>
      <c r="H45" s="94">
        <v>970000</v>
      </c>
      <c r="I45" s="27">
        <v>756482</v>
      </c>
      <c r="J45" s="27"/>
      <c r="K45" s="26">
        <v>-0.22012164948453608</v>
      </c>
      <c r="L45" s="11" t="s">
        <v>464</v>
      </c>
      <c r="M45" s="15">
        <v>9</v>
      </c>
      <c r="N45" s="35" t="s">
        <v>25</v>
      </c>
      <c r="O45" s="15">
        <v>1</v>
      </c>
      <c r="P45" s="35" t="s">
        <v>458</v>
      </c>
      <c r="Q45" s="15"/>
      <c r="R45" s="24"/>
      <c r="S45" s="62" t="s">
        <v>616</v>
      </c>
      <c r="T45" s="15"/>
      <c r="U45" s="15"/>
      <c r="V45" s="54">
        <v>970000</v>
      </c>
      <c r="W45" s="54">
        <v>756482</v>
      </c>
      <c r="X45" s="54">
        <v>213518</v>
      </c>
    </row>
    <row r="46" spans="3:24" x14ac:dyDescent="0.25">
      <c r="C46" s="39">
        <v>2017</v>
      </c>
      <c r="D46" s="62" t="s">
        <v>880</v>
      </c>
      <c r="E46" s="63" t="s">
        <v>881</v>
      </c>
      <c r="F46" s="64">
        <v>42768</v>
      </c>
      <c r="G46" s="65" t="s">
        <v>34</v>
      </c>
      <c r="H46" s="94">
        <v>4800000</v>
      </c>
      <c r="I46" s="27">
        <v>3901193</v>
      </c>
      <c r="J46" s="27"/>
      <c r="K46" s="26">
        <v>-0.18725145833333334</v>
      </c>
      <c r="L46" s="11" t="s">
        <v>464</v>
      </c>
      <c r="M46" s="15">
        <v>14</v>
      </c>
      <c r="N46" s="35" t="s">
        <v>93</v>
      </c>
      <c r="O46" s="15">
        <v>1</v>
      </c>
      <c r="P46" s="35" t="s">
        <v>458</v>
      </c>
      <c r="Q46" s="15"/>
      <c r="R46" s="24"/>
      <c r="S46" s="62" t="s">
        <v>616</v>
      </c>
      <c r="T46" s="15"/>
      <c r="U46" s="15"/>
      <c r="V46" s="54">
        <v>4800000</v>
      </c>
      <c r="W46" s="54">
        <v>3901193</v>
      </c>
      <c r="X46" s="54">
        <v>898807</v>
      </c>
    </row>
    <row r="47" spans="3:24" x14ac:dyDescent="0.25">
      <c r="C47" s="39">
        <v>2017</v>
      </c>
      <c r="D47" s="62" t="s">
        <v>876</v>
      </c>
      <c r="E47" s="63" t="s">
        <v>877</v>
      </c>
      <c r="F47" s="64">
        <v>42765</v>
      </c>
      <c r="G47" s="65" t="s">
        <v>756</v>
      </c>
      <c r="H47" s="94">
        <v>6500000</v>
      </c>
      <c r="I47" s="27">
        <v>5987000</v>
      </c>
      <c r="J47" s="27"/>
      <c r="K47" s="26">
        <v>-7.8923076923076929E-2</v>
      </c>
      <c r="L47" s="11" t="s">
        <v>464</v>
      </c>
      <c r="M47" s="15">
        <v>5</v>
      </c>
      <c r="N47" s="35" t="s">
        <v>93</v>
      </c>
      <c r="O47" s="15">
        <v>1</v>
      </c>
      <c r="P47" s="35" t="s">
        <v>458</v>
      </c>
      <c r="Q47" s="15"/>
      <c r="R47" s="24"/>
      <c r="S47" s="62" t="s">
        <v>447</v>
      </c>
      <c r="T47" s="15"/>
      <c r="U47" s="15"/>
      <c r="V47" s="54">
        <v>6500000</v>
      </c>
      <c r="W47" s="54">
        <v>5987000</v>
      </c>
      <c r="X47" s="54">
        <v>513000</v>
      </c>
    </row>
    <row r="48" spans="3:24" x14ac:dyDescent="0.25">
      <c r="C48" s="39">
        <v>2017</v>
      </c>
      <c r="D48" s="62" t="s">
        <v>868</v>
      </c>
      <c r="E48" s="63" t="s">
        <v>869</v>
      </c>
      <c r="F48" s="64">
        <v>42761</v>
      </c>
      <c r="G48" s="65" t="s">
        <v>34</v>
      </c>
      <c r="H48" s="94">
        <v>5100000</v>
      </c>
      <c r="I48" s="27">
        <v>4640176</v>
      </c>
      <c r="J48" s="27"/>
      <c r="K48" s="26">
        <v>-9.0161568627450978E-2</v>
      </c>
      <c r="L48" s="11" t="s">
        <v>464</v>
      </c>
      <c r="M48" s="15">
        <v>7</v>
      </c>
      <c r="N48" s="35" t="s">
        <v>93</v>
      </c>
      <c r="O48" s="15">
        <v>1</v>
      </c>
      <c r="P48" s="35" t="s">
        <v>458</v>
      </c>
      <c r="Q48" s="15"/>
      <c r="R48" s="24"/>
      <c r="S48" s="62" t="s">
        <v>784</v>
      </c>
      <c r="T48" s="15"/>
      <c r="U48" s="15"/>
      <c r="V48" s="54">
        <v>5100000</v>
      </c>
      <c r="W48" s="54">
        <v>4640176</v>
      </c>
      <c r="X48" s="54">
        <v>459824</v>
      </c>
    </row>
    <row r="49" spans="3:24" x14ac:dyDescent="0.25">
      <c r="C49" s="39">
        <v>2017</v>
      </c>
      <c r="D49" s="62" t="s">
        <v>862</v>
      </c>
      <c r="E49" s="63" t="s">
        <v>863</v>
      </c>
      <c r="F49" s="64">
        <v>42759</v>
      </c>
      <c r="G49" s="65" t="s">
        <v>190</v>
      </c>
      <c r="H49" s="94">
        <v>69800000</v>
      </c>
      <c r="I49" s="27">
        <v>67107000</v>
      </c>
      <c r="J49" s="27"/>
      <c r="K49" s="26">
        <v>-3.8581661891117482E-2</v>
      </c>
      <c r="L49" s="11" t="s">
        <v>464</v>
      </c>
      <c r="M49" s="15">
        <v>9</v>
      </c>
      <c r="N49" s="35" t="s">
        <v>25</v>
      </c>
      <c r="O49" s="15">
        <v>1</v>
      </c>
      <c r="P49" s="35" t="s">
        <v>458</v>
      </c>
      <c r="Q49" s="15"/>
      <c r="R49" s="24"/>
      <c r="S49" s="62" t="s">
        <v>616</v>
      </c>
      <c r="T49" s="15"/>
      <c r="U49" s="15"/>
      <c r="V49" s="54">
        <v>69800000</v>
      </c>
      <c r="W49" s="54">
        <v>67107000</v>
      </c>
      <c r="X49" s="54">
        <v>2693000</v>
      </c>
    </row>
    <row r="50" spans="3:24" x14ac:dyDescent="0.25">
      <c r="C50" s="39">
        <v>2017</v>
      </c>
      <c r="D50" s="62" t="s">
        <v>830</v>
      </c>
      <c r="E50" s="63" t="s">
        <v>831</v>
      </c>
      <c r="F50" s="64">
        <v>42746</v>
      </c>
      <c r="G50" s="65" t="s">
        <v>190</v>
      </c>
      <c r="H50" s="94">
        <v>12071025</v>
      </c>
      <c r="I50" s="27">
        <v>9977777</v>
      </c>
      <c r="J50" s="27"/>
      <c r="K50" s="26">
        <v>-0.17341095723022693</v>
      </c>
      <c r="L50" s="11" t="s">
        <v>465</v>
      </c>
      <c r="M50" s="15">
        <v>3</v>
      </c>
      <c r="N50" s="35" t="s">
        <v>93</v>
      </c>
      <c r="O50" s="15">
        <v>1</v>
      </c>
      <c r="P50" s="35" t="s">
        <v>458</v>
      </c>
      <c r="Q50" s="15"/>
      <c r="R50" s="24"/>
      <c r="S50" s="62" t="s">
        <v>616</v>
      </c>
      <c r="T50" s="15"/>
      <c r="U50" s="15"/>
      <c r="V50" s="54">
        <v>12071025</v>
      </c>
      <c r="W50" s="54">
        <v>9977777</v>
      </c>
      <c r="X50" s="54">
        <v>2093248</v>
      </c>
    </row>
    <row r="51" spans="3:24" x14ac:dyDescent="0.25">
      <c r="C51" s="39">
        <v>2017</v>
      </c>
      <c r="D51" s="62" t="s">
        <v>828</v>
      </c>
      <c r="E51" s="63" t="s">
        <v>829</v>
      </c>
      <c r="F51" s="64">
        <v>42739</v>
      </c>
      <c r="G51" s="65" t="s">
        <v>190</v>
      </c>
      <c r="H51" s="94">
        <v>28695000</v>
      </c>
      <c r="I51" s="27">
        <v>31768035</v>
      </c>
      <c r="J51" s="27"/>
      <c r="K51" s="26">
        <v>0.10709304756926294</v>
      </c>
      <c r="L51" s="11" t="s">
        <v>464</v>
      </c>
      <c r="M51" s="15">
        <v>2</v>
      </c>
      <c r="N51" s="35" t="s">
        <v>93</v>
      </c>
      <c r="O51" s="15">
        <v>1</v>
      </c>
      <c r="P51" s="35" t="s">
        <v>458</v>
      </c>
      <c r="Q51" s="15"/>
      <c r="R51" s="24"/>
      <c r="S51" s="62" t="s">
        <v>616</v>
      </c>
      <c r="T51" s="15"/>
      <c r="U51" s="15"/>
      <c r="V51" s="54">
        <v>28695000</v>
      </c>
      <c r="W51" s="54">
        <v>31768035</v>
      </c>
      <c r="X51" s="54">
        <v>-3073035</v>
      </c>
    </row>
    <row r="52" spans="3:24" x14ac:dyDescent="0.25">
      <c r="C52" s="39"/>
      <c r="I52" s="99">
        <f>SUM(I41:I51)/1000000</f>
        <v>140.16974400000001</v>
      </c>
      <c r="J52" s="2" t="s">
        <v>980</v>
      </c>
      <c r="K52" s="68">
        <v>8</v>
      </c>
      <c r="L52">
        <f>COUNTA(L41:L51)</f>
        <v>11</v>
      </c>
      <c r="M52" s="84">
        <f>AVERAGE(M41:M51)</f>
        <v>6.7272727272727275</v>
      </c>
      <c r="N52" s="98">
        <f>+K52/L52</f>
        <v>0.72727272727272729</v>
      </c>
    </row>
    <row r="53" spans="3:24" x14ac:dyDescent="0.25">
      <c r="C53" s="39"/>
    </row>
    <row r="54" spans="3:24" x14ac:dyDescent="0.25">
      <c r="C54" s="39">
        <v>2017</v>
      </c>
      <c r="D54" s="62" t="s">
        <v>956</v>
      </c>
      <c r="E54" s="63" t="s">
        <v>957</v>
      </c>
      <c r="F54" s="64">
        <v>42810</v>
      </c>
      <c r="G54" s="65" t="s">
        <v>693</v>
      </c>
      <c r="H54" s="27">
        <v>1425000</v>
      </c>
      <c r="I54" s="27">
        <v>1087425</v>
      </c>
      <c r="J54" s="27"/>
      <c r="K54" s="26">
        <v>-0.23689473684210527</v>
      </c>
      <c r="L54" s="11" t="s">
        <v>464</v>
      </c>
      <c r="M54" s="15">
        <v>6</v>
      </c>
      <c r="N54" s="35" t="s">
        <v>93</v>
      </c>
      <c r="O54" s="15">
        <v>1</v>
      </c>
      <c r="P54" s="35" t="s">
        <v>492</v>
      </c>
      <c r="Q54" s="15"/>
      <c r="R54" s="24"/>
      <c r="S54" s="62" t="s">
        <v>816</v>
      </c>
      <c r="T54" s="15"/>
      <c r="U54" s="15"/>
      <c r="V54" s="54">
        <v>1425000</v>
      </c>
      <c r="W54" s="54">
        <v>1087425</v>
      </c>
      <c r="X54" s="54">
        <v>337575</v>
      </c>
    </row>
    <row r="55" spans="3:24" x14ac:dyDescent="0.25">
      <c r="C55" s="39">
        <v>2017</v>
      </c>
      <c r="D55" s="62" t="s">
        <v>832</v>
      </c>
      <c r="E55" s="63" t="s">
        <v>833</v>
      </c>
      <c r="F55" s="64">
        <v>42752</v>
      </c>
      <c r="G55" s="65" t="s">
        <v>34</v>
      </c>
      <c r="H55" s="94">
        <v>4200000</v>
      </c>
      <c r="I55" s="27">
        <v>3987114</v>
      </c>
      <c r="J55" s="27"/>
      <c r="K55" s="26">
        <v>-5.0687142857142854E-2</v>
      </c>
      <c r="L55" s="11" t="s">
        <v>464</v>
      </c>
      <c r="M55" s="15">
        <v>3</v>
      </c>
      <c r="N55" s="35" t="s">
        <v>25</v>
      </c>
      <c r="O55" s="15">
        <v>1</v>
      </c>
      <c r="P55" s="35" t="s">
        <v>492</v>
      </c>
      <c r="Q55" s="15"/>
      <c r="R55" s="24"/>
      <c r="S55" s="62" t="s">
        <v>816</v>
      </c>
      <c r="T55" s="15"/>
      <c r="U55" s="15"/>
      <c r="V55" s="54">
        <v>4200000</v>
      </c>
      <c r="W55" s="54">
        <v>3987114</v>
      </c>
      <c r="X55" s="54">
        <v>212886</v>
      </c>
    </row>
    <row r="56" spans="3:24" x14ac:dyDescent="0.25">
      <c r="C56" s="39"/>
      <c r="I56" s="99">
        <f>SUM(I54:I55)/1000000</f>
        <v>5.0745389999999997</v>
      </c>
      <c r="J56" s="2" t="s">
        <v>980</v>
      </c>
      <c r="K56" s="68">
        <v>2</v>
      </c>
      <c r="L56">
        <f>COUNTA(L54:L55)</f>
        <v>2</v>
      </c>
      <c r="M56" s="84">
        <f>AVERAGE(M54:M55)</f>
        <v>4.5</v>
      </c>
      <c r="N56" s="98">
        <f>+K56/L56</f>
        <v>1</v>
      </c>
    </row>
    <row r="57" spans="3:24" x14ac:dyDescent="0.25">
      <c r="C57" s="39"/>
    </row>
    <row r="58" spans="3:24" x14ac:dyDescent="0.25">
      <c r="C58" s="39"/>
    </row>
    <row r="59" spans="3:24" x14ac:dyDescent="0.25">
      <c r="C59" s="39"/>
    </row>
    <row r="60" spans="3:24" x14ac:dyDescent="0.25">
      <c r="C60" s="39"/>
    </row>
    <row r="61" spans="3:24" x14ac:dyDescent="0.25">
      <c r="C61" s="39"/>
    </row>
    <row r="62" spans="3:24" x14ac:dyDescent="0.25">
      <c r="C62" s="39"/>
    </row>
    <row r="63" spans="3:24" x14ac:dyDescent="0.25">
      <c r="C63" s="39"/>
    </row>
    <row r="64" spans="3:24" x14ac:dyDescent="0.25">
      <c r="C64" s="39"/>
    </row>
    <row r="65" spans="3:3" x14ac:dyDescent="0.25">
      <c r="C65" s="39"/>
    </row>
    <row r="66" spans="3:3" x14ac:dyDescent="0.25">
      <c r="C66" s="39"/>
    </row>
    <row r="67" spans="3:3" x14ac:dyDescent="0.25">
      <c r="C67" s="39"/>
    </row>
    <row r="68" spans="3:3" x14ac:dyDescent="0.25">
      <c r="C68" s="39"/>
    </row>
    <row r="69" spans="3:3" x14ac:dyDescent="0.25">
      <c r="C69" s="39"/>
    </row>
    <row r="70" spans="3:3" x14ac:dyDescent="0.25">
      <c r="C70" s="39"/>
    </row>
    <row r="71" spans="3:3" x14ac:dyDescent="0.25">
      <c r="C71" s="39"/>
    </row>
    <row r="72" spans="3:3" x14ac:dyDescent="0.25">
      <c r="C72" s="39"/>
    </row>
    <row r="73" spans="3:3" x14ac:dyDescent="0.25">
      <c r="C73" s="39"/>
    </row>
    <row r="74" spans="3:3" x14ac:dyDescent="0.25">
      <c r="C74" s="39"/>
    </row>
    <row r="75" spans="3:3" x14ac:dyDescent="0.25">
      <c r="C75" s="39"/>
    </row>
    <row r="76" spans="3:3" x14ac:dyDescent="0.25">
      <c r="C76" s="39"/>
    </row>
    <row r="77" spans="3:3" x14ac:dyDescent="0.25">
      <c r="C77" s="39"/>
    </row>
    <row r="78" spans="3:3" x14ac:dyDescent="0.25">
      <c r="C78" s="39"/>
    </row>
    <row r="79" spans="3:3" x14ac:dyDescent="0.25">
      <c r="C79" s="39"/>
    </row>
    <row r="80" spans="3:3" x14ac:dyDescent="0.25">
      <c r="C80" s="39"/>
    </row>
    <row r="81" spans="3:3" x14ac:dyDescent="0.25">
      <c r="C81" s="39"/>
    </row>
    <row r="82" spans="3:3" x14ac:dyDescent="0.25">
      <c r="C82" s="39"/>
    </row>
    <row r="83" spans="3:3" x14ac:dyDescent="0.25">
      <c r="C83" s="39"/>
    </row>
    <row r="84" spans="3:3" x14ac:dyDescent="0.25">
      <c r="C84" s="39"/>
    </row>
    <row r="85" spans="3:3" x14ac:dyDescent="0.25">
      <c r="C85" s="39"/>
    </row>
    <row r="86" spans="3:3" x14ac:dyDescent="0.25">
      <c r="C86" s="39"/>
    </row>
    <row r="87" spans="3:3" x14ac:dyDescent="0.25">
      <c r="C87" s="39"/>
    </row>
    <row r="88" spans="3:3" x14ac:dyDescent="0.25">
      <c r="C88" s="39"/>
    </row>
    <row r="89" spans="3:3" x14ac:dyDescent="0.25">
      <c r="C89" s="39"/>
    </row>
    <row r="90" spans="3:3" x14ac:dyDescent="0.25">
      <c r="C90" s="39"/>
    </row>
    <row r="91" spans="3:3" x14ac:dyDescent="0.25">
      <c r="C91" s="39"/>
    </row>
    <row r="92" spans="3:3" x14ac:dyDescent="0.25">
      <c r="C92" s="39"/>
    </row>
    <row r="93" spans="3:3" x14ac:dyDescent="0.25">
      <c r="C93" s="39"/>
    </row>
    <row r="94" spans="3:3" x14ac:dyDescent="0.25">
      <c r="C94" s="39"/>
    </row>
    <row r="95" spans="3:3" x14ac:dyDescent="0.25">
      <c r="C95" s="39"/>
    </row>
    <row r="96" spans="3:3" x14ac:dyDescent="0.25">
      <c r="C96" s="39"/>
    </row>
    <row r="97" spans="3:3" x14ac:dyDescent="0.25">
      <c r="C97" s="39"/>
    </row>
    <row r="98" spans="3:3" x14ac:dyDescent="0.25">
      <c r="C98" s="39"/>
    </row>
    <row r="99" spans="3:3" x14ac:dyDescent="0.25">
      <c r="C99" s="39"/>
    </row>
    <row r="100" spans="3:3" x14ac:dyDescent="0.25">
      <c r="C100" s="39"/>
    </row>
    <row r="101" spans="3:3" x14ac:dyDescent="0.25">
      <c r="C101" s="39"/>
    </row>
    <row r="102" spans="3:3" x14ac:dyDescent="0.25">
      <c r="C102" s="39"/>
    </row>
    <row r="103" spans="3:3" x14ac:dyDescent="0.25">
      <c r="C103" s="39"/>
    </row>
    <row r="104" spans="3:3" x14ac:dyDescent="0.25">
      <c r="C104" s="39"/>
    </row>
    <row r="105" spans="3:3" x14ac:dyDescent="0.25">
      <c r="C105" s="39"/>
    </row>
    <row r="106" spans="3:3" x14ac:dyDescent="0.25">
      <c r="C106" s="39"/>
    </row>
    <row r="107" spans="3:3" x14ac:dyDescent="0.25">
      <c r="C107" s="39"/>
    </row>
    <row r="108" spans="3:3" x14ac:dyDescent="0.25">
      <c r="C108" s="39"/>
    </row>
    <row r="109" spans="3:3" x14ac:dyDescent="0.25">
      <c r="C109" s="39"/>
    </row>
    <row r="110" spans="3:3" x14ac:dyDescent="0.25">
      <c r="C110" s="39"/>
    </row>
    <row r="111" spans="3:3" x14ac:dyDescent="0.25">
      <c r="C111" s="39"/>
    </row>
    <row r="112" spans="3:3" x14ac:dyDescent="0.25">
      <c r="C112" s="39"/>
    </row>
    <row r="113" spans="3:3" x14ac:dyDescent="0.25">
      <c r="C113" s="39"/>
    </row>
    <row r="114" spans="3:3" x14ac:dyDescent="0.25">
      <c r="C114" s="39"/>
    </row>
    <row r="115" spans="3:3" x14ac:dyDescent="0.25">
      <c r="C115" s="39"/>
    </row>
    <row r="116" spans="3:3" x14ac:dyDescent="0.25">
      <c r="C116" s="39"/>
    </row>
    <row r="117" spans="3:3" x14ac:dyDescent="0.25">
      <c r="C117" s="39"/>
    </row>
    <row r="118" spans="3:3" x14ac:dyDescent="0.25">
      <c r="C118" s="39"/>
    </row>
    <row r="119" spans="3:3" x14ac:dyDescent="0.25">
      <c r="C119" s="39"/>
    </row>
    <row r="120" spans="3:3" x14ac:dyDescent="0.25">
      <c r="C120" s="39"/>
    </row>
    <row r="121" spans="3:3" x14ac:dyDescent="0.25">
      <c r="C121" s="39"/>
    </row>
    <row r="122" spans="3:3" x14ac:dyDescent="0.25">
      <c r="C122" s="39"/>
    </row>
    <row r="123" spans="3:3" x14ac:dyDescent="0.25">
      <c r="C123" s="39"/>
    </row>
    <row r="124" spans="3:3" x14ac:dyDescent="0.25">
      <c r="C124" s="39"/>
    </row>
    <row r="125" spans="3:3" x14ac:dyDescent="0.25">
      <c r="C125" s="39"/>
    </row>
    <row r="126" spans="3:3" x14ac:dyDescent="0.25">
      <c r="C126" s="39"/>
    </row>
    <row r="127" spans="3:3" x14ac:dyDescent="0.25">
      <c r="C127" s="39"/>
    </row>
    <row r="128" spans="3:3" x14ac:dyDescent="0.25">
      <c r="C128" s="39"/>
    </row>
    <row r="129" spans="3:3" x14ac:dyDescent="0.25">
      <c r="C129" s="39"/>
    </row>
    <row r="130" spans="3:3" x14ac:dyDescent="0.25">
      <c r="C130" s="39"/>
    </row>
    <row r="131" spans="3:3" x14ac:dyDescent="0.25">
      <c r="C131" s="39"/>
    </row>
    <row r="132" spans="3:3" x14ac:dyDescent="0.25">
      <c r="C132" s="39"/>
    </row>
    <row r="133" spans="3:3" x14ac:dyDescent="0.25">
      <c r="C133" s="39"/>
    </row>
    <row r="134" spans="3:3" x14ac:dyDescent="0.25">
      <c r="C134" s="39"/>
    </row>
    <row r="135" spans="3:3" x14ac:dyDescent="0.25">
      <c r="C135" s="39"/>
    </row>
    <row r="136" spans="3:3" x14ac:dyDescent="0.25">
      <c r="C136" s="39"/>
    </row>
    <row r="137" spans="3:3" x14ac:dyDescent="0.25">
      <c r="C137" s="39"/>
    </row>
    <row r="138" spans="3:3" x14ac:dyDescent="0.25">
      <c r="C138" s="39"/>
    </row>
    <row r="139" spans="3:3" x14ac:dyDescent="0.25">
      <c r="C139" s="39"/>
    </row>
    <row r="140" spans="3:3" x14ac:dyDescent="0.25">
      <c r="C140" s="39"/>
    </row>
    <row r="141" spans="3:3" x14ac:dyDescent="0.25">
      <c r="C141" s="39"/>
    </row>
    <row r="142" spans="3:3" x14ac:dyDescent="0.25">
      <c r="C142" s="39"/>
    </row>
    <row r="143" spans="3:3" x14ac:dyDescent="0.25">
      <c r="C143" s="39"/>
    </row>
    <row r="144" spans="3:3" x14ac:dyDescent="0.25">
      <c r="C144" s="39"/>
    </row>
    <row r="145" spans="3:3" x14ac:dyDescent="0.25">
      <c r="C145" s="39"/>
    </row>
    <row r="146" spans="3:3" x14ac:dyDescent="0.25">
      <c r="C146" s="39"/>
    </row>
    <row r="147" spans="3:3" x14ac:dyDescent="0.25">
      <c r="C147" s="39"/>
    </row>
    <row r="148" spans="3:3" x14ac:dyDescent="0.25">
      <c r="C148" s="39"/>
    </row>
    <row r="149" spans="3:3" x14ac:dyDescent="0.25">
      <c r="C149" s="39"/>
    </row>
    <row r="150" spans="3:3" x14ac:dyDescent="0.25">
      <c r="C150" s="39"/>
    </row>
    <row r="151" spans="3:3" x14ac:dyDescent="0.25">
      <c r="C151" s="39"/>
    </row>
    <row r="152" spans="3:3" x14ac:dyDescent="0.25">
      <c r="C152" s="39"/>
    </row>
    <row r="153" spans="3:3" x14ac:dyDescent="0.25">
      <c r="C153" s="39"/>
    </row>
    <row r="154" spans="3:3" x14ac:dyDescent="0.25">
      <c r="C154" s="39"/>
    </row>
    <row r="155" spans="3:3" x14ac:dyDescent="0.25">
      <c r="C155" s="39"/>
    </row>
    <row r="156" spans="3:3" x14ac:dyDescent="0.25">
      <c r="C156" s="39"/>
    </row>
    <row r="157" spans="3:3" x14ac:dyDescent="0.25">
      <c r="C157" s="39"/>
    </row>
    <row r="158" spans="3:3" x14ac:dyDescent="0.25">
      <c r="C158" s="39"/>
    </row>
    <row r="159" spans="3:3" x14ac:dyDescent="0.25">
      <c r="C159" s="39"/>
    </row>
    <row r="160" spans="3:3" x14ac:dyDescent="0.25">
      <c r="C160" s="39"/>
    </row>
    <row r="161" spans="3:3" x14ac:dyDescent="0.25">
      <c r="C161" s="39"/>
    </row>
    <row r="162" spans="3:3" x14ac:dyDescent="0.25">
      <c r="C162" s="39"/>
    </row>
    <row r="163" spans="3:3" x14ac:dyDescent="0.25">
      <c r="C163" s="39"/>
    </row>
    <row r="164" spans="3:3" x14ac:dyDescent="0.25">
      <c r="C164" s="39"/>
    </row>
    <row r="165" spans="3:3" x14ac:dyDescent="0.25">
      <c r="C165" s="39"/>
    </row>
    <row r="166" spans="3:3" x14ac:dyDescent="0.25">
      <c r="C166" s="39"/>
    </row>
    <row r="167" spans="3:3" x14ac:dyDescent="0.25">
      <c r="C167" s="39"/>
    </row>
    <row r="168" spans="3:3" x14ac:dyDescent="0.25">
      <c r="C168" s="39"/>
    </row>
    <row r="169" spans="3:3" x14ac:dyDescent="0.25">
      <c r="C169" s="39"/>
    </row>
    <row r="170" spans="3:3" x14ac:dyDescent="0.25">
      <c r="C170" s="39"/>
    </row>
    <row r="171" spans="3:3" x14ac:dyDescent="0.25">
      <c r="C171" s="39"/>
    </row>
    <row r="172" spans="3:3" x14ac:dyDescent="0.25">
      <c r="C172" s="39"/>
    </row>
    <row r="173" spans="3:3" x14ac:dyDescent="0.25">
      <c r="C173" s="39"/>
    </row>
    <row r="174" spans="3:3" x14ac:dyDescent="0.25">
      <c r="C174" s="39"/>
    </row>
    <row r="175" spans="3:3" x14ac:dyDescent="0.25">
      <c r="C175" s="39"/>
    </row>
    <row r="176" spans="3:3" x14ac:dyDescent="0.25">
      <c r="C176" s="39"/>
    </row>
    <row r="177" spans="3:3" x14ac:dyDescent="0.25">
      <c r="C177" s="39"/>
    </row>
    <row r="178" spans="3:3" x14ac:dyDescent="0.25">
      <c r="C178" s="39"/>
    </row>
    <row r="179" spans="3:3" x14ac:dyDescent="0.25">
      <c r="C179" s="39"/>
    </row>
    <row r="180" spans="3:3" x14ac:dyDescent="0.25">
      <c r="C180" s="39"/>
    </row>
    <row r="181" spans="3:3" x14ac:dyDescent="0.25">
      <c r="C181" s="39"/>
    </row>
    <row r="182" spans="3:3" x14ac:dyDescent="0.25">
      <c r="C182" s="39"/>
    </row>
    <row r="183" spans="3:3" x14ac:dyDescent="0.25">
      <c r="C183" s="39"/>
    </row>
    <row r="184" spans="3:3" x14ac:dyDescent="0.25">
      <c r="C184" s="39"/>
    </row>
    <row r="185" spans="3:3" x14ac:dyDescent="0.25">
      <c r="C185" s="39"/>
    </row>
    <row r="186" spans="3:3" x14ac:dyDescent="0.25">
      <c r="C186" s="39"/>
    </row>
    <row r="187" spans="3:3" x14ac:dyDescent="0.25">
      <c r="C187" s="39"/>
    </row>
    <row r="188" spans="3:3" x14ac:dyDescent="0.25">
      <c r="C188" s="39"/>
    </row>
    <row r="189" spans="3:3" x14ac:dyDescent="0.25">
      <c r="C189" s="39"/>
    </row>
    <row r="190" spans="3:3" x14ac:dyDescent="0.25">
      <c r="C190" s="39"/>
    </row>
    <row r="191" spans="3:3" x14ac:dyDescent="0.25">
      <c r="C191" s="39"/>
    </row>
    <row r="192" spans="3:3" x14ac:dyDescent="0.25">
      <c r="C192" s="39"/>
    </row>
    <row r="193" spans="3:3" x14ac:dyDescent="0.25">
      <c r="C193" s="39"/>
    </row>
    <row r="194" spans="3:3" x14ac:dyDescent="0.25">
      <c r="C194" s="39"/>
    </row>
    <row r="195" spans="3:3" x14ac:dyDescent="0.25">
      <c r="C195" s="39"/>
    </row>
    <row r="196" spans="3:3" x14ac:dyDescent="0.25">
      <c r="C196" s="39"/>
    </row>
    <row r="197" spans="3:3" x14ac:dyDescent="0.25">
      <c r="C197" s="39"/>
    </row>
    <row r="198" spans="3:3" x14ac:dyDescent="0.25">
      <c r="C198" s="39"/>
    </row>
    <row r="199" spans="3:3" x14ac:dyDescent="0.25">
      <c r="C199" s="39"/>
    </row>
    <row r="200" spans="3:3" x14ac:dyDescent="0.25">
      <c r="C200" s="39"/>
    </row>
    <row r="201" spans="3:3" x14ac:dyDescent="0.25">
      <c r="C201" s="39"/>
    </row>
    <row r="202" spans="3:3" x14ac:dyDescent="0.25">
      <c r="C202" s="39"/>
    </row>
    <row r="203" spans="3:3" x14ac:dyDescent="0.25">
      <c r="C203" s="39"/>
    </row>
    <row r="204" spans="3:3" x14ac:dyDescent="0.25">
      <c r="C204" s="39"/>
    </row>
    <row r="205" spans="3:3" x14ac:dyDescent="0.25">
      <c r="C205" s="39"/>
    </row>
    <row r="206" spans="3:3" x14ac:dyDescent="0.25">
      <c r="C206" s="39"/>
    </row>
    <row r="207" spans="3:3" x14ac:dyDescent="0.25">
      <c r="C207" s="39"/>
    </row>
    <row r="208" spans="3:3" x14ac:dyDescent="0.25">
      <c r="C208" s="39"/>
    </row>
    <row r="209" spans="3:3" x14ac:dyDescent="0.25">
      <c r="C209" s="39"/>
    </row>
    <row r="210" spans="3:3" x14ac:dyDescent="0.25">
      <c r="C210" s="39"/>
    </row>
    <row r="211" spans="3:3" x14ac:dyDescent="0.25">
      <c r="C211" s="39"/>
    </row>
    <row r="212" spans="3:3" x14ac:dyDescent="0.25">
      <c r="C212" s="39"/>
    </row>
    <row r="213" spans="3:3" x14ac:dyDescent="0.25">
      <c r="C213" s="39"/>
    </row>
    <row r="214" spans="3:3" x14ac:dyDescent="0.25">
      <c r="C214" s="39"/>
    </row>
    <row r="215" spans="3:3" x14ac:dyDescent="0.25">
      <c r="C215" s="39"/>
    </row>
    <row r="216" spans="3:3" x14ac:dyDescent="0.25">
      <c r="C216" s="39"/>
    </row>
    <row r="217" spans="3:3" x14ac:dyDescent="0.25">
      <c r="C217" s="39"/>
    </row>
    <row r="218" spans="3:3" x14ac:dyDescent="0.25">
      <c r="C218" s="39"/>
    </row>
    <row r="219" spans="3:3" x14ac:dyDescent="0.25">
      <c r="C219" s="39"/>
    </row>
    <row r="220" spans="3:3" x14ac:dyDescent="0.25">
      <c r="C220" s="39"/>
    </row>
    <row r="221" spans="3:3" x14ac:dyDescent="0.25">
      <c r="C221" s="39"/>
    </row>
    <row r="222" spans="3:3" x14ac:dyDescent="0.25">
      <c r="C222" s="39"/>
    </row>
    <row r="223" spans="3:3" x14ac:dyDescent="0.25">
      <c r="C223" s="39"/>
    </row>
    <row r="224" spans="3:3" x14ac:dyDescent="0.25">
      <c r="C224" s="39"/>
    </row>
    <row r="225" spans="3:3" x14ac:dyDescent="0.25">
      <c r="C225" s="39"/>
    </row>
    <row r="226" spans="3:3" x14ac:dyDescent="0.25">
      <c r="C226" s="39"/>
    </row>
    <row r="227" spans="3:3" x14ac:dyDescent="0.25">
      <c r="C227" s="39"/>
    </row>
    <row r="228" spans="3:3" x14ac:dyDescent="0.25">
      <c r="C228" s="39"/>
    </row>
    <row r="229" spans="3:3" x14ac:dyDescent="0.25">
      <c r="C229" s="39"/>
    </row>
    <row r="230" spans="3:3" x14ac:dyDescent="0.25">
      <c r="C230" s="39"/>
    </row>
    <row r="231" spans="3:3" x14ac:dyDescent="0.25">
      <c r="C231" s="39"/>
    </row>
    <row r="232" spans="3:3" x14ac:dyDescent="0.25">
      <c r="C232" s="39"/>
    </row>
    <row r="233" spans="3:3" x14ac:dyDescent="0.25">
      <c r="C233" s="39"/>
    </row>
    <row r="234" spans="3:3" x14ac:dyDescent="0.25">
      <c r="C234" s="39"/>
    </row>
    <row r="235" spans="3:3" x14ac:dyDescent="0.25">
      <c r="C235" s="39"/>
    </row>
    <row r="236" spans="3:3" x14ac:dyDescent="0.25">
      <c r="C236" s="39"/>
    </row>
    <row r="237" spans="3:3" x14ac:dyDescent="0.25">
      <c r="C237" s="39"/>
    </row>
    <row r="238" spans="3:3" x14ac:dyDescent="0.25">
      <c r="C238" s="39"/>
    </row>
    <row r="239" spans="3:3" x14ac:dyDescent="0.25">
      <c r="C239" s="39"/>
    </row>
    <row r="240" spans="3:3" x14ac:dyDescent="0.25">
      <c r="C240" s="39"/>
    </row>
    <row r="241" spans="3:3" x14ac:dyDescent="0.25">
      <c r="C241" s="39"/>
    </row>
    <row r="242" spans="3:3" x14ac:dyDescent="0.25">
      <c r="C242" s="39"/>
    </row>
    <row r="243" spans="3:3" x14ac:dyDescent="0.25">
      <c r="C243" s="39"/>
    </row>
    <row r="244" spans="3:3" x14ac:dyDescent="0.25">
      <c r="C244" s="39"/>
    </row>
    <row r="245" spans="3:3" x14ac:dyDescent="0.25">
      <c r="C245" s="39"/>
    </row>
    <row r="246" spans="3:3" x14ac:dyDescent="0.25">
      <c r="C246" s="39"/>
    </row>
    <row r="247" spans="3:3" x14ac:dyDescent="0.25">
      <c r="C247" s="39"/>
    </row>
    <row r="248" spans="3:3" x14ac:dyDescent="0.25">
      <c r="C248" s="39"/>
    </row>
    <row r="249" spans="3:3" x14ac:dyDescent="0.25">
      <c r="C249" s="39"/>
    </row>
    <row r="250" spans="3:3" x14ac:dyDescent="0.25">
      <c r="C250" s="39"/>
    </row>
    <row r="251" spans="3:3" x14ac:dyDescent="0.25">
      <c r="C251" s="39"/>
    </row>
    <row r="252" spans="3:3" x14ac:dyDescent="0.25">
      <c r="C252" s="39"/>
    </row>
    <row r="253" spans="3:3" x14ac:dyDescent="0.25">
      <c r="C253" s="39"/>
    </row>
    <row r="254" spans="3:3" x14ac:dyDescent="0.25">
      <c r="C254" s="39"/>
    </row>
    <row r="255" spans="3:3" x14ac:dyDescent="0.25">
      <c r="C255" s="39"/>
    </row>
    <row r="256" spans="3:3" x14ac:dyDescent="0.25">
      <c r="C256" s="39"/>
    </row>
    <row r="257" spans="3:3" x14ac:dyDescent="0.25">
      <c r="C257" s="39"/>
    </row>
    <row r="258" spans="3:3" x14ac:dyDescent="0.25">
      <c r="C258" s="39"/>
    </row>
    <row r="259" spans="3:3" x14ac:dyDescent="0.25">
      <c r="C259" s="39"/>
    </row>
    <row r="260" spans="3:3" x14ac:dyDescent="0.25">
      <c r="C260" s="39"/>
    </row>
    <row r="261" spans="3:3" x14ac:dyDescent="0.25">
      <c r="C261" s="39"/>
    </row>
    <row r="262" spans="3:3" x14ac:dyDescent="0.25">
      <c r="C262" s="39"/>
    </row>
    <row r="263" spans="3:3" x14ac:dyDescent="0.25">
      <c r="C263" s="39"/>
    </row>
    <row r="264" spans="3:3" x14ac:dyDescent="0.25">
      <c r="C264" s="39"/>
    </row>
    <row r="265" spans="3:3" x14ac:dyDescent="0.25">
      <c r="C265" s="39"/>
    </row>
    <row r="266" spans="3:3" x14ac:dyDescent="0.25">
      <c r="C266" s="39"/>
    </row>
    <row r="267" spans="3:3" x14ac:dyDescent="0.25">
      <c r="C267" s="39"/>
    </row>
    <row r="268" spans="3:3" x14ac:dyDescent="0.25">
      <c r="C268" s="39"/>
    </row>
    <row r="269" spans="3:3" x14ac:dyDescent="0.25">
      <c r="C269" s="39"/>
    </row>
    <row r="270" spans="3:3" x14ac:dyDescent="0.25">
      <c r="C270" s="39"/>
    </row>
    <row r="271" spans="3:3" x14ac:dyDescent="0.25">
      <c r="C271" s="39"/>
    </row>
    <row r="272" spans="3:3" x14ac:dyDescent="0.25">
      <c r="C272" s="39"/>
    </row>
    <row r="273" spans="3:3" x14ac:dyDescent="0.25">
      <c r="C273" s="39"/>
    </row>
    <row r="274" spans="3:3" x14ac:dyDescent="0.25">
      <c r="C274" s="39"/>
    </row>
    <row r="275" spans="3:3" x14ac:dyDescent="0.25">
      <c r="C275" s="39"/>
    </row>
    <row r="276" spans="3:3" x14ac:dyDescent="0.25">
      <c r="C276" s="39"/>
    </row>
    <row r="277" spans="3:3" x14ac:dyDescent="0.25">
      <c r="C277" s="39"/>
    </row>
    <row r="278" spans="3:3" x14ac:dyDescent="0.25">
      <c r="C278" s="39"/>
    </row>
    <row r="279" spans="3:3" x14ac:dyDescent="0.25">
      <c r="C279" s="39"/>
    </row>
    <row r="280" spans="3:3" x14ac:dyDescent="0.25">
      <c r="C280" s="39"/>
    </row>
    <row r="281" spans="3:3" x14ac:dyDescent="0.25">
      <c r="C281" s="39"/>
    </row>
    <row r="282" spans="3:3" x14ac:dyDescent="0.25">
      <c r="C282" s="39"/>
    </row>
    <row r="283" spans="3:3" x14ac:dyDescent="0.25">
      <c r="C283" s="39"/>
    </row>
    <row r="284" spans="3:3" x14ac:dyDescent="0.25">
      <c r="C284" s="39"/>
    </row>
    <row r="285" spans="3:3" x14ac:dyDescent="0.25">
      <c r="C285" s="39"/>
    </row>
    <row r="286" spans="3:3" x14ac:dyDescent="0.25">
      <c r="C286" s="39"/>
    </row>
    <row r="287" spans="3:3" x14ac:dyDescent="0.25">
      <c r="C287" s="39"/>
    </row>
    <row r="288" spans="3:3" x14ac:dyDescent="0.25">
      <c r="C288" s="39"/>
    </row>
    <row r="289" spans="3:3" x14ac:dyDescent="0.25">
      <c r="C289" s="39"/>
    </row>
    <row r="290" spans="3:3" x14ac:dyDescent="0.25">
      <c r="C290" s="39"/>
    </row>
    <row r="291" spans="3:3" x14ac:dyDescent="0.25">
      <c r="C291" s="39"/>
    </row>
    <row r="292" spans="3:3" x14ac:dyDescent="0.25">
      <c r="C292" s="39"/>
    </row>
    <row r="293" spans="3:3" x14ac:dyDescent="0.25">
      <c r="C293" s="39"/>
    </row>
    <row r="294" spans="3:3" x14ac:dyDescent="0.25">
      <c r="C294" s="39"/>
    </row>
    <row r="295" spans="3:3" x14ac:dyDescent="0.25">
      <c r="C295" s="39"/>
    </row>
    <row r="296" spans="3:3" x14ac:dyDescent="0.25">
      <c r="C296" s="39"/>
    </row>
    <row r="297" spans="3:3" x14ac:dyDescent="0.25">
      <c r="C297" s="39"/>
    </row>
    <row r="298" spans="3:3" x14ac:dyDescent="0.25">
      <c r="C298" s="39"/>
    </row>
    <row r="299" spans="3:3" x14ac:dyDescent="0.25">
      <c r="C299" s="39"/>
    </row>
    <row r="300" spans="3:3" x14ac:dyDescent="0.25">
      <c r="C300" s="39"/>
    </row>
    <row r="301" spans="3:3" x14ac:dyDescent="0.25">
      <c r="C301" s="39"/>
    </row>
    <row r="302" spans="3:3" x14ac:dyDescent="0.25">
      <c r="C302" s="39"/>
    </row>
    <row r="303" spans="3:3" x14ac:dyDescent="0.25">
      <c r="C303" s="39"/>
    </row>
    <row r="304" spans="3:3" x14ac:dyDescent="0.25">
      <c r="C304" s="39"/>
    </row>
    <row r="305" spans="3:3" x14ac:dyDescent="0.25">
      <c r="C305" s="39"/>
    </row>
    <row r="306" spans="3:3" x14ac:dyDescent="0.25">
      <c r="C306" s="39"/>
    </row>
    <row r="307" spans="3:3" x14ac:dyDescent="0.25">
      <c r="C307" s="39"/>
    </row>
    <row r="308" spans="3:3" x14ac:dyDescent="0.25">
      <c r="C308" s="39"/>
    </row>
    <row r="309" spans="3:3" x14ac:dyDescent="0.25">
      <c r="C309" s="39"/>
    </row>
    <row r="310" spans="3:3" x14ac:dyDescent="0.25">
      <c r="C310" s="39"/>
    </row>
    <row r="311" spans="3:3" x14ac:dyDescent="0.25">
      <c r="C311" s="39"/>
    </row>
    <row r="312" spans="3:3" x14ac:dyDescent="0.25">
      <c r="C312" s="39"/>
    </row>
    <row r="313" spans="3:3" x14ac:dyDescent="0.25">
      <c r="C313" s="39"/>
    </row>
    <row r="314" spans="3:3" x14ac:dyDescent="0.25">
      <c r="C314" s="39"/>
    </row>
    <row r="315" spans="3:3" x14ac:dyDescent="0.25">
      <c r="C315" s="39"/>
    </row>
    <row r="316" spans="3:3" x14ac:dyDescent="0.25">
      <c r="C316" s="39"/>
    </row>
    <row r="317" spans="3:3" x14ac:dyDescent="0.25">
      <c r="C317" s="39"/>
    </row>
    <row r="318" spans="3:3" x14ac:dyDescent="0.25">
      <c r="C318" s="39"/>
    </row>
    <row r="319" spans="3:3" x14ac:dyDescent="0.25">
      <c r="C319" s="39"/>
    </row>
    <row r="320" spans="3:3" x14ac:dyDescent="0.25">
      <c r="C320" s="39"/>
    </row>
    <row r="321" spans="3:3" x14ac:dyDescent="0.25">
      <c r="C321" s="39"/>
    </row>
    <row r="322" spans="3:3" x14ac:dyDescent="0.25">
      <c r="C322" s="39"/>
    </row>
    <row r="323" spans="3:3" x14ac:dyDescent="0.25">
      <c r="C323" s="39"/>
    </row>
    <row r="324" spans="3:3" x14ac:dyDescent="0.25">
      <c r="C324" s="39"/>
    </row>
    <row r="325" spans="3:3" x14ac:dyDescent="0.25">
      <c r="C325" s="39"/>
    </row>
    <row r="326" spans="3:3" x14ac:dyDescent="0.25">
      <c r="C326" s="39"/>
    </row>
    <row r="327" spans="3:3" x14ac:dyDescent="0.25">
      <c r="C327" s="39"/>
    </row>
    <row r="328" spans="3:3" x14ac:dyDescent="0.25">
      <c r="C328" s="39"/>
    </row>
    <row r="329" spans="3:3" x14ac:dyDescent="0.25">
      <c r="C329" s="39"/>
    </row>
    <row r="330" spans="3:3" x14ac:dyDescent="0.25">
      <c r="C330" s="39"/>
    </row>
    <row r="331" spans="3:3" x14ac:dyDescent="0.25">
      <c r="C331" s="38"/>
    </row>
    <row r="332" spans="3:3" x14ac:dyDescent="0.25">
      <c r="C332" s="38"/>
    </row>
    <row r="333" spans="3:3" x14ac:dyDescent="0.25">
      <c r="C333" s="38"/>
    </row>
    <row r="334" spans="3:3" x14ac:dyDescent="0.25">
      <c r="C334" s="38"/>
    </row>
    <row r="335" spans="3:3" x14ac:dyDescent="0.25">
      <c r="C335" s="38"/>
    </row>
    <row r="336" spans="3:3" x14ac:dyDescent="0.25">
      <c r="C336" s="38"/>
    </row>
    <row r="337" spans="3:3" x14ac:dyDescent="0.25">
      <c r="C337" s="38"/>
    </row>
    <row r="338" spans="3:3" x14ac:dyDescent="0.25">
      <c r="C338" s="38"/>
    </row>
    <row r="339" spans="3:3" x14ac:dyDescent="0.25">
      <c r="C339" s="38"/>
    </row>
    <row r="340" spans="3:3" x14ac:dyDescent="0.25">
      <c r="C340" s="38"/>
    </row>
    <row r="341" spans="3:3" x14ac:dyDescent="0.25">
      <c r="C341" s="38"/>
    </row>
    <row r="342" spans="3:3" x14ac:dyDescent="0.25">
      <c r="C342" s="38"/>
    </row>
    <row r="343" spans="3:3" x14ac:dyDescent="0.25">
      <c r="C343" s="38"/>
    </row>
    <row r="344" spans="3:3" x14ac:dyDescent="0.25">
      <c r="C344" s="38"/>
    </row>
    <row r="345" spans="3:3" x14ac:dyDescent="0.25">
      <c r="C345" s="38"/>
    </row>
    <row r="346" spans="3:3" x14ac:dyDescent="0.25">
      <c r="C346" s="38"/>
    </row>
    <row r="347" spans="3:3" x14ac:dyDescent="0.25">
      <c r="C347" s="38"/>
    </row>
    <row r="348" spans="3:3" x14ac:dyDescent="0.25">
      <c r="C348" s="38"/>
    </row>
    <row r="349" spans="3:3" x14ac:dyDescent="0.25">
      <c r="C349" s="38"/>
    </row>
    <row r="350" spans="3:3" x14ac:dyDescent="0.25">
      <c r="C350" s="38"/>
    </row>
    <row r="351" spans="3:3" x14ac:dyDescent="0.25">
      <c r="C351" s="38"/>
    </row>
    <row r="352" spans="3:3" x14ac:dyDescent="0.25">
      <c r="C352" s="38"/>
    </row>
    <row r="353" spans="3:3" x14ac:dyDescent="0.25">
      <c r="C353" s="38"/>
    </row>
    <row r="354" spans="3:3" x14ac:dyDescent="0.25">
      <c r="C354" s="38"/>
    </row>
    <row r="355" spans="3:3" x14ac:dyDescent="0.25">
      <c r="C355" s="38"/>
    </row>
    <row r="356" spans="3:3" x14ac:dyDescent="0.25">
      <c r="C356" s="38"/>
    </row>
    <row r="357" spans="3:3" x14ac:dyDescent="0.25">
      <c r="C357" s="38"/>
    </row>
    <row r="358" spans="3:3" x14ac:dyDescent="0.25">
      <c r="C358" s="38"/>
    </row>
    <row r="359" spans="3:3" x14ac:dyDescent="0.25">
      <c r="C359" s="38"/>
    </row>
    <row r="360" spans="3:3" x14ac:dyDescent="0.25">
      <c r="C360" s="38"/>
    </row>
    <row r="361" spans="3:3" x14ac:dyDescent="0.25">
      <c r="C361" s="38"/>
    </row>
    <row r="362" spans="3:3" x14ac:dyDescent="0.25">
      <c r="C362" s="38"/>
    </row>
    <row r="363" spans="3:3" x14ac:dyDescent="0.25">
      <c r="C363" s="38"/>
    </row>
    <row r="364" spans="3:3" x14ac:dyDescent="0.25">
      <c r="C364" s="38"/>
    </row>
    <row r="365" spans="3:3" x14ac:dyDescent="0.25">
      <c r="C365" s="38"/>
    </row>
    <row r="366" spans="3:3" x14ac:dyDescent="0.25">
      <c r="C366" s="38"/>
    </row>
    <row r="367" spans="3:3" x14ac:dyDescent="0.25">
      <c r="C367" s="38"/>
    </row>
    <row r="368" spans="3:3" x14ac:dyDescent="0.25">
      <c r="C368" s="38"/>
    </row>
    <row r="369" spans="3:3" x14ac:dyDescent="0.25">
      <c r="C369" s="38"/>
    </row>
    <row r="370" spans="3:3" x14ac:dyDescent="0.25">
      <c r="C370" s="38"/>
    </row>
    <row r="371" spans="3:3" x14ac:dyDescent="0.25">
      <c r="C371" s="38"/>
    </row>
    <row r="372" spans="3:3" x14ac:dyDescent="0.25">
      <c r="C372" s="38"/>
    </row>
    <row r="373" spans="3:3" x14ac:dyDescent="0.25">
      <c r="C373" s="38"/>
    </row>
    <row r="374" spans="3:3" x14ac:dyDescent="0.25">
      <c r="C374" s="38"/>
    </row>
    <row r="375" spans="3:3" x14ac:dyDescent="0.25">
      <c r="C375" s="38"/>
    </row>
    <row r="376" spans="3:3" x14ac:dyDescent="0.25">
      <c r="C376" s="38"/>
    </row>
    <row r="377" spans="3:3" x14ac:dyDescent="0.25">
      <c r="C377" s="38"/>
    </row>
    <row r="378" spans="3:3" x14ac:dyDescent="0.25">
      <c r="C378" s="38"/>
    </row>
    <row r="379" spans="3:3" x14ac:dyDescent="0.25">
      <c r="C379" s="38"/>
    </row>
    <row r="380" spans="3:3" x14ac:dyDescent="0.25">
      <c r="C380" s="38"/>
    </row>
    <row r="381" spans="3:3" x14ac:dyDescent="0.25">
      <c r="C381" s="38"/>
    </row>
    <row r="382" spans="3:3" x14ac:dyDescent="0.25">
      <c r="C382" s="38"/>
    </row>
    <row r="383" spans="3:3" x14ac:dyDescent="0.25">
      <c r="C383" s="38"/>
    </row>
    <row r="384" spans="3:3" x14ac:dyDescent="0.25">
      <c r="C384" s="38"/>
    </row>
    <row r="385" spans="3:3" x14ac:dyDescent="0.25">
      <c r="C385" s="38"/>
    </row>
    <row r="386" spans="3:3" x14ac:dyDescent="0.25">
      <c r="C386" s="38"/>
    </row>
    <row r="387" spans="3:3" x14ac:dyDescent="0.25">
      <c r="C387" s="38"/>
    </row>
    <row r="388" spans="3:3" x14ac:dyDescent="0.25">
      <c r="C388" s="38"/>
    </row>
    <row r="389" spans="3:3" x14ac:dyDescent="0.25">
      <c r="C389" s="38"/>
    </row>
    <row r="390" spans="3:3" x14ac:dyDescent="0.25">
      <c r="C390" s="38"/>
    </row>
    <row r="391" spans="3:3" x14ac:dyDescent="0.25">
      <c r="C391" s="38"/>
    </row>
    <row r="392" spans="3:3" x14ac:dyDescent="0.25">
      <c r="C392" s="38"/>
    </row>
    <row r="393" spans="3:3" x14ac:dyDescent="0.25">
      <c r="C393" s="38"/>
    </row>
    <row r="394" spans="3:3" x14ac:dyDescent="0.25">
      <c r="C394" s="38"/>
    </row>
    <row r="395" spans="3:3" x14ac:dyDescent="0.25">
      <c r="C395" s="38"/>
    </row>
    <row r="396" spans="3:3" x14ac:dyDescent="0.25">
      <c r="C396" s="38"/>
    </row>
    <row r="397" spans="3:3" x14ac:dyDescent="0.25">
      <c r="C397" s="38"/>
    </row>
    <row r="398" spans="3:3" x14ac:dyDescent="0.25">
      <c r="C398" s="38"/>
    </row>
    <row r="399" spans="3:3" x14ac:dyDescent="0.25">
      <c r="C399" s="38"/>
    </row>
    <row r="400" spans="3:3" x14ac:dyDescent="0.25">
      <c r="C400" s="38"/>
    </row>
    <row r="401" spans="3:3" x14ac:dyDescent="0.25">
      <c r="C401" s="38"/>
    </row>
    <row r="402" spans="3:3" x14ac:dyDescent="0.25">
      <c r="C402" s="38"/>
    </row>
    <row r="403" spans="3:3" x14ac:dyDescent="0.25">
      <c r="C403" s="38"/>
    </row>
    <row r="404" spans="3:3" x14ac:dyDescent="0.25">
      <c r="C404" s="38"/>
    </row>
    <row r="405" spans="3:3" x14ac:dyDescent="0.25">
      <c r="C405" s="38"/>
    </row>
    <row r="406" spans="3:3" x14ac:dyDescent="0.25">
      <c r="C406" s="38"/>
    </row>
    <row r="407" spans="3:3" x14ac:dyDescent="0.25">
      <c r="C407" s="38"/>
    </row>
    <row r="408" spans="3:3" x14ac:dyDescent="0.25">
      <c r="C408" s="38"/>
    </row>
    <row r="409" spans="3:3" x14ac:dyDescent="0.25">
      <c r="C409" s="38"/>
    </row>
    <row r="410" spans="3:3" x14ac:dyDescent="0.25">
      <c r="C410" s="38"/>
    </row>
    <row r="411" spans="3:3" x14ac:dyDescent="0.25">
      <c r="C411" s="38"/>
    </row>
    <row r="412" spans="3:3" x14ac:dyDescent="0.25">
      <c r="C412" s="38"/>
    </row>
    <row r="413" spans="3:3" x14ac:dyDescent="0.25">
      <c r="C413" s="38"/>
    </row>
    <row r="414" spans="3:3" x14ac:dyDescent="0.25">
      <c r="C414" s="38"/>
    </row>
    <row r="415" spans="3:3" x14ac:dyDescent="0.25">
      <c r="C415" s="38"/>
    </row>
    <row r="416" spans="3:3" x14ac:dyDescent="0.25">
      <c r="C416" s="38"/>
    </row>
    <row r="417" spans="3:3" x14ac:dyDescent="0.25">
      <c r="C417" s="38"/>
    </row>
    <row r="418" spans="3:3" x14ac:dyDescent="0.25">
      <c r="C418" s="38"/>
    </row>
    <row r="419" spans="3:3" x14ac:dyDescent="0.25">
      <c r="C419" s="38"/>
    </row>
    <row r="420" spans="3:3" x14ac:dyDescent="0.25">
      <c r="C420" s="38"/>
    </row>
    <row r="421" spans="3:3" x14ac:dyDescent="0.25">
      <c r="C421" s="38"/>
    </row>
    <row r="422" spans="3:3" x14ac:dyDescent="0.25">
      <c r="C422" s="38"/>
    </row>
    <row r="423" spans="3:3" x14ac:dyDescent="0.25">
      <c r="C423" s="38"/>
    </row>
    <row r="424" spans="3:3" x14ac:dyDescent="0.25">
      <c r="C424" s="38"/>
    </row>
    <row r="425" spans="3:3" x14ac:dyDescent="0.25">
      <c r="C425" s="38"/>
    </row>
    <row r="426" spans="3:3" x14ac:dyDescent="0.25">
      <c r="C426" s="38"/>
    </row>
    <row r="427" spans="3:3" x14ac:dyDescent="0.25">
      <c r="C427" s="38"/>
    </row>
    <row r="428" spans="3:3" x14ac:dyDescent="0.25">
      <c r="C428" s="38"/>
    </row>
    <row r="429" spans="3:3" x14ac:dyDescent="0.25">
      <c r="C429" s="38"/>
    </row>
    <row r="430" spans="3:3" x14ac:dyDescent="0.25">
      <c r="C430" s="38"/>
    </row>
    <row r="431" spans="3:3" x14ac:dyDescent="0.25">
      <c r="C431" s="38"/>
    </row>
    <row r="432" spans="3:3" x14ac:dyDescent="0.25">
      <c r="C432" s="38"/>
    </row>
    <row r="433" spans="3:3" x14ac:dyDescent="0.25">
      <c r="C433" s="38"/>
    </row>
    <row r="434" spans="3:3" x14ac:dyDescent="0.25">
      <c r="C434" s="38"/>
    </row>
    <row r="435" spans="3:3" x14ac:dyDescent="0.25">
      <c r="C435" s="38"/>
    </row>
    <row r="436" spans="3:3" x14ac:dyDescent="0.25">
      <c r="C436" s="38"/>
    </row>
    <row r="437" spans="3:3" x14ac:dyDescent="0.25">
      <c r="C437" s="38"/>
    </row>
    <row r="438" spans="3:3" x14ac:dyDescent="0.25">
      <c r="C438" s="38"/>
    </row>
    <row r="439" spans="3:3" x14ac:dyDescent="0.25">
      <c r="C439" s="38"/>
    </row>
    <row r="440" spans="3:3" x14ac:dyDescent="0.25">
      <c r="C440" s="38"/>
    </row>
    <row r="441" spans="3:3" x14ac:dyDescent="0.25">
      <c r="C441" s="38"/>
    </row>
    <row r="442" spans="3:3" x14ac:dyDescent="0.25">
      <c r="C442" s="38"/>
    </row>
    <row r="443" spans="3:3" x14ac:dyDescent="0.25">
      <c r="C443" s="38"/>
    </row>
    <row r="444" spans="3:3" x14ac:dyDescent="0.25">
      <c r="C444" s="38"/>
    </row>
    <row r="445" spans="3:3" x14ac:dyDescent="0.25">
      <c r="C445" s="38"/>
    </row>
    <row r="446" spans="3:3" x14ac:dyDescent="0.25">
      <c r="C446" s="38"/>
    </row>
    <row r="447" spans="3:3" x14ac:dyDescent="0.25">
      <c r="C447" s="38"/>
    </row>
    <row r="448" spans="3:3" x14ac:dyDescent="0.25">
      <c r="C448" s="38"/>
    </row>
    <row r="449" spans="3:3" x14ac:dyDescent="0.25">
      <c r="C449" s="38"/>
    </row>
    <row r="450" spans="3:3" x14ac:dyDescent="0.25">
      <c r="C450" s="38"/>
    </row>
    <row r="451" spans="3:3" x14ac:dyDescent="0.25">
      <c r="C451" s="38"/>
    </row>
    <row r="452" spans="3:3" x14ac:dyDescent="0.25">
      <c r="C452" s="38"/>
    </row>
    <row r="453" spans="3:3" x14ac:dyDescent="0.25">
      <c r="C453" s="38"/>
    </row>
    <row r="454" spans="3:3" x14ac:dyDescent="0.25">
      <c r="C454" s="38"/>
    </row>
    <row r="455" spans="3:3" x14ac:dyDescent="0.25">
      <c r="C455" s="38"/>
    </row>
    <row r="456" spans="3:3" x14ac:dyDescent="0.25">
      <c r="C456" s="38"/>
    </row>
    <row r="457" spans="3:3" x14ac:dyDescent="0.25">
      <c r="C457" s="38"/>
    </row>
    <row r="458" spans="3:3" x14ac:dyDescent="0.25">
      <c r="C458" s="38"/>
    </row>
    <row r="459" spans="3:3" x14ac:dyDescent="0.25">
      <c r="C459" s="38"/>
    </row>
    <row r="460" spans="3:3" x14ac:dyDescent="0.25">
      <c r="C460" s="38"/>
    </row>
    <row r="461" spans="3:3" x14ac:dyDescent="0.25">
      <c r="C461" s="38"/>
    </row>
    <row r="462" spans="3:3" x14ac:dyDescent="0.25">
      <c r="C462" s="38"/>
    </row>
    <row r="463" spans="3:3" x14ac:dyDescent="0.25">
      <c r="C463" s="38"/>
    </row>
    <row r="464" spans="3:3" x14ac:dyDescent="0.25">
      <c r="C464" s="38"/>
    </row>
    <row r="465" spans="3:3" x14ac:dyDescent="0.25">
      <c r="C465" s="38"/>
    </row>
    <row r="466" spans="3:3" x14ac:dyDescent="0.25">
      <c r="C466" s="38"/>
    </row>
    <row r="467" spans="3:3" x14ac:dyDescent="0.25">
      <c r="C467" s="38"/>
    </row>
    <row r="468" spans="3:3" x14ac:dyDescent="0.25">
      <c r="C468" s="38"/>
    </row>
    <row r="469" spans="3:3" x14ac:dyDescent="0.25">
      <c r="C469" s="38"/>
    </row>
    <row r="470" spans="3:3" x14ac:dyDescent="0.25">
      <c r="C470" s="38"/>
    </row>
    <row r="471" spans="3:3" x14ac:dyDescent="0.25">
      <c r="C471" s="38"/>
    </row>
    <row r="472" spans="3:3" x14ac:dyDescent="0.25">
      <c r="C472" s="38"/>
    </row>
    <row r="473" spans="3:3" x14ac:dyDescent="0.25">
      <c r="C473" s="38"/>
    </row>
    <row r="474" spans="3:3" x14ac:dyDescent="0.25">
      <c r="C474" s="38"/>
    </row>
    <row r="475" spans="3:3" x14ac:dyDescent="0.25">
      <c r="C475" s="38"/>
    </row>
    <row r="476" spans="3:3" x14ac:dyDescent="0.25">
      <c r="C476" s="38"/>
    </row>
    <row r="477" spans="3:3" x14ac:dyDescent="0.25">
      <c r="C477" s="38"/>
    </row>
    <row r="478" spans="3:3" x14ac:dyDescent="0.25">
      <c r="C478" s="38"/>
    </row>
    <row r="479" spans="3:3" x14ac:dyDescent="0.25">
      <c r="C479" s="38"/>
    </row>
    <row r="480" spans="3:3" x14ac:dyDescent="0.25">
      <c r="C480" s="38"/>
    </row>
    <row r="481" spans="3:3" x14ac:dyDescent="0.25">
      <c r="C481" s="38"/>
    </row>
    <row r="482" spans="3:3" x14ac:dyDescent="0.25">
      <c r="C482" s="38"/>
    </row>
    <row r="483" spans="3:3" x14ac:dyDescent="0.25">
      <c r="C483" s="38"/>
    </row>
    <row r="484" spans="3:3" x14ac:dyDescent="0.25">
      <c r="C484" s="38"/>
    </row>
    <row r="485" spans="3:3" x14ac:dyDescent="0.25">
      <c r="C485" s="38"/>
    </row>
    <row r="486" spans="3:3" x14ac:dyDescent="0.25">
      <c r="C486" s="38"/>
    </row>
    <row r="487" spans="3:3" x14ac:dyDescent="0.25">
      <c r="C487" s="38"/>
    </row>
    <row r="488" spans="3:3" x14ac:dyDescent="0.25">
      <c r="C488" s="38"/>
    </row>
    <row r="489" spans="3:3" x14ac:dyDescent="0.25">
      <c r="C489" s="38"/>
    </row>
    <row r="490" spans="3:3" x14ac:dyDescent="0.25">
      <c r="C490" s="38"/>
    </row>
    <row r="491" spans="3:3" x14ac:dyDescent="0.25">
      <c r="C491" s="38"/>
    </row>
    <row r="492" spans="3:3" x14ac:dyDescent="0.25">
      <c r="C492" s="38"/>
    </row>
    <row r="493" spans="3:3" x14ac:dyDescent="0.25">
      <c r="C493" s="38"/>
    </row>
    <row r="494" spans="3:3" x14ac:dyDescent="0.25">
      <c r="C494" s="38"/>
    </row>
    <row r="495" spans="3:3" x14ac:dyDescent="0.25">
      <c r="C495" s="38"/>
    </row>
    <row r="496" spans="3:3" x14ac:dyDescent="0.25">
      <c r="C496" s="38"/>
    </row>
    <row r="497" spans="3:3" x14ac:dyDescent="0.25">
      <c r="C497" s="38"/>
    </row>
    <row r="498" spans="3:3" x14ac:dyDescent="0.25">
      <c r="C498" s="38"/>
    </row>
    <row r="499" spans="3:3" x14ac:dyDescent="0.25">
      <c r="C499" s="38"/>
    </row>
    <row r="500" spans="3:3" x14ac:dyDescent="0.25">
      <c r="C500" s="38"/>
    </row>
    <row r="501" spans="3:3" x14ac:dyDescent="0.25">
      <c r="C501" s="38"/>
    </row>
    <row r="502" spans="3:3" x14ac:dyDescent="0.25">
      <c r="C502" s="38"/>
    </row>
    <row r="503" spans="3:3" x14ac:dyDescent="0.25">
      <c r="C503" s="38"/>
    </row>
    <row r="504" spans="3:3" x14ac:dyDescent="0.25">
      <c r="C504" s="38"/>
    </row>
    <row r="505" spans="3:3" x14ac:dyDescent="0.25">
      <c r="C505" s="38"/>
    </row>
    <row r="506" spans="3:3" x14ac:dyDescent="0.25">
      <c r="C506" s="38"/>
    </row>
    <row r="507" spans="3:3" x14ac:dyDescent="0.25">
      <c r="C507" s="38"/>
    </row>
    <row r="508" spans="3:3" x14ac:dyDescent="0.25">
      <c r="C508" s="38"/>
    </row>
    <row r="509" spans="3:3" x14ac:dyDescent="0.25">
      <c r="C509" s="38"/>
    </row>
    <row r="510" spans="3:3" x14ac:dyDescent="0.25">
      <c r="C510" s="38"/>
    </row>
    <row r="511" spans="3:3" x14ac:dyDescent="0.25">
      <c r="C511" s="38"/>
    </row>
    <row r="512" spans="3:3" x14ac:dyDescent="0.25">
      <c r="C512" s="38"/>
    </row>
    <row r="513" spans="3:3" x14ac:dyDescent="0.25">
      <c r="C513" s="38"/>
    </row>
    <row r="514" spans="3:3" x14ac:dyDescent="0.25">
      <c r="C514" s="38"/>
    </row>
    <row r="515" spans="3:3" x14ac:dyDescent="0.25">
      <c r="C515" s="38"/>
    </row>
    <row r="516" spans="3:3" x14ac:dyDescent="0.25">
      <c r="C516" s="38"/>
    </row>
    <row r="517" spans="3:3" x14ac:dyDescent="0.25">
      <c r="C517" s="38"/>
    </row>
    <row r="518" spans="3:3" x14ac:dyDescent="0.25">
      <c r="C518" s="38"/>
    </row>
    <row r="519" spans="3:3" x14ac:dyDescent="0.25">
      <c r="C519" s="38"/>
    </row>
    <row r="520" spans="3:3" x14ac:dyDescent="0.25">
      <c r="C520" s="38"/>
    </row>
    <row r="521" spans="3:3" x14ac:dyDescent="0.25">
      <c r="C521" s="38"/>
    </row>
    <row r="522" spans="3:3" x14ac:dyDescent="0.25">
      <c r="C522" s="38"/>
    </row>
    <row r="523" spans="3:3" x14ac:dyDescent="0.25">
      <c r="C523" s="38"/>
    </row>
    <row r="524" spans="3:3" x14ac:dyDescent="0.25">
      <c r="C524" s="38"/>
    </row>
    <row r="525" spans="3:3" x14ac:dyDescent="0.25">
      <c r="C525" s="38"/>
    </row>
    <row r="526" spans="3:3" x14ac:dyDescent="0.25">
      <c r="C526" s="38"/>
    </row>
    <row r="527" spans="3:3" x14ac:dyDescent="0.25">
      <c r="C527" s="38"/>
    </row>
    <row r="528" spans="3:3" x14ac:dyDescent="0.25">
      <c r="C528" s="38"/>
    </row>
    <row r="529" spans="3:3" x14ac:dyDescent="0.25">
      <c r="C529" s="38"/>
    </row>
    <row r="530" spans="3:3" x14ac:dyDescent="0.25">
      <c r="C530" s="38"/>
    </row>
    <row r="531" spans="3:3" x14ac:dyDescent="0.25">
      <c r="C531" s="38"/>
    </row>
    <row r="532" spans="3:3" x14ac:dyDescent="0.25">
      <c r="C532" s="38"/>
    </row>
    <row r="533" spans="3:3" x14ac:dyDescent="0.25">
      <c r="C533" s="38"/>
    </row>
    <row r="534" spans="3:3" x14ac:dyDescent="0.25">
      <c r="C534" s="38"/>
    </row>
    <row r="535" spans="3:3" x14ac:dyDescent="0.25">
      <c r="C535" s="38"/>
    </row>
    <row r="536" spans="3:3" x14ac:dyDescent="0.25">
      <c r="C536" s="38"/>
    </row>
    <row r="537" spans="3:3" x14ac:dyDescent="0.25">
      <c r="C537" s="38"/>
    </row>
    <row r="538" spans="3:3" x14ac:dyDescent="0.25">
      <c r="C538" s="38"/>
    </row>
    <row r="539" spans="3:3" x14ac:dyDescent="0.25">
      <c r="C539" s="38"/>
    </row>
    <row r="540" spans="3:3" x14ac:dyDescent="0.25">
      <c r="C540" s="38"/>
    </row>
    <row r="541" spans="3:3" x14ac:dyDescent="0.25">
      <c r="C541" s="38"/>
    </row>
    <row r="542" spans="3:3" x14ac:dyDescent="0.25">
      <c r="C542" s="38"/>
    </row>
    <row r="543" spans="3:3" x14ac:dyDescent="0.25">
      <c r="C543" s="38"/>
    </row>
    <row r="544" spans="3:3" x14ac:dyDescent="0.25">
      <c r="C544" s="38"/>
    </row>
    <row r="545" spans="3:3" x14ac:dyDescent="0.25">
      <c r="C545" s="38"/>
    </row>
    <row r="546" spans="3:3" x14ac:dyDescent="0.25">
      <c r="C546" s="38"/>
    </row>
    <row r="547" spans="3:3" x14ac:dyDescent="0.25">
      <c r="C547" s="38"/>
    </row>
    <row r="548" spans="3:3" x14ac:dyDescent="0.25">
      <c r="C548" s="38"/>
    </row>
    <row r="549" spans="3:3" x14ac:dyDescent="0.25">
      <c r="C549" s="38"/>
    </row>
    <row r="550" spans="3:3" x14ac:dyDescent="0.25">
      <c r="C550" s="38"/>
    </row>
    <row r="551" spans="3:3" x14ac:dyDescent="0.25">
      <c r="C551" s="38"/>
    </row>
    <row r="552" spans="3:3" x14ac:dyDescent="0.25">
      <c r="C552" s="38"/>
    </row>
    <row r="553" spans="3:3" x14ac:dyDescent="0.25">
      <c r="C553" s="38"/>
    </row>
    <row r="554" spans="3:3" x14ac:dyDescent="0.25">
      <c r="C554" s="38"/>
    </row>
    <row r="555" spans="3:3" x14ac:dyDescent="0.25">
      <c r="C555" s="38"/>
    </row>
    <row r="556" spans="3:3" x14ac:dyDescent="0.25">
      <c r="C556" s="38"/>
    </row>
    <row r="557" spans="3:3" x14ac:dyDescent="0.25">
      <c r="C557" s="38"/>
    </row>
    <row r="558" spans="3:3" x14ac:dyDescent="0.25">
      <c r="C558" s="38"/>
    </row>
    <row r="559" spans="3:3" x14ac:dyDescent="0.25">
      <c r="C559" s="38"/>
    </row>
    <row r="560" spans="3:3" x14ac:dyDescent="0.25">
      <c r="C560" s="38"/>
    </row>
    <row r="561" spans="3:3" x14ac:dyDescent="0.25">
      <c r="C561" s="38"/>
    </row>
    <row r="562" spans="3:3" x14ac:dyDescent="0.25">
      <c r="C562" s="38"/>
    </row>
    <row r="563" spans="3:3" x14ac:dyDescent="0.25">
      <c r="C563" s="38"/>
    </row>
    <row r="564" spans="3:3" x14ac:dyDescent="0.25">
      <c r="C564" s="38"/>
    </row>
    <row r="565" spans="3:3" x14ac:dyDescent="0.25">
      <c r="C565" s="38"/>
    </row>
    <row r="566" spans="3:3" x14ac:dyDescent="0.25">
      <c r="C566" s="38"/>
    </row>
    <row r="567" spans="3:3" x14ac:dyDescent="0.25">
      <c r="C567" s="38"/>
    </row>
    <row r="568" spans="3:3" x14ac:dyDescent="0.25">
      <c r="C568" s="38"/>
    </row>
    <row r="569" spans="3:3" x14ac:dyDescent="0.25">
      <c r="C569" s="38"/>
    </row>
    <row r="570" spans="3:3" x14ac:dyDescent="0.25">
      <c r="C570" s="38"/>
    </row>
    <row r="571" spans="3:3" x14ac:dyDescent="0.25">
      <c r="C571" s="38"/>
    </row>
    <row r="572" spans="3:3" x14ac:dyDescent="0.25">
      <c r="C572" s="38"/>
    </row>
    <row r="573" spans="3:3" x14ac:dyDescent="0.25">
      <c r="C573" s="38"/>
    </row>
    <row r="574" spans="3:3" x14ac:dyDescent="0.25">
      <c r="C574" s="38"/>
    </row>
    <row r="575" spans="3:3" x14ac:dyDescent="0.25">
      <c r="C575" s="38"/>
    </row>
    <row r="576" spans="3:3" x14ac:dyDescent="0.25">
      <c r="C576" s="38"/>
    </row>
    <row r="577" spans="3:3" x14ac:dyDescent="0.25">
      <c r="C577" s="38"/>
    </row>
    <row r="578" spans="3:3" x14ac:dyDescent="0.25">
      <c r="C578" s="38"/>
    </row>
    <row r="579" spans="3:3" x14ac:dyDescent="0.25">
      <c r="C579" s="38"/>
    </row>
    <row r="580" spans="3:3" x14ac:dyDescent="0.25">
      <c r="C580" s="38"/>
    </row>
    <row r="581" spans="3:3" x14ac:dyDescent="0.25">
      <c r="C581" s="38"/>
    </row>
    <row r="582" spans="3:3" x14ac:dyDescent="0.25">
      <c r="C582" s="38"/>
    </row>
    <row r="583" spans="3:3" x14ac:dyDescent="0.25">
      <c r="C583" s="38"/>
    </row>
    <row r="584" spans="3:3" x14ac:dyDescent="0.25">
      <c r="C584" s="38"/>
    </row>
    <row r="585" spans="3:3" x14ac:dyDescent="0.25">
      <c r="C585" s="38"/>
    </row>
    <row r="586" spans="3:3" x14ac:dyDescent="0.25">
      <c r="C586" s="38"/>
    </row>
  </sheetData>
  <conditionalFormatting sqref="L26">
    <cfRule type="containsText" dxfId="5374" priority="76" operator="containsText" text="FAIL">
      <formula>NOT(ISERROR(SEARCH("FAIL",L26)))</formula>
    </cfRule>
  </conditionalFormatting>
  <conditionalFormatting sqref="L26">
    <cfRule type="containsText" dxfId="5373" priority="75" operator="containsText" text="GOOD">
      <formula>NOT(ISERROR(SEARCH("GOOD",L26)))</formula>
    </cfRule>
  </conditionalFormatting>
  <conditionalFormatting sqref="L25">
    <cfRule type="containsText" dxfId="5372" priority="74" operator="containsText" text="FAIL">
      <formula>NOT(ISERROR(SEARCH("FAIL",L25)))</formula>
    </cfRule>
  </conditionalFormatting>
  <conditionalFormatting sqref="L25">
    <cfRule type="containsText" dxfId="5371" priority="73" operator="containsText" text="GOOD">
      <formula>NOT(ISERROR(SEARCH("GOOD",L25)))</formula>
    </cfRule>
  </conditionalFormatting>
  <conditionalFormatting sqref="L24">
    <cfRule type="containsText" dxfId="5370" priority="72" operator="containsText" text="FAIL">
      <formula>NOT(ISERROR(SEARCH("FAIL",L24)))</formula>
    </cfRule>
  </conditionalFormatting>
  <conditionalFormatting sqref="L24">
    <cfRule type="containsText" dxfId="5369" priority="71" operator="containsText" text="GOOD">
      <formula>NOT(ISERROR(SEARCH("GOOD",L24)))</formula>
    </cfRule>
  </conditionalFormatting>
  <conditionalFormatting sqref="L23">
    <cfRule type="containsText" dxfId="5368" priority="70" operator="containsText" text="FAIL">
      <formula>NOT(ISERROR(SEARCH("FAIL",L23)))</formula>
    </cfRule>
  </conditionalFormatting>
  <conditionalFormatting sqref="L23">
    <cfRule type="containsText" dxfId="5367" priority="69" operator="containsText" text="GOOD">
      <formula>NOT(ISERROR(SEARCH("GOOD",L23)))</formula>
    </cfRule>
  </conditionalFormatting>
  <conditionalFormatting sqref="L22">
    <cfRule type="containsText" dxfId="5366" priority="68" operator="containsText" text="FAIL">
      <formula>NOT(ISERROR(SEARCH("FAIL",L22)))</formula>
    </cfRule>
  </conditionalFormatting>
  <conditionalFormatting sqref="L22">
    <cfRule type="containsText" dxfId="5365" priority="67" operator="containsText" text="GOOD">
      <formula>NOT(ISERROR(SEARCH("GOOD",L22)))</formula>
    </cfRule>
  </conditionalFormatting>
  <conditionalFormatting sqref="L21">
    <cfRule type="containsText" dxfId="5364" priority="66" operator="containsText" text="FAIL">
      <formula>NOT(ISERROR(SEARCH("FAIL",L21)))</formula>
    </cfRule>
  </conditionalFormatting>
  <conditionalFormatting sqref="L21">
    <cfRule type="containsText" dxfId="5363" priority="65" operator="containsText" text="GOOD">
      <formula>NOT(ISERROR(SEARCH("GOOD",L21)))</formula>
    </cfRule>
  </conditionalFormatting>
  <conditionalFormatting sqref="L20">
    <cfRule type="containsText" dxfId="5362" priority="64" operator="containsText" text="FAIL">
      <formula>NOT(ISERROR(SEARCH("FAIL",L20)))</formula>
    </cfRule>
  </conditionalFormatting>
  <conditionalFormatting sqref="L20">
    <cfRule type="containsText" dxfId="5361" priority="63" operator="containsText" text="GOOD">
      <formula>NOT(ISERROR(SEARCH("GOOD",L20)))</formula>
    </cfRule>
  </conditionalFormatting>
  <conditionalFormatting sqref="L19">
    <cfRule type="containsText" dxfId="5360" priority="62" operator="containsText" text="FAIL">
      <formula>NOT(ISERROR(SEARCH("FAIL",L19)))</formula>
    </cfRule>
  </conditionalFormatting>
  <conditionalFormatting sqref="L19">
    <cfRule type="containsText" dxfId="5359" priority="61" operator="containsText" text="GOOD">
      <formula>NOT(ISERROR(SEARCH("GOOD",L19)))</formula>
    </cfRule>
  </conditionalFormatting>
  <conditionalFormatting sqref="L18">
    <cfRule type="containsText" dxfId="5358" priority="60" operator="containsText" text="FAIL">
      <formula>NOT(ISERROR(SEARCH("FAIL",L18)))</formula>
    </cfRule>
  </conditionalFormatting>
  <conditionalFormatting sqref="L18">
    <cfRule type="containsText" dxfId="5357" priority="59" operator="containsText" text="GOOD">
      <formula>NOT(ISERROR(SEARCH("GOOD",L18)))</formula>
    </cfRule>
  </conditionalFormatting>
  <conditionalFormatting sqref="L17">
    <cfRule type="containsText" dxfId="5356" priority="58" operator="containsText" text="FAIL">
      <formula>NOT(ISERROR(SEARCH("FAIL",L17)))</formula>
    </cfRule>
  </conditionalFormatting>
  <conditionalFormatting sqref="L17">
    <cfRule type="containsText" dxfId="5355" priority="57" operator="containsText" text="GOOD">
      <formula>NOT(ISERROR(SEARCH("GOOD",L17)))</formula>
    </cfRule>
  </conditionalFormatting>
  <conditionalFormatting sqref="L16">
    <cfRule type="containsText" dxfId="5354" priority="56" operator="containsText" text="FAIL">
      <formula>NOT(ISERROR(SEARCH("FAIL",L16)))</formula>
    </cfRule>
  </conditionalFormatting>
  <conditionalFormatting sqref="L16">
    <cfRule type="containsText" dxfId="5353" priority="55" operator="containsText" text="GOOD">
      <formula>NOT(ISERROR(SEARCH("GOOD",L16)))</formula>
    </cfRule>
  </conditionalFormatting>
  <conditionalFormatting sqref="L14">
    <cfRule type="containsText" dxfId="5352" priority="54" operator="containsText" text="FAIL">
      <formula>NOT(ISERROR(SEARCH("FAIL",L14)))</formula>
    </cfRule>
  </conditionalFormatting>
  <conditionalFormatting sqref="L14">
    <cfRule type="containsText" dxfId="5351" priority="53" operator="containsText" text="GOOD">
      <formula>NOT(ISERROR(SEARCH("GOOD",L14)))</formula>
    </cfRule>
  </conditionalFormatting>
  <conditionalFormatting sqref="L15">
    <cfRule type="containsText" dxfId="5350" priority="52" operator="containsText" text="FAIL">
      <formula>NOT(ISERROR(SEARCH("FAIL",L15)))</formula>
    </cfRule>
  </conditionalFormatting>
  <conditionalFormatting sqref="L15">
    <cfRule type="containsText" dxfId="5349" priority="51" operator="containsText" text="GOOD">
      <formula>NOT(ISERROR(SEARCH("GOOD",L15)))</formula>
    </cfRule>
  </conditionalFormatting>
  <conditionalFormatting sqref="L13">
    <cfRule type="containsText" dxfId="5348" priority="50" operator="containsText" text="FAIL">
      <formula>NOT(ISERROR(SEARCH("FAIL",L13)))</formula>
    </cfRule>
  </conditionalFormatting>
  <conditionalFormatting sqref="L13">
    <cfRule type="containsText" dxfId="5347" priority="49" operator="containsText" text="GOOD">
      <formula>NOT(ISERROR(SEARCH("GOOD",L13)))</formula>
    </cfRule>
  </conditionalFormatting>
  <conditionalFormatting sqref="L12">
    <cfRule type="containsText" dxfId="5346" priority="48" operator="containsText" text="FAIL">
      <formula>NOT(ISERROR(SEARCH("FAIL",L12)))</formula>
    </cfRule>
  </conditionalFormatting>
  <conditionalFormatting sqref="L12">
    <cfRule type="containsText" dxfId="5345" priority="47" operator="containsText" text="GOOD">
      <formula>NOT(ISERROR(SEARCH("GOOD",L12)))</formula>
    </cfRule>
  </conditionalFormatting>
  <conditionalFormatting sqref="L11">
    <cfRule type="containsText" dxfId="5344" priority="46" operator="containsText" text="FAIL">
      <formula>NOT(ISERROR(SEARCH("FAIL",L11)))</formula>
    </cfRule>
  </conditionalFormatting>
  <conditionalFormatting sqref="L11">
    <cfRule type="containsText" dxfId="5343" priority="45" operator="containsText" text="GOOD">
      <formula>NOT(ISERROR(SEARCH("GOOD",L11)))</formula>
    </cfRule>
  </conditionalFormatting>
  <conditionalFormatting sqref="L10">
    <cfRule type="containsText" dxfId="5342" priority="44" operator="containsText" text="FAIL">
      <formula>NOT(ISERROR(SEARCH("FAIL",L10)))</formula>
    </cfRule>
  </conditionalFormatting>
  <conditionalFormatting sqref="L10">
    <cfRule type="containsText" dxfId="5341" priority="43" operator="containsText" text="GOOD">
      <formula>NOT(ISERROR(SEARCH("GOOD",L10)))</formula>
    </cfRule>
  </conditionalFormatting>
  <conditionalFormatting sqref="L9">
    <cfRule type="containsText" dxfId="5340" priority="42" operator="containsText" text="FAIL">
      <formula>NOT(ISERROR(SEARCH("FAIL",L9)))</formula>
    </cfRule>
  </conditionalFormatting>
  <conditionalFormatting sqref="L9">
    <cfRule type="containsText" dxfId="5339" priority="41" operator="containsText" text="GOOD">
      <formula>NOT(ISERROR(SEARCH("GOOD",L9)))</formula>
    </cfRule>
  </conditionalFormatting>
  <conditionalFormatting sqref="L8">
    <cfRule type="containsText" dxfId="5338" priority="40" operator="containsText" text="FAIL">
      <formula>NOT(ISERROR(SEARCH("FAIL",L8)))</formula>
    </cfRule>
  </conditionalFormatting>
  <conditionalFormatting sqref="L8">
    <cfRule type="containsText" dxfId="5337" priority="39" operator="containsText" text="GOOD">
      <formula>NOT(ISERROR(SEARCH("GOOD",L8)))</formula>
    </cfRule>
  </conditionalFormatting>
  <conditionalFormatting sqref="L34">
    <cfRule type="containsText" dxfId="5336" priority="36" operator="containsText" text="FAIL">
      <formula>NOT(ISERROR(SEARCH("FAIL",L34)))</formula>
    </cfRule>
  </conditionalFormatting>
  <conditionalFormatting sqref="L34">
    <cfRule type="containsText" dxfId="5335" priority="35" operator="containsText" text="GOOD">
      <formula>NOT(ISERROR(SEARCH("GOOD",L34)))</formula>
    </cfRule>
  </conditionalFormatting>
  <conditionalFormatting sqref="L35">
    <cfRule type="containsText" dxfId="5334" priority="34" operator="containsText" text="FAIL">
      <formula>NOT(ISERROR(SEARCH("FAIL",L35)))</formula>
    </cfRule>
  </conditionalFormatting>
  <conditionalFormatting sqref="L35">
    <cfRule type="containsText" dxfId="5333" priority="33" operator="containsText" text="GOOD">
      <formula>NOT(ISERROR(SEARCH("GOOD",L35)))</formula>
    </cfRule>
  </conditionalFormatting>
  <conditionalFormatting sqref="L36">
    <cfRule type="containsText" dxfId="5332" priority="32" operator="containsText" text="FAIL">
      <formula>NOT(ISERROR(SEARCH("FAIL",L36)))</formula>
    </cfRule>
  </conditionalFormatting>
  <conditionalFormatting sqref="L36">
    <cfRule type="containsText" dxfId="5331" priority="31" operator="containsText" text="GOOD">
      <formula>NOT(ISERROR(SEARCH("GOOD",L36)))</formula>
    </cfRule>
  </conditionalFormatting>
  <conditionalFormatting sqref="L37">
    <cfRule type="containsText" dxfId="5330" priority="30" operator="containsText" text="FAIL">
      <formula>NOT(ISERROR(SEARCH("FAIL",L37)))</formula>
    </cfRule>
  </conditionalFormatting>
  <conditionalFormatting sqref="L37">
    <cfRule type="containsText" dxfId="5329" priority="29" operator="containsText" text="GOOD">
      <formula>NOT(ISERROR(SEARCH("GOOD",L37)))</formula>
    </cfRule>
  </conditionalFormatting>
  <conditionalFormatting sqref="L38">
    <cfRule type="containsText" dxfId="5328" priority="28" operator="containsText" text="FAIL">
      <formula>NOT(ISERROR(SEARCH("FAIL",L38)))</formula>
    </cfRule>
  </conditionalFormatting>
  <conditionalFormatting sqref="L38">
    <cfRule type="containsText" dxfId="5327" priority="27" operator="containsText" text="GOOD">
      <formula>NOT(ISERROR(SEARCH("GOOD",L38)))</formula>
    </cfRule>
  </conditionalFormatting>
  <conditionalFormatting sqref="L41">
    <cfRule type="containsText" dxfId="5326" priority="26" operator="containsText" text="FAIL">
      <formula>NOT(ISERROR(SEARCH("FAIL",L41)))</formula>
    </cfRule>
  </conditionalFormatting>
  <conditionalFormatting sqref="L41">
    <cfRule type="containsText" dxfId="5325" priority="25" operator="containsText" text="GOOD">
      <formula>NOT(ISERROR(SEARCH("GOOD",L41)))</formula>
    </cfRule>
  </conditionalFormatting>
  <conditionalFormatting sqref="L42">
    <cfRule type="containsText" dxfId="5324" priority="24" operator="containsText" text="FAIL">
      <formula>NOT(ISERROR(SEARCH("FAIL",L42)))</formula>
    </cfRule>
  </conditionalFormatting>
  <conditionalFormatting sqref="L42">
    <cfRule type="containsText" dxfId="5323" priority="23" operator="containsText" text="GOOD">
      <formula>NOT(ISERROR(SEARCH("GOOD",L42)))</formula>
    </cfRule>
  </conditionalFormatting>
  <conditionalFormatting sqref="L43">
    <cfRule type="containsText" dxfId="5322" priority="22" operator="containsText" text="FAIL">
      <formula>NOT(ISERROR(SEARCH("FAIL",L43)))</formula>
    </cfRule>
  </conditionalFormatting>
  <conditionalFormatting sqref="L43">
    <cfRule type="containsText" dxfId="5321" priority="21" operator="containsText" text="GOOD">
      <formula>NOT(ISERROR(SEARCH("GOOD",L43)))</formula>
    </cfRule>
  </conditionalFormatting>
  <conditionalFormatting sqref="L44">
    <cfRule type="containsText" dxfId="5320" priority="20" operator="containsText" text="FAIL">
      <formula>NOT(ISERROR(SEARCH("FAIL",L44)))</formula>
    </cfRule>
  </conditionalFormatting>
  <conditionalFormatting sqref="L44">
    <cfRule type="containsText" dxfId="5319" priority="19" operator="containsText" text="GOOD">
      <formula>NOT(ISERROR(SEARCH("GOOD",L44)))</formula>
    </cfRule>
  </conditionalFormatting>
  <conditionalFormatting sqref="L45">
    <cfRule type="containsText" dxfId="5318" priority="18" operator="containsText" text="FAIL">
      <formula>NOT(ISERROR(SEARCH("FAIL",L45)))</formula>
    </cfRule>
  </conditionalFormatting>
  <conditionalFormatting sqref="L45">
    <cfRule type="containsText" dxfId="5317" priority="17" operator="containsText" text="GOOD">
      <formula>NOT(ISERROR(SEARCH("GOOD",L45)))</formula>
    </cfRule>
  </conditionalFormatting>
  <conditionalFormatting sqref="L46">
    <cfRule type="containsText" dxfId="5316" priority="16" operator="containsText" text="FAIL">
      <formula>NOT(ISERROR(SEARCH("FAIL",L46)))</formula>
    </cfRule>
  </conditionalFormatting>
  <conditionalFormatting sqref="L46">
    <cfRule type="containsText" dxfId="5315" priority="15" operator="containsText" text="GOOD">
      <formula>NOT(ISERROR(SEARCH("GOOD",L46)))</formula>
    </cfRule>
  </conditionalFormatting>
  <conditionalFormatting sqref="L47">
    <cfRule type="containsText" dxfId="5314" priority="14" operator="containsText" text="FAIL">
      <formula>NOT(ISERROR(SEARCH("FAIL",L47)))</formula>
    </cfRule>
  </conditionalFormatting>
  <conditionalFormatting sqref="L47">
    <cfRule type="containsText" dxfId="5313" priority="13" operator="containsText" text="GOOD">
      <formula>NOT(ISERROR(SEARCH("GOOD",L47)))</formula>
    </cfRule>
  </conditionalFormatting>
  <conditionalFormatting sqref="L48">
    <cfRule type="containsText" dxfId="5312" priority="12" operator="containsText" text="FAIL">
      <formula>NOT(ISERROR(SEARCH("FAIL",L48)))</formula>
    </cfRule>
  </conditionalFormatting>
  <conditionalFormatting sqref="L48">
    <cfRule type="containsText" dxfId="5311" priority="11" operator="containsText" text="GOOD">
      <formula>NOT(ISERROR(SEARCH("GOOD",L48)))</formula>
    </cfRule>
  </conditionalFormatting>
  <conditionalFormatting sqref="L49">
    <cfRule type="containsText" dxfId="5310" priority="10" operator="containsText" text="FAIL">
      <formula>NOT(ISERROR(SEARCH("FAIL",L49)))</formula>
    </cfRule>
  </conditionalFormatting>
  <conditionalFormatting sqref="L49">
    <cfRule type="containsText" dxfId="5309" priority="9" operator="containsText" text="GOOD">
      <formula>NOT(ISERROR(SEARCH("GOOD",L49)))</formula>
    </cfRule>
  </conditionalFormatting>
  <conditionalFormatting sqref="L50">
    <cfRule type="containsText" dxfId="5308" priority="8" operator="containsText" text="FAIL">
      <formula>NOT(ISERROR(SEARCH("FAIL",L50)))</formula>
    </cfRule>
  </conditionalFormatting>
  <conditionalFormatting sqref="L50">
    <cfRule type="containsText" dxfId="5307" priority="7" operator="containsText" text="GOOD">
      <formula>NOT(ISERROR(SEARCH("GOOD",L50)))</formula>
    </cfRule>
  </conditionalFormatting>
  <conditionalFormatting sqref="L51">
    <cfRule type="containsText" dxfId="5306" priority="6" operator="containsText" text="FAIL">
      <formula>NOT(ISERROR(SEARCH("FAIL",L51)))</formula>
    </cfRule>
  </conditionalFormatting>
  <conditionalFormatting sqref="L51">
    <cfRule type="containsText" dxfId="5305" priority="5" operator="containsText" text="GOOD">
      <formula>NOT(ISERROR(SEARCH("GOOD",L51)))</formula>
    </cfRule>
  </conditionalFormatting>
  <conditionalFormatting sqref="L54">
    <cfRule type="containsText" dxfId="5304" priority="4" operator="containsText" text="FAIL">
      <formula>NOT(ISERROR(SEARCH("FAIL",L54)))</formula>
    </cfRule>
  </conditionalFormatting>
  <conditionalFormatting sqref="L54">
    <cfRule type="containsText" dxfId="5303" priority="3" operator="containsText" text="GOOD">
      <formula>NOT(ISERROR(SEARCH("GOOD",L54)))</formula>
    </cfRule>
  </conditionalFormatting>
  <conditionalFormatting sqref="L55">
    <cfRule type="containsText" dxfId="5302" priority="2" operator="containsText" text="FAIL">
      <formula>NOT(ISERROR(SEARCH("FAIL",L55)))</formula>
    </cfRule>
  </conditionalFormatting>
  <conditionalFormatting sqref="L55">
    <cfRule type="containsText" dxfId="5301" priority="1" operator="containsText" text="GOOD">
      <formula>NOT(ISERROR(SEARCH("GOOD",L55)))</formula>
    </cfRule>
  </conditionalFormatting>
  <pageMargins left="0.7" right="0.7" top="0.75" bottom="0.75" header="0.3" footer="0.3"/>
  <pageSetup paperSize="17" scale="8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39997558519241921"/>
    <pageSetUpPr fitToPage="1"/>
  </sheetPr>
  <dimension ref="C2:X651"/>
  <sheetViews>
    <sheetView zoomScaleNormal="100" workbookViewId="0">
      <pane ySplit="5" topLeftCell="A6" activePane="bottomLeft" state="frozen"/>
      <selection pane="bottomLeft" activeCell="E15" sqref="E15"/>
    </sheetView>
  </sheetViews>
  <sheetFormatPr defaultColWidth="8.85546875" defaultRowHeight="15" x14ac:dyDescent="0.25"/>
  <cols>
    <col min="1" max="1" width="3.140625" customWidth="1"/>
    <col min="2" max="2" width="2.85546875" customWidth="1"/>
    <col min="3" max="3" width="5.28515625" customWidth="1"/>
    <col min="4" max="4" width="13.42578125" customWidth="1"/>
    <col min="5" max="5" width="51.42578125" customWidth="1"/>
    <col min="6" max="6" width="9.42578125" bestFit="1" customWidth="1"/>
    <col min="7" max="7" width="8.42578125" customWidth="1"/>
    <col min="8" max="10" width="13.7109375" customWidth="1"/>
    <col min="11" max="11" width="9.42578125" customWidth="1"/>
    <col min="12" max="12" width="7" customWidth="1"/>
    <col min="13" max="13" width="6.42578125" customWidth="1"/>
    <col min="14" max="14" width="5.7109375" style="11" customWidth="1"/>
    <col min="15" max="15" width="3.42578125" customWidth="1"/>
    <col min="16" max="16" width="6.140625" customWidth="1"/>
    <col min="17" max="17" width="3.42578125" customWidth="1"/>
    <col min="18" max="18" width="44.7109375" customWidth="1"/>
    <col min="19" max="19" width="27" customWidth="1"/>
    <col min="22" max="22" width="11.140625" bestFit="1" customWidth="1"/>
    <col min="23" max="23" width="12.42578125" bestFit="1" customWidth="1"/>
    <col min="24" max="24" width="12" bestFit="1" customWidth="1"/>
    <col min="26" max="27" width="12.140625" bestFit="1" customWidth="1"/>
  </cols>
  <sheetData>
    <row r="2" spans="3:24" ht="27.75" customHeight="1" x14ac:dyDescent="0.25">
      <c r="D2" s="21"/>
      <c r="E2" s="15"/>
      <c r="F2" s="15" t="s">
        <v>32</v>
      </c>
      <c r="I2" s="15"/>
      <c r="J2" s="15"/>
      <c r="L2" s="15" t="s">
        <v>936</v>
      </c>
    </row>
    <row r="3" spans="3:24" ht="18.75" x14ac:dyDescent="0.3">
      <c r="D3" s="3"/>
      <c r="F3" s="3" t="s">
        <v>53</v>
      </c>
      <c r="K3" s="36" t="s">
        <v>54</v>
      </c>
      <c r="L3" s="37">
        <v>2017</v>
      </c>
      <c r="S3" s="77" t="s">
        <v>994</v>
      </c>
    </row>
    <row r="5" spans="3:24" x14ac:dyDescent="0.25">
      <c r="C5" s="40" t="s">
        <v>423</v>
      </c>
      <c r="D5" s="49" t="s">
        <v>55</v>
      </c>
      <c r="E5" s="49" t="s">
        <v>56</v>
      </c>
      <c r="F5" s="49" t="s">
        <v>57</v>
      </c>
      <c r="G5" s="50" t="s">
        <v>424</v>
      </c>
      <c r="H5" s="47" t="s">
        <v>58</v>
      </c>
      <c r="I5" s="47" t="s">
        <v>59</v>
      </c>
      <c r="J5" s="42" t="s">
        <v>456</v>
      </c>
      <c r="K5" s="47" t="s">
        <v>60</v>
      </c>
      <c r="L5" s="48" t="s">
        <v>61</v>
      </c>
      <c r="M5" s="47" t="s">
        <v>62</v>
      </c>
      <c r="N5" s="43" t="s">
        <v>225</v>
      </c>
      <c r="O5" s="43" t="s">
        <v>422</v>
      </c>
      <c r="P5" s="43" t="s">
        <v>454</v>
      </c>
      <c r="Q5" s="43"/>
      <c r="R5" s="41" t="s">
        <v>63</v>
      </c>
      <c r="S5" s="9" t="s">
        <v>551</v>
      </c>
      <c r="T5" s="9"/>
      <c r="U5" s="9"/>
      <c r="V5" s="9"/>
    </row>
    <row r="6" spans="3:24" ht="7.5" customHeight="1" x14ac:dyDescent="0.25">
      <c r="C6" s="39"/>
      <c r="G6" s="45"/>
    </row>
    <row r="7" spans="3:24" x14ac:dyDescent="0.25">
      <c r="C7" s="39">
        <v>2017</v>
      </c>
      <c r="D7" s="62" t="str">
        <f>+'PAT-024.031'!$F$4</f>
        <v>PAT-024.031</v>
      </c>
      <c r="E7" s="63" t="str">
        <f>+'PAT-024.031'!$F$5</f>
        <v>Replacement of Substation 7</v>
      </c>
      <c r="F7" s="64">
        <f>+'PAT-024.031'!$F$6</f>
        <v>42873</v>
      </c>
      <c r="G7" s="65" t="str">
        <f>+'PAT-024.031'!$G$7</f>
        <v>VVP</v>
      </c>
      <c r="H7" s="94">
        <f>+'PAT-024.031'!$F$7</f>
        <v>29400000</v>
      </c>
      <c r="I7" s="27">
        <f>+'PAT-024.031'!$F$8</f>
        <v>40981000</v>
      </c>
      <c r="J7" s="27"/>
      <c r="K7" s="26">
        <f>+'PAT-024.031'!$G$9</f>
        <v>0.39391156462585036</v>
      </c>
      <c r="L7" s="11" t="str">
        <f>+'PAT-024.031'!$F$11</f>
        <v>FAIL</v>
      </c>
      <c r="M7" s="15">
        <f>+'PAT-024.031'!$H$12</f>
        <v>2</v>
      </c>
      <c r="N7" s="35" t="s">
        <v>25</v>
      </c>
      <c r="O7" s="15">
        <v>2</v>
      </c>
      <c r="P7" s="35" t="s">
        <v>459</v>
      </c>
      <c r="Q7" s="15"/>
      <c r="R7" s="24"/>
      <c r="S7" s="62" t="str">
        <f>+'PAT-024.031'!$J$4</f>
        <v>Nathan Demaisip</v>
      </c>
      <c r="T7" s="15"/>
      <c r="U7" s="15"/>
      <c r="V7" s="54">
        <f t="shared" ref="V7:W13" si="0">+H7</f>
        <v>29400000</v>
      </c>
      <c r="W7" s="54">
        <f t="shared" si="0"/>
        <v>40981000</v>
      </c>
      <c r="X7" s="54">
        <f t="shared" ref="X7:X13" si="1">+V7-W7</f>
        <v>-11581000</v>
      </c>
    </row>
    <row r="8" spans="3:24" x14ac:dyDescent="0.25">
      <c r="C8" s="39">
        <v>2017</v>
      </c>
      <c r="D8" s="62" t="str">
        <f>+'PAT-084.001'!$F$4</f>
        <v>PAT-084.001</v>
      </c>
      <c r="E8" s="63" t="str">
        <f>+'PAT-084.001'!$F$5</f>
        <v>Replacement of Substation 9</v>
      </c>
      <c r="F8" s="64">
        <f>+'PAT-084.001'!$F$6</f>
        <v>42844</v>
      </c>
      <c r="G8" s="65" t="str">
        <f>+'PAT-084.001'!$G$7</f>
        <v>PQL</v>
      </c>
      <c r="H8" s="94">
        <f>+'PAT-084.001'!$F$7</f>
        <v>30360000</v>
      </c>
      <c r="I8" s="27">
        <f>+'PAT-084.001'!$F$8</f>
        <v>32920674</v>
      </c>
      <c r="J8" s="27"/>
      <c r="K8" s="26">
        <f>+'PAT-084.001'!$G$9</f>
        <v>8.4343675889328062E-2</v>
      </c>
      <c r="L8" s="11" t="str">
        <f>+'PAT-084.001'!$F$11</f>
        <v>GOOD</v>
      </c>
      <c r="M8" s="15">
        <f>+'PAT-084.001'!$H$12</f>
        <v>3</v>
      </c>
      <c r="N8" s="35" t="s">
        <v>25</v>
      </c>
      <c r="O8" s="15">
        <v>2</v>
      </c>
      <c r="P8" s="35" t="s">
        <v>459</v>
      </c>
      <c r="Q8" s="15"/>
      <c r="R8" s="24"/>
      <c r="S8" s="62" t="str">
        <f>+'PAT-084.001'!$J$4</f>
        <v>Nathan Demaisip</v>
      </c>
      <c r="T8" s="15"/>
      <c r="U8" s="15"/>
      <c r="V8" s="54">
        <f t="shared" si="0"/>
        <v>30360000</v>
      </c>
      <c r="W8" s="54">
        <f t="shared" si="0"/>
        <v>32920674</v>
      </c>
      <c r="X8" s="54">
        <f t="shared" si="1"/>
        <v>-2560674</v>
      </c>
    </row>
    <row r="9" spans="3:24" x14ac:dyDescent="0.25">
      <c r="C9" s="39">
        <v>2016</v>
      </c>
      <c r="D9" s="62" t="str">
        <f>+'PAT-084.039'!$F$4</f>
        <v>PAT-084.039</v>
      </c>
      <c r="E9" s="63" t="str">
        <f>+'PAT-084.039'!$F$5</f>
        <v>Event Detection Systems for Tunnels E and F</v>
      </c>
      <c r="F9" s="64">
        <f>+'PAT-084.039'!$F$6</f>
        <v>42731</v>
      </c>
      <c r="G9" s="65" t="str">
        <f>+'PAT-084.039'!$G$7</f>
        <v>PQL</v>
      </c>
      <c r="H9" s="27">
        <f>+'PAT-084.039'!$F$7</f>
        <v>18500000</v>
      </c>
      <c r="I9" s="27">
        <f>+'PAT-084.039'!$F$8</f>
        <v>15978000</v>
      </c>
      <c r="J9" s="27">
        <v>15978000</v>
      </c>
      <c r="K9" s="26">
        <f>+'PAT-084.039'!$G$9</f>
        <v>-0.13632432432432431</v>
      </c>
      <c r="L9" s="11" t="str">
        <f>+'PAT-084.039'!$F$11</f>
        <v>GOOD</v>
      </c>
      <c r="M9" s="15">
        <f>+'PAT-084.039'!$H$12</f>
        <v>2</v>
      </c>
      <c r="N9" s="35" t="s">
        <v>226</v>
      </c>
      <c r="O9" s="15">
        <v>4</v>
      </c>
      <c r="P9" s="35" t="s">
        <v>459</v>
      </c>
      <c r="Q9" s="15"/>
      <c r="R9" s="24" t="s">
        <v>827</v>
      </c>
      <c r="S9" s="62" t="str">
        <f>+'PAT-084.039'!$J$4</f>
        <v>Nathan Demaisip</v>
      </c>
      <c r="T9" s="15"/>
      <c r="U9" s="15"/>
      <c r="V9" s="54">
        <f t="shared" si="0"/>
        <v>18500000</v>
      </c>
      <c r="W9" s="54">
        <f t="shared" si="0"/>
        <v>15978000</v>
      </c>
      <c r="X9" s="54">
        <f t="shared" si="1"/>
        <v>2522000</v>
      </c>
    </row>
    <row r="10" spans="3:24" x14ac:dyDescent="0.25">
      <c r="C10" s="39">
        <v>2016</v>
      </c>
      <c r="D10" s="62" t="str">
        <f>+'PAT-024.069A'!$F$4</f>
        <v>PAT-024.069A</v>
      </c>
      <c r="E10" s="63" t="str">
        <f>+'PAT-024.069A'!$F$5</f>
        <v>30th Street Mezzanine Rehab</v>
      </c>
      <c r="F10" s="64">
        <f>+'PAT-024.069A'!$F$6</f>
        <v>42667</v>
      </c>
      <c r="G10" s="65" t="str">
        <f>+'PAT-024.069A'!$G$7</f>
        <v>Public</v>
      </c>
      <c r="H10" s="27">
        <f>+'PAT-024.069A'!$F$7</f>
        <v>2400000</v>
      </c>
      <c r="I10" s="27">
        <f>+'PAT-024.069A'!$F$8</f>
        <v>3617000</v>
      </c>
      <c r="J10" s="27">
        <v>3617000</v>
      </c>
      <c r="K10" s="26">
        <f>+'PAT-024.069A'!$G$9</f>
        <v>0.50708333333333333</v>
      </c>
      <c r="L10" s="11" t="str">
        <f>+'PAT-024.069A'!$F$11</f>
        <v>FAIL</v>
      </c>
      <c r="M10" s="15">
        <f>+'PAT-024.069A'!$H$12</f>
        <v>2</v>
      </c>
      <c r="N10" s="35" t="s">
        <v>93</v>
      </c>
      <c r="O10" s="15">
        <v>4</v>
      </c>
      <c r="P10" s="35" t="s">
        <v>459</v>
      </c>
      <c r="Q10" s="15"/>
      <c r="R10" s="24"/>
      <c r="S10" s="62" t="str">
        <f>+'PAT-024.069A'!$J$4</f>
        <v>Nathan Demaisip</v>
      </c>
      <c r="T10" s="15"/>
      <c r="U10" s="15"/>
      <c r="V10" s="54">
        <f t="shared" si="0"/>
        <v>2400000</v>
      </c>
      <c r="W10" s="54">
        <f t="shared" si="0"/>
        <v>3617000</v>
      </c>
      <c r="X10" s="54">
        <f t="shared" si="1"/>
        <v>-1217000</v>
      </c>
    </row>
    <row r="11" spans="3:24" x14ac:dyDescent="0.25">
      <c r="C11" s="39">
        <v>2016</v>
      </c>
      <c r="D11" s="62" t="str">
        <f>+'PAT-784.164'!$F$4</f>
        <v>PAT-784.164</v>
      </c>
      <c r="E11" s="63" t="str">
        <f>+'PAT-784.164'!$F$5</f>
        <v>Replace Roof - MacMillian-Bloedel Building</v>
      </c>
      <c r="F11" s="64">
        <f>+'PAT-784.164'!$F$6</f>
        <v>42601</v>
      </c>
      <c r="G11" s="65" t="str">
        <f>+'PAT-784.164'!$G$7</f>
        <v>Public</v>
      </c>
      <c r="H11" s="27">
        <f>+'PAT-784.164'!$F$7</f>
        <v>6120000</v>
      </c>
      <c r="I11" s="27">
        <f>+'PAT-784.164'!$F$8</f>
        <v>4674300</v>
      </c>
      <c r="J11" s="27">
        <v>4753054</v>
      </c>
      <c r="K11" s="26">
        <f>+'PAT-784.164'!$G$9</f>
        <v>-0.23622549019607844</v>
      </c>
      <c r="L11" s="11" t="str">
        <f>+'PAT-784.164'!$F$11</f>
        <v>GOOD</v>
      </c>
      <c r="M11" s="15">
        <f>+'PAT-784.164'!$H$12</f>
        <v>6</v>
      </c>
      <c r="N11" s="35" t="s">
        <v>25</v>
      </c>
      <c r="O11" s="15">
        <v>3</v>
      </c>
      <c r="P11" s="35" t="s">
        <v>459</v>
      </c>
      <c r="Q11" s="15"/>
      <c r="R11" s="24" t="s">
        <v>726</v>
      </c>
      <c r="S11" s="62" t="str">
        <f>+'PAT-784.164'!$J$4</f>
        <v>Nathan Demaisip</v>
      </c>
      <c r="T11" s="15"/>
      <c r="U11" s="15"/>
      <c r="V11" s="54">
        <f t="shared" si="0"/>
        <v>6120000</v>
      </c>
      <c r="W11" s="54">
        <f t="shared" si="0"/>
        <v>4674300</v>
      </c>
      <c r="X11" s="54">
        <f t="shared" si="1"/>
        <v>1445700</v>
      </c>
    </row>
    <row r="12" spans="3:24" x14ac:dyDescent="0.25">
      <c r="C12" s="39">
        <v>2016</v>
      </c>
      <c r="D12" s="62" t="str">
        <f>+'PAT-784.163'!$F$4</f>
        <v>PAT-784.163</v>
      </c>
      <c r="E12" s="63" t="str">
        <f>+'PAT-784.163'!$F$5</f>
        <v>PATH - Infrastructure for Standby Generators</v>
      </c>
      <c r="F12" s="64">
        <f>+'PAT-784.163'!$F$6</f>
        <v>42473</v>
      </c>
      <c r="G12" s="65" t="str">
        <f>+'PAT-784.163'!$G$7</f>
        <v>Public</v>
      </c>
      <c r="H12" s="27">
        <f>+'PAT-784.163'!$F$7</f>
        <v>1900000</v>
      </c>
      <c r="I12" s="27">
        <f>+'PAT-784.163'!$F$8</f>
        <v>1348800</v>
      </c>
      <c r="J12" s="27">
        <v>1348800</v>
      </c>
      <c r="K12" s="26">
        <f>+'PAT-784.163'!$G$9</f>
        <v>-0.29010526315789475</v>
      </c>
      <c r="L12" s="11" t="str">
        <f>+'PAT-784.163'!$F$11</f>
        <v>GOOD</v>
      </c>
      <c r="M12" s="15">
        <f>+'PAT-784.163'!$H$12</f>
        <v>11</v>
      </c>
      <c r="N12" s="35" t="s">
        <v>25</v>
      </c>
      <c r="O12" s="15">
        <v>2</v>
      </c>
      <c r="P12" s="35" t="s">
        <v>459</v>
      </c>
      <c r="Q12" s="15"/>
      <c r="R12" s="24" t="s">
        <v>608</v>
      </c>
      <c r="S12" s="62" t="str">
        <f>+'PAT-784.163'!$J$4</f>
        <v>Nathan Demaisip</v>
      </c>
      <c r="T12" s="15"/>
      <c r="U12" s="15"/>
      <c r="V12" s="54">
        <f t="shared" si="0"/>
        <v>1900000</v>
      </c>
      <c r="W12" s="54">
        <f t="shared" si="0"/>
        <v>1348800</v>
      </c>
      <c r="X12" s="54">
        <f t="shared" si="1"/>
        <v>551200</v>
      </c>
    </row>
    <row r="13" spans="3:24" x14ac:dyDescent="0.25">
      <c r="C13" s="39">
        <v>2016</v>
      </c>
      <c r="D13" s="15" t="str">
        <f>+'PAT-774.154'!$F$4</f>
        <v>PAT-774.154</v>
      </c>
      <c r="E13" s="24" t="str">
        <f>+'PAT-774.154'!$F$5</f>
        <v>PATH - Hoboken Station Under-Platform Fan Replacement</v>
      </c>
      <c r="F13" s="25">
        <f>+'PAT-774.154'!$F$6</f>
        <v>42391</v>
      </c>
      <c r="G13" s="46" t="str">
        <f>+'PAT-774.154'!$G$7</f>
        <v>Public</v>
      </c>
      <c r="H13" s="27">
        <f>+'PAT-774.154'!$F$7</f>
        <v>4574000</v>
      </c>
      <c r="I13" s="27">
        <f>+'PAT-774.154'!$F$8</f>
        <v>3774000</v>
      </c>
      <c r="J13" s="27">
        <v>3774000</v>
      </c>
      <c r="K13" s="26">
        <f>+'PAT-774.154'!$G$9</f>
        <v>-0.17490161783996502</v>
      </c>
      <c r="L13" s="11" t="str">
        <f>+'PAT-774.154'!$F$11</f>
        <v>GOOD</v>
      </c>
      <c r="M13" s="15">
        <f>+'PAT-774.154'!$H$12</f>
        <v>4</v>
      </c>
      <c r="N13" s="35" t="s">
        <v>25</v>
      </c>
      <c r="O13" s="15">
        <v>1</v>
      </c>
      <c r="P13" s="35" t="s">
        <v>459</v>
      </c>
      <c r="Q13" s="15"/>
      <c r="R13" s="24"/>
      <c r="S13" s="15" t="str">
        <f>+'PAT-774.154'!$J$4</f>
        <v>Nathan Demaisip</v>
      </c>
      <c r="T13" s="15"/>
      <c r="U13" s="15"/>
      <c r="V13" s="54">
        <f t="shared" si="0"/>
        <v>4574000</v>
      </c>
      <c r="W13" s="54">
        <f t="shared" si="0"/>
        <v>3774000</v>
      </c>
      <c r="X13" s="54">
        <f t="shared" si="1"/>
        <v>800000</v>
      </c>
    </row>
    <row r="14" spans="3:24" x14ac:dyDescent="0.25">
      <c r="C14" s="39"/>
      <c r="G14" s="45"/>
      <c r="P14" s="11"/>
    </row>
    <row r="15" spans="3:24" x14ac:dyDescent="0.25">
      <c r="C15" s="39"/>
      <c r="G15" s="45"/>
      <c r="P15" s="11"/>
    </row>
    <row r="16" spans="3:24" x14ac:dyDescent="0.25">
      <c r="C16" s="39"/>
      <c r="G16" s="45"/>
      <c r="P16" s="11"/>
    </row>
    <row r="17" spans="3:16" x14ac:dyDescent="0.25">
      <c r="C17" s="39"/>
      <c r="G17" s="45"/>
      <c r="P17" s="11"/>
    </row>
    <row r="18" spans="3:16" x14ac:dyDescent="0.25">
      <c r="C18" s="39"/>
      <c r="G18" s="45"/>
      <c r="P18" s="11"/>
    </row>
    <row r="19" spans="3:16" x14ac:dyDescent="0.25">
      <c r="C19" s="39"/>
      <c r="G19" s="45"/>
      <c r="P19" s="11"/>
    </row>
    <row r="20" spans="3:16" x14ac:dyDescent="0.25">
      <c r="C20" s="39"/>
      <c r="G20" s="45"/>
    </row>
    <row r="21" spans="3:16" x14ac:dyDescent="0.25">
      <c r="C21" s="39"/>
      <c r="G21" s="45"/>
    </row>
    <row r="22" spans="3:16" x14ac:dyDescent="0.25">
      <c r="C22" s="39"/>
      <c r="G22" s="45"/>
    </row>
    <row r="23" spans="3:16" x14ac:dyDescent="0.25">
      <c r="C23" s="39"/>
      <c r="G23" s="45"/>
    </row>
    <row r="24" spans="3:16" x14ac:dyDescent="0.25">
      <c r="C24" s="39"/>
      <c r="G24" s="45"/>
    </row>
    <row r="25" spans="3:16" x14ac:dyDescent="0.25">
      <c r="C25" s="39"/>
      <c r="G25" s="45"/>
    </row>
    <row r="26" spans="3:16" x14ac:dyDescent="0.25">
      <c r="C26" s="39"/>
      <c r="G26" s="45"/>
    </row>
    <row r="27" spans="3:16" x14ac:dyDescent="0.25">
      <c r="C27" s="39"/>
      <c r="G27" s="45"/>
    </row>
    <row r="28" spans="3:16" x14ac:dyDescent="0.25">
      <c r="C28" s="39"/>
      <c r="G28" s="45"/>
    </row>
    <row r="29" spans="3:16" x14ac:dyDescent="0.25">
      <c r="C29" s="39"/>
      <c r="G29" s="45"/>
    </row>
    <row r="30" spans="3:16" x14ac:dyDescent="0.25">
      <c r="C30" s="39"/>
      <c r="G30" s="45"/>
    </row>
    <row r="31" spans="3:16" x14ac:dyDescent="0.25">
      <c r="C31" s="39"/>
      <c r="G31" s="45"/>
    </row>
    <row r="32" spans="3:16" x14ac:dyDescent="0.25">
      <c r="C32" s="39"/>
      <c r="G32" s="45"/>
    </row>
    <row r="33" spans="3:7" x14ac:dyDescent="0.25">
      <c r="C33" s="39"/>
      <c r="G33" s="45"/>
    </row>
    <row r="34" spans="3:7" x14ac:dyDescent="0.25">
      <c r="C34" s="39"/>
      <c r="G34" s="45"/>
    </row>
    <row r="35" spans="3:7" x14ac:dyDescent="0.25">
      <c r="C35" s="39"/>
      <c r="G35" s="45"/>
    </row>
    <row r="36" spans="3:7" x14ac:dyDescent="0.25">
      <c r="C36" s="39"/>
      <c r="G36" s="45"/>
    </row>
    <row r="37" spans="3:7" x14ac:dyDescent="0.25">
      <c r="C37" s="39"/>
      <c r="G37" s="45"/>
    </row>
    <row r="38" spans="3:7" x14ac:dyDescent="0.25">
      <c r="C38" s="39"/>
      <c r="G38" s="45"/>
    </row>
    <row r="39" spans="3:7" x14ac:dyDescent="0.25">
      <c r="C39" s="39"/>
      <c r="G39" s="45"/>
    </row>
    <row r="40" spans="3:7" x14ac:dyDescent="0.25">
      <c r="C40" s="39"/>
      <c r="G40" s="45"/>
    </row>
    <row r="41" spans="3:7" x14ac:dyDescent="0.25">
      <c r="C41" s="39"/>
      <c r="G41" s="45"/>
    </row>
    <row r="42" spans="3:7" x14ac:dyDescent="0.25">
      <c r="C42" s="39"/>
      <c r="G42" s="45"/>
    </row>
    <row r="43" spans="3:7" x14ac:dyDescent="0.25">
      <c r="C43" s="39"/>
      <c r="G43" s="45"/>
    </row>
    <row r="44" spans="3:7" x14ac:dyDescent="0.25">
      <c r="C44" s="39"/>
      <c r="G44" s="45"/>
    </row>
    <row r="45" spans="3:7" x14ac:dyDescent="0.25">
      <c r="C45" s="39"/>
      <c r="G45" s="45"/>
    </row>
    <row r="46" spans="3:7" x14ac:dyDescent="0.25">
      <c r="C46" s="39"/>
      <c r="G46" s="45"/>
    </row>
    <row r="47" spans="3:7" x14ac:dyDescent="0.25">
      <c r="C47" s="39"/>
      <c r="G47" s="45"/>
    </row>
    <row r="48" spans="3:7" x14ac:dyDescent="0.25">
      <c r="C48" s="39"/>
      <c r="G48" s="45"/>
    </row>
    <row r="49" spans="3:7" x14ac:dyDescent="0.25">
      <c r="C49" s="39"/>
      <c r="G49" s="45"/>
    </row>
    <row r="50" spans="3:7" x14ac:dyDescent="0.25">
      <c r="C50" s="39"/>
      <c r="G50" s="45"/>
    </row>
    <row r="51" spans="3:7" x14ac:dyDescent="0.25">
      <c r="C51" s="39"/>
      <c r="G51" s="45"/>
    </row>
    <row r="52" spans="3:7" x14ac:dyDescent="0.25">
      <c r="C52" s="39"/>
      <c r="G52" s="45"/>
    </row>
    <row r="53" spans="3:7" x14ac:dyDescent="0.25">
      <c r="C53" s="39"/>
      <c r="G53" s="45"/>
    </row>
    <row r="54" spans="3:7" x14ac:dyDescent="0.25">
      <c r="C54" s="39"/>
    </row>
    <row r="55" spans="3:7" x14ac:dyDescent="0.25">
      <c r="C55" s="39"/>
    </row>
    <row r="56" spans="3:7" x14ac:dyDescent="0.25">
      <c r="C56" s="39"/>
    </row>
    <row r="57" spans="3:7" x14ac:dyDescent="0.25">
      <c r="C57" s="39"/>
    </row>
    <row r="58" spans="3:7" x14ac:dyDescent="0.25">
      <c r="C58" s="39"/>
    </row>
    <row r="59" spans="3:7" x14ac:dyDescent="0.25">
      <c r="C59" s="39"/>
    </row>
    <row r="60" spans="3:7" x14ac:dyDescent="0.25">
      <c r="C60" s="39"/>
    </row>
    <row r="61" spans="3:7" x14ac:dyDescent="0.25">
      <c r="C61" s="39"/>
    </row>
    <row r="62" spans="3:7" x14ac:dyDescent="0.25">
      <c r="C62" s="39"/>
    </row>
    <row r="63" spans="3:7" x14ac:dyDescent="0.25">
      <c r="C63" s="39"/>
    </row>
    <row r="64" spans="3:7" x14ac:dyDescent="0.25">
      <c r="C64" s="39"/>
    </row>
    <row r="65" spans="3:3" x14ac:dyDescent="0.25">
      <c r="C65" s="39"/>
    </row>
    <row r="66" spans="3:3" x14ac:dyDescent="0.25">
      <c r="C66" s="39"/>
    </row>
    <row r="67" spans="3:3" x14ac:dyDescent="0.25">
      <c r="C67" s="39"/>
    </row>
    <row r="68" spans="3:3" x14ac:dyDescent="0.25">
      <c r="C68" s="39"/>
    </row>
    <row r="69" spans="3:3" x14ac:dyDescent="0.25">
      <c r="C69" s="39"/>
    </row>
    <row r="70" spans="3:3" x14ac:dyDescent="0.25">
      <c r="C70" s="39"/>
    </row>
    <row r="71" spans="3:3" x14ac:dyDescent="0.25">
      <c r="C71" s="39"/>
    </row>
    <row r="72" spans="3:3" x14ac:dyDescent="0.25">
      <c r="C72" s="39"/>
    </row>
    <row r="73" spans="3:3" x14ac:dyDescent="0.25">
      <c r="C73" s="39"/>
    </row>
    <row r="74" spans="3:3" x14ac:dyDescent="0.25">
      <c r="C74" s="39"/>
    </row>
    <row r="75" spans="3:3" x14ac:dyDescent="0.25">
      <c r="C75" s="39"/>
    </row>
    <row r="76" spans="3:3" x14ac:dyDescent="0.25">
      <c r="C76" s="39"/>
    </row>
    <row r="77" spans="3:3" x14ac:dyDescent="0.25">
      <c r="C77" s="39"/>
    </row>
    <row r="78" spans="3:3" x14ac:dyDescent="0.25">
      <c r="C78" s="39"/>
    </row>
    <row r="79" spans="3:3" x14ac:dyDescent="0.25">
      <c r="C79" s="39"/>
    </row>
    <row r="80" spans="3:3" x14ac:dyDescent="0.25">
      <c r="C80" s="39"/>
    </row>
    <row r="81" spans="3:3" x14ac:dyDescent="0.25">
      <c r="C81" s="39"/>
    </row>
    <row r="82" spans="3:3" x14ac:dyDescent="0.25">
      <c r="C82" s="39"/>
    </row>
    <row r="83" spans="3:3" x14ac:dyDescent="0.25">
      <c r="C83" s="39"/>
    </row>
    <row r="84" spans="3:3" x14ac:dyDescent="0.25">
      <c r="C84" s="39"/>
    </row>
    <row r="85" spans="3:3" x14ac:dyDescent="0.25">
      <c r="C85" s="39"/>
    </row>
    <row r="86" spans="3:3" x14ac:dyDescent="0.25">
      <c r="C86" s="39"/>
    </row>
    <row r="87" spans="3:3" x14ac:dyDescent="0.25">
      <c r="C87" s="39"/>
    </row>
    <row r="88" spans="3:3" x14ac:dyDescent="0.25">
      <c r="C88" s="39"/>
    </row>
    <row r="89" spans="3:3" x14ac:dyDescent="0.25">
      <c r="C89" s="39"/>
    </row>
    <row r="90" spans="3:3" x14ac:dyDescent="0.25">
      <c r="C90" s="39"/>
    </row>
    <row r="91" spans="3:3" x14ac:dyDescent="0.25">
      <c r="C91" s="39"/>
    </row>
    <row r="92" spans="3:3" x14ac:dyDescent="0.25">
      <c r="C92" s="39"/>
    </row>
    <row r="93" spans="3:3" x14ac:dyDescent="0.25">
      <c r="C93" s="39"/>
    </row>
    <row r="94" spans="3:3" x14ac:dyDescent="0.25">
      <c r="C94" s="39"/>
    </row>
    <row r="95" spans="3:3" x14ac:dyDescent="0.25">
      <c r="C95" s="39"/>
    </row>
    <row r="96" spans="3:3" x14ac:dyDescent="0.25">
      <c r="C96" s="39"/>
    </row>
    <row r="97" spans="3:3" x14ac:dyDescent="0.25">
      <c r="C97" s="39"/>
    </row>
    <row r="98" spans="3:3" x14ac:dyDescent="0.25">
      <c r="C98" s="39"/>
    </row>
    <row r="99" spans="3:3" x14ac:dyDescent="0.25">
      <c r="C99" s="39"/>
    </row>
    <row r="100" spans="3:3" x14ac:dyDescent="0.25">
      <c r="C100" s="39"/>
    </row>
    <row r="101" spans="3:3" x14ac:dyDescent="0.25">
      <c r="C101" s="39"/>
    </row>
    <row r="102" spans="3:3" x14ac:dyDescent="0.25">
      <c r="C102" s="39"/>
    </row>
    <row r="103" spans="3:3" x14ac:dyDescent="0.25">
      <c r="C103" s="39"/>
    </row>
    <row r="104" spans="3:3" x14ac:dyDescent="0.25">
      <c r="C104" s="39"/>
    </row>
    <row r="105" spans="3:3" x14ac:dyDescent="0.25">
      <c r="C105" s="39"/>
    </row>
    <row r="106" spans="3:3" x14ac:dyDescent="0.25">
      <c r="C106" s="39"/>
    </row>
    <row r="107" spans="3:3" x14ac:dyDescent="0.25">
      <c r="C107" s="39"/>
    </row>
    <row r="108" spans="3:3" x14ac:dyDescent="0.25">
      <c r="C108" s="39"/>
    </row>
    <row r="109" spans="3:3" x14ac:dyDescent="0.25">
      <c r="C109" s="39"/>
    </row>
    <row r="110" spans="3:3" x14ac:dyDescent="0.25">
      <c r="C110" s="39"/>
    </row>
    <row r="111" spans="3:3" x14ac:dyDescent="0.25">
      <c r="C111" s="39"/>
    </row>
    <row r="112" spans="3:3" x14ac:dyDescent="0.25">
      <c r="C112" s="39"/>
    </row>
    <row r="113" spans="3:3" x14ac:dyDescent="0.25">
      <c r="C113" s="39"/>
    </row>
    <row r="114" spans="3:3" x14ac:dyDescent="0.25">
      <c r="C114" s="39"/>
    </row>
    <row r="115" spans="3:3" x14ac:dyDescent="0.25">
      <c r="C115" s="39"/>
    </row>
    <row r="116" spans="3:3" x14ac:dyDescent="0.25">
      <c r="C116" s="39"/>
    </row>
    <row r="117" spans="3:3" x14ac:dyDescent="0.25">
      <c r="C117" s="39"/>
    </row>
    <row r="118" spans="3:3" x14ac:dyDescent="0.25">
      <c r="C118" s="39"/>
    </row>
    <row r="119" spans="3:3" x14ac:dyDescent="0.25">
      <c r="C119" s="39"/>
    </row>
    <row r="120" spans="3:3" x14ac:dyDescent="0.25">
      <c r="C120" s="39"/>
    </row>
    <row r="121" spans="3:3" x14ac:dyDescent="0.25">
      <c r="C121" s="39"/>
    </row>
    <row r="122" spans="3:3" x14ac:dyDescent="0.25">
      <c r="C122" s="39"/>
    </row>
    <row r="123" spans="3:3" x14ac:dyDescent="0.25">
      <c r="C123" s="39"/>
    </row>
    <row r="124" spans="3:3" x14ac:dyDescent="0.25">
      <c r="C124" s="39"/>
    </row>
    <row r="125" spans="3:3" x14ac:dyDescent="0.25">
      <c r="C125" s="39"/>
    </row>
    <row r="126" spans="3:3" x14ac:dyDescent="0.25">
      <c r="C126" s="39"/>
    </row>
    <row r="127" spans="3:3" x14ac:dyDescent="0.25">
      <c r="C127" s="39"/>
    </row>
    <row r="128" spans="3:3" x14ac:dyDescent="0.25">
      <c r="C128" s="39"/>
    </row>
    <row r="129" spans="3:3" x14ac:dyDescent="0.25">
      <c r="C129" s="39"/>
    </row>
    <row r="130" spans="3:3" x14ac:dyDescent="0.25">
      <c r="C130" s="39"/>
    </row>
    <row r="131" spans="3:3" x14ac:dyDescent="0.25">
      <c r="C131" s="39"/>
    </row>
    <row r="132" spans="3:3" x14ac:dyDescent="0.25">
      <c r="C132" s="39"/>
    </row>
    <row r="133" spans="3:3" x14ac:dyDescent="0.25">
      <c r="C133" s="39"/>
    </row>
    <row r="134" spans="3:3" x14ac:dyDescent="0.25">
      <c r="C134" s="39"/>
    </row>
    <row r="135" spans="3:3" x14ac:dyDescent="0.25">
      <c r="C135" s="39"/>
    </row>
    <row r="136" spans="3:3" x14ac:dyDescent="0.25">
      <c r="C136" s="39"/>
    </row>
    <row r="137" spans="3:3" x14ac:dyDescent="0.25">
      <c r="C137" s="39"/>
    </row>
    <row r="138" spans="3:3" x14ac:dyDescent="0.25">
      <c r="C138" s="39"/>
    </row>
    <row r="139" spans="3:3" x14ac:dyDescent="0.25">
      <c r="C139" s="39"/>
    </row>
    <row r="140" spans="3:3" x14ac:dyDescent="0.25">
      <c r="C140" s="39"/>
    </row>
    <row r="141" spans="3:3" x14ac:dyDescent="0.25">
      <c r="C141" s="39"/>
    </row>
    <row r="142" spans="3:3" x14ac:dyDescent="0.25">
      <c r="C142" s="39"/>
    </row>
    <row r="143" spans="3:3" x14ac:dyDescent="0.25">
      <c r="C143" s="39"/>
    </row>
    <row r="144" spans="3:3" x14ac:dyDescent="0.25">
      <c r="C144" s="39"/>
    </row>
    <row r="145" spans="3:3" x14ac:dyDescent="0.25">
      <c r="C145" s="39"/>
    </row>
    <row r="146" spans="3:3" x14ac:dyDescent="0.25">
      <c r="C146" s="39"/>
    </row>
    <row r="147" spans="3:3" x14ac:dyDescent="0.25">
      <c r="C147" s="39"/>
    </row>
    <row r="148" spans="3:3" x14ac:dyDescent="0.25">
      <c r="C148" s="39"/>
    </row>
    <row r="149" spans="3:3" x14ac:dyDescent="0.25">
      <c r="C149" s="39"/>
    </row>
    <row r="150" spans="3:3" x14ac:dyDescent="0.25">
      <c r="C150" s="39"/>
    </row>
    <row r="151" spans="3:3" x14ac:dyDescent="0.25">
      <c r="C151" s="39"/>
    </row>
    <row r="152" spans="3:3" x14ac:dyDescent="0.25">
      <c r="C152" s="39"/>
    </row>
    <row r="153" spans="3:3" x14ac:dyDescent="0.25">
      <c r="C153" s="39"/>
    </row>
    <row r="154" spans="3:3" x14ac:dyDescent="0.25">
      <c r="C154" s="39"/>
    </row>
    <row r="155" spans="3:3" x14ac:dyDescent="0.25">
      <c r="C155" s="39"/>
    </row>
    <row r="156" spans="3:3" x14ac:dyDescent="0.25">
      <c r="C156" s="39"/>
    </row>
    <row r="157" spans="3:3" x14ac:dyDescent="0.25">
      <c r="C157" s="39"/>
    </row>
    <row r="158" spans="3:3" x14ac:dyDescent="0.25">
      <c r="C158" s="39"/>
    </row>
    <row r="159" spans="3:3" x14ac:dyDescent="0.25">
      <c r="C159" s="39"/>
    </row>
    <row r="160" spans="3:3" x14ac:dyDescent="0.25">
      <c r="C160" s="39"/>
    </row>
    <row r="161" spans="3:3" x14ac:dyDescent="0.25">
      <c r="C161" s="39"/>
    </row>
    <row r="162" spans="3:3" x14ac:dyDescent="0.25">
      <c r="C162" s="39"/>
    </row>
    <row r="163" spans="3:3" x14ac:dyDescent="0.25">
      <c r="C163" s="39"/>
    </row>
    <row r="164" spans="3:3" x14ac:dyDescent="0.25">
      <c r="C164" s="39"/>
    </row>
    <row r="165" spans="3:3" x14ac:dyDescent="0.25">
      <c r="C165" s="39"/>
    </row>
    <row r="166" spans="3:3" x14ac:dyDescent="0.25">
      <c r="C166" s="39"/>
    </row>
    <row r="167" spans="3:3" x14ac:dyDescent="0.25">
      <c r="C167" s="39"/>
    </row>
    <row r="168" spans="3:3" x14ac:dyDescent="0.25">
      <c r="C168" s="39"/>
    </row>
    <row r="169" spans="3:3" x14ac:dyDescent="0.25">
      <c r="C169" s="39"/>
    </row>
    <row r="170" spans="3:3" x14ac:dyDescent="0.25">
      <c r="C170" s="39"/>
    </row>
    <row r="171" spans="3:3" x14ac:dyDescent="0.25">
      <c r="C171" s="39"/>
    </row>
    <row r="172" spans="3:3" x14ac:dyDescent="0.25">
      <c r="C172" s="39"/>
    </row>
    <row r="173" spans="3:3" x14ac:dyDescent="0.25">
      <c r="C173" s="39"/>
    </row>
    <row r="174" spans="3:3" x14ac:dyDescent="0.25">
      <c r="C174" s="39"/>
    </row>
    <row r="175" spans="3:3" x14ac:dyDescent="0.25">
      <c r="C175" s="39"/>
    </row>
    <row r="176" spans="3:3" x14ac:dyDescent="0.25">
      <c r="C176" s="39"/>
    </row>
    <row r="177" spans="3:3" x14ac:dyDescent="0.25">
      <c r="C177" s="39"/>
    </row>
    <row r="178" spans="3:3" x14ac:dyDescent="0.25">
      <c r="C178" s="39"/>
    </row>
    <row r="179" spans="3:3" x14ac:dyDescent="0.25">
      <c r="C179" s="39"/>
    </row>
    <row r="180" spans="3:3" x14ac:dyDescent="0.25">
      <c r="C180" s="39"/>
    </row>
    <row r="181" spans="3:3" x14ac:dyDescent="0.25">
      <c r="C181" s="39"/>
    </row>
    <row r="182" spans="3:3" x14ac:dyDescent="0.25">
      <c r="C182" s="39"/>
    </row>
    <row r="183" spans="3:3" x14ac:dyDescent="0.25">
      <c r="C183" s="39"/>
    </row>
    <row r="184" spans="3:3" x14ac:dyDescent="0.25">
      <c r="C184" s="39"/>
    </row>
    <row r="185" spans="3:3" x14ac:dyDescent="0.25">
      <c r="C185" s="39"/>
    </row>
    <row r="186" spans="3:3" x14ac:dyDescent="0.25">
      <c r="C186" s="39"/>
    </row>
    <row r="187" spans="3:3" x14ac:dyDescent="0.25">
      <c r="C187" s="39"/>
    </row>
    <row r="188" spans="3:3" x14ac:dyDescent="0.25">
      <c r="C188" s="39"/>
    </row>
    <row r="189" spans="3:3" x14ac:dyDescent="0.25">
      <c r="C189" s="39"/>
    </row>
    <row r="190" spans="3:3" x14ac:dyDescent="0.25">
      <c r="C190" s="39"/>
    </row>
    <row r="191" spans="3:3" x14ac:dyDescent="0.25">
      <c r="C191" s="39"/>
    </row>
    <row r="192" spans="3:3" x14ac:dyDescent="0.25">
      <c r="C192" s="39"/>
    </row>
    <row r="193" spans="3:3" x14ac:dyDescent="0.25">
      <c r="C193" s="39"/>
    </row>
    <row r="194" spans="3:3" x14ac:dyDescent="0.25">
      <c r="C194" s="39"/>
    </row>
    <row r="195" spans="3:3" x14ac:dyDescent="0.25">
      <c r="C195" s="39"/>
    </row>
    <row r="196" spans="3:3" x14ac:dyDescent="0.25">
      <c r="C196" s="39"/>
    </row>
    <row r="197" spans="3:3" x14ac:dyDescent="0.25">
      <c r="C197" s="39"/>
    </row>
    <row r="198" spans="3:3" x14ac:dyDescent="0.25">
      <c r="C198" s="39"/>
    </row>
    <row r="199" spans="3:3" x14ac:dyDescent="0.25">
      <c r="C199" s="39"/>
    </row>
    <row r="200" spans="3:3" x14ac:dyDescent="0.25">
      <c r="C200" s="39"/>
    </row>
    <row r="201" spans="3:3" x14ac:dyDescent="0.25">
      <c r="C201" s="39"/>
    </row>
    <row r="202" spans="3:3" x14ac:dyDescent="0.25">
      <c r="C202" s="39"/>
    </row>
    <row r="203" spans="3:3" x14ac:dyDescent="0.25">
      <c r="C203" s="39"/>
    </row>
    <row r="204" spans="3:3" x14ac:dyDescent="0.25">
      <c r="C204" s="39"/>
    </row>
    <row r="205" spans="3:3" x14ac:dyDescent="0.25">
      <c r="C205" s="39"/>
    </row>
    <row r="206" spans="3:3" x14ac:dyDescent="0.25">
      <c r="C206" s="39"/>
    </row>
    <row r="207" spans="3:3" x14ac:dyDescent="0.25">
      <c r="C207" s="39"/>
    </row>
    <row r="208" spans="3:3" x14ac:dyDescent="0.25">
      <c r="C208" s="39"/>
    </row>
    <row r="209" spans="3:3" x14ac:dyDescent="0.25">
      <c r="C209" s="39"/>
    </row>
    <row r="210" spans="3:3" x14ac:dyDescent="0.25">
      <c r="C210" s="39"/>
    </row>
    <row r="211" spans="3:3" x14ac:dyDescent="0.25">
      <c r="C211" s="39"/>
    </row>
    <row r="212" spans="3:3" x14ac:dyDescent="0.25">
      <c r="C212" s="39"/>
    </row>
    <row r="213" spans="3:3" x14ac:dyDescent="0.25">
      <c r="C213" s="39"/>
    </row>
    <row r="214" spans="3:3" x14ac:dyDescent="0.25">
      <c r="C214" s="39"/>
    </row>
    <row r="215" spans="3:3" x14ac:dyDescent="0.25">
      <c r="C215" s="39"/>
    </row>
    <row r="216" spans="3:3" x14ac:dyDescent="0.25">
      <c r="C216" s="39"/>
    </row>
    <row r="217" spans="3:3" x14ac:dyDescent="0.25">
      <c r="C217" s="39"/>
    </row>
    <row r="218" spans="3:3" x14ac:dyDescent="0.25">
      <c r="C218" s="39"/>
    </row>
    <row r="219" spans="3:3" x14ac:dyDescent="0.25">
      <c r="C219" s="39"/>
    </row>
    <row r="220" spans="3:3" x14ac:dyDescent="0.25">
      <c r="C220" s="39"/>
    </row>
    <row r="221" spans="3:3" x14ac:dyDescent="0.25">
      <c r="C221" s="39"/>
    </row>
    <row r="222" spans="3:3" x14ac:dyDescent="0.25">
      <c r="C222" s="39"/>
    </row>
    <row r="223" spans="3:3" x14ac:dyDescent="0.25">
      <c r="C223" s="39"/>
    </row>
    <row r="224" spans="3:3" x14ac:dyDescent="0.25">
      <c r="C224" s="39"/>
    </row>
    <row r="225" spans="3:3" x14ac:dyDescent="0.25">
      <c r="C225" s="39"/>
    </row>
    <row r="226" spans="3:3" x14ac:dyDescent="0.25">
      <c r="C226" s="39"/>
    </row>
    <row r="227" spans="3:3" x14ac:dyDescent="0.25">
      <c r="C227" s="39"/>
    </row>
    <row r="228" spans="3:3" x14ac:dyDescent="0.25">
      <c r="C228" s="39"/>
    </row>
    <row r="229" spans="3:3" x14ac:dyDescent="0.25">
      <c r="C229" s="39"/>
    </row>
    <row r="230" spans="3:3" x14ac:dyDescent="0.25">
      <c r="C230" s="39"/>
    </row>
    <row r="231" spans="3:3" x14ac:dyDescent="0.25">
      <c r="C231" s="39"/>
    </row>
    <row r="232" spans="3:3" x14ac:dyDescent="0.25">
      <c r="C232" s="39"/>
    </row>
    <row r="233" spans="3:3" x14ac:dyDescent="0.25">
      <c r="C233" s="39"/>
    </row>
    <row r="234" spans="3:3" x14ac:dyDescent="0.25">
      <c r="C234" s="39"/>
    </row>
    <row r="235" spans="3:3" x14ac:dyDescent="0.25">
      <c r="C235" s="39"/>
    </row>
    <row r="236" spans="3:3" x14ac:dyDescent="0.25">
      <c r="C236" s="39"/>
    </row>
    <row r="237" spans="3:3" x14ac:dyDescent="0.25">
      <c r="C237" s="39"/>
    </row>
    <row r="238" spans="3:3" x14ac:dyDescent="0.25">
      <c r="C238" s="39"/>
    </row>
    <row r="239" spans="3:3" x14ac:dyDescent="0.25">
      <c r="C239" s="39"/>
    </row>
    <row r="240" spans="3:3" x14ac:dyDescent="0.25">
      <c r="C240" s="39"/>
    </row>
    <row r="241" spans="3:3" x14ac:dyDescent="0.25">
      <c r="C241" s="39"/>
    </row>
    <row r="242" spans="3:3" x14ac:dyDescent="0.25">
      <c r="C242" s="39"/>
    </row>
    <row r="243" spans="3:3" x14ac:dyDescent="0.25">
      <c r="C243" s="39"/>
    </row>
    <row r="244" spans="3:3" x14ac:dyDescent="0.25">
      <c r="C244" s="39"/>
    </row>
    <row r="245" spans="3:3" x14ac:dyDescent="0.25">
      <c r="C245" s="39"/>
    </row>
    <row r="246" spans="3:3" x14ac:dyDescent="0.25">
      <c r="C246" s="39"/>
    </row>
    <row r="247" spans="3:3" x14ac:dyDescent="0.25">
      <c r="C247" s="39"/>
    </row>
    <row r="248" spans="3:3" x14ac:dyDescent="0.25">
      <c r="C248" s="39"/>
    </row>
    <row r="249" spans="3:3" x14ac:dyDescent="0.25">
      <c r="C249" s="39"/>
    </row>
    <row r="250" spans="3:3" x14ac:dyDescent="0.25">
      <c r="C250" s="39"/>
    </row>
    <row r="251" spans="3:3" x14ac:dyDescent="0.25">
      <c r="C251" s="39"/>
    </row>
    <row r="252" spans="3:3" x14ac:dyDescent="0.25">
      <c r="C252" s="39"/>
    </row>
    <row r="253" spans="3:3" x14ac:dyDescent="0.25">
      <c r="C253" s="39"/>
    </row>
    <row r="254" spans="3:3" x14ac:dyDescent="0.25">
      <c r="C254" s="39"/>
    </row>
    <row r="255" spans="3:3" x14ac:dyDescent="0.25">
      <c r="C255" s="39"/>
    </row>
    <row r="256" spans="3:3" x14ac:dyDescent="0.25">
      <c r="C256" s="39"/>
    </row>
    <row r="257" spans="3:3" x14ac:dyDescent="0.25">
      <c r="C257" s="39"/>
    </row>
    <row r="258" spans="3:3" x14ac:dyDescent="0.25">
      <c r="C258" s="39"/>
    </row>
    <row r="259" spans="3:3" x14ac:dyDescent="0.25">
      <c r="C259" s="39"/>
    </row>
    <row r="260" spans="3:3" x14ac:dyDescent="0.25">
      <c r="C260" s="39"/>
    </row>
    <row r="261" spans="3:3" x14ac:dyDescent="0.25">
      <c r="C261" s="39"/>
    </row>
    <row r="262" spans="3:3" x14ac:dyDescent="0.25">
      <c r="C262" s="39"/>
    </row>
    <row r="263" spans="3:3" x14ac:dyDescent="0.25">
      <c r="C263" s="39"/>
    </row>
    <row r="264" spans="3:3" x14ac:dyDescent="0.25">
      <c r="C264" s="39"/>
    </row>
    <row r="265" spans="3:3" x14ac:dyDescent="0.25">
      <c r="C265" s="39"/>
    </row>
    <row r="266" spans="3:3" x14ac:dyDescent="0.25">
      <c r="C266" s="39"/>
    </row>
    <row r="267" spans="3:3" x14ac:dyDescent="0.25">
      <c r="C267" s="39"/>
    </row>
    <row r="268" spans="3:3" x14ac:dyDescent="0.25">
      <c r="C268" s="39"/>
    </row>
    <row r="269" spans="3:3" x14ac:dyDescent="0.25">
      <c r="C269" s="39"/>
    </row>
    <row r="270" spans="3:3" x14ac:dyDescent="0.25">
      <c r="C270" s="39"/>
    </row>
    <row r="271" spans="3:3" x14ac:dyDescent="0.25">
      <c r="C271" s="39"/>
    </row>
    <row r="272" spans="3:3" x14ac:dyDescent="0.25">
      <c r="C272" s="39"/>
    </row>
    <row r="273" spans="3:3" x14ac:dyDescent="0.25">
      <c r="C273" s="39"/>
    </row>
    <row r="274" spans="3:3" x14ac:dyDescent="0.25">
      <c r="C274" s="39"/>
    </row>
    <row r="275" spans="3:3" x14ac:dyDescent="0.25">
      <c r="C275" s="39"/>
    </row>
    <row r="276" spans="3:3" x14ac:dyDescent="0.25">
      <c r="C276" s="39"/>
    </row>
    <row r="277" spans="3:3" x14ac:dyDescent="0.25">
      <c r="C277" s="39"/>
    </row>
    <row r="278" spans="3:3" x14ac:dyDescent="0.25">
      <c r="C278" s="39"/>
    </row>
    <row r="279" spans="3:3" x14ac:dyDescent="0.25">
      <c r="C279" s="39"/>
    </row>
    <row r="280" spans="3:3" x14ac:dyDescent="0.25">
      <c r="C280" s="39"/>
    </row>
    <row r="281" spans="3:3" x14ac:dyDescent="0.25">
      <c r="C281" s="39"/>
    </row>
    <row r="282" spans="3:3" x14ac:dyDescent="0.25">
      <c r="C282" s="39"/>
    </row>
    <row r="283" spans="3:3" x14ac:dyDescent="0.25">
      <c r="C283" s="39"/>
    </row>
    <row r="284" spans="3:3" x14ac:dyDescent="0.25">
      <c r="C284" s="39"/>
    </row>
    <row r="285" spans="3:3" x14ac:dyDescent="0.25">
      <c r="C285" s="39"/>
    </row>
    <row r="286" spans="3:3" x14ac:dyDescent="0.25">
      <c r="C286" s="39"/>
    </row>
    <row r="287" spans="3:3" x14ac:dyDescent="0.25">
      <c r="C287" s="39"/>
    </row>
    <row r="288" spans="3:3" x14ac:dyDescent="0.25">
      <c r="C288" s="39"/>
    </row>
    <row r="289" spans="3:3" x14ac:dyDescent="0.25">
      <c r="C289" s="39"/>
    </row>
    <row r="290" spans="3:3" x14ac:dyDescent="0.25">
      <c r="C290" s="39"/>
    </row>
    <row r="291" spans="3:3" x14ac:dyDescent="0.25">
      <c r="C291" s="39"/>
    </row>
    <row r="292" spans="3:3" x14ac:dyDescent="0.25">
      <c r="C292" s="39"/>
    </row>
    <row r="293" spans="3:3" x14ac:dyDescent="0.25">
      <c r="C293" s="39"/>
    </row>
    <row r="294" spans="3:3" x14ac:dyDescent="0.25">
      <c r="C294" s="39"/>
    </row>
    <row r="295" spans="3:3" x14ac:dyDescent="0.25">
      <c r="C295" s="39"/>
    </row>
    <row r="296" spans="3:3" x14ac:dyDescent="0.25">
      <c r="C296" s="39"/>
    </row>
    <row r="297" spans="3:3" x14ac:dyDescent="0.25">
      <c r="C297" s="39"/>
    </row>
    <row r="298" spans="3:3" x14ac:dyDescent="0.25">
      <c r="C298" s="39"/>
    </row>
    <row r="299" spans="3:3" x14ac:dyDescent="0.25">
      <c r="C299" s="39"/>
    </row>
    <row r="300" spans="3:3" x14ac:dyDescent="0.25">
      <c r="C300" s="39"/>
    </row>
    <row r="301" spans="3:3" x14ac:dyDescent="0.25">
      <c r="C301" s="39"/>
    </row>
    <row r="302" spans="3:3" x14ac:dyDescent="0.25">
      <c r="C302" s="39"/>
    </row>
    <row r="303" spans="3:3" x14ac:dyDescent="0.25">
      <c r="C303" s="39"/>
    </row>
    <row r="304" spans="3:3" x14ac:dyDescent="0.25">
      <c r="C304" s="39"/>
    </row>
    <row r="305" spans="3:3" x14ac:dyDescent="0.25">
      <c r="C305" s="39"/>
    </row>
    <row r="306" spans="3:3" x14ac:dyDescent="0.25">
      <c r="C306" s="39"/>
    </row>
    <row r="307" spans="3:3" x14ac:dyDescent="0.25">
      <c r="C307" s="39"/>
    </row>
    <row r="308" spans="3:3" x14ac:dyDescent="0.25">
      <c r="C308" s="39"/>
    </row>
    <row r="309" spans="3:3" x14ac:dyDescent="0.25">
      <c r="C309" s="39"/>
    </row>
    <row r="310" spans="3:3" x14ac:dyDescent="0.25">
      <c r="C310" s="39"/>
    </row>
    <row r="311" spans="3:3" x14ac:dyDescent="0.25">
      <c r="C311" s="39"/>
    </row>
    <row r="312" spans="3:3" x14ac:dyDescent="0.25">
      <c r="C312" s="39"/>
    </row>
    <row r="313" spans="3:3" x14ac:dyDescent="0.25">
      <c r="C313" s="39"/>
    </row>
    <row r="314" spans="3:3" x14ac:dyDescent="0.25">
      <c r="C314" s="39"/>
    </row>
    <row r="315" spans="3:3" x14ac:dyDescent="0.25">
      <c r="C315" s="39"/>
    </row>
    <row r="316" spans="3:3" x14ac:dyDescent="0.25">
      <c r="C316" s="39"/>
    </row>
    <row r="317" spans="3:3" x14ac:dyDescent="0.25">
      <c r="C317" s="39"/>
    </row>
    <row r="318" spans="3:3" x14ac:dyDescent="0.25">
      <c r="C318" s="39"/>
    </row>
    <row r="319" spans="3:3" x14ac:dyDescent="0.25">
      <c r="C319" s="39"/>
    </row>
    <row r="320" spans="3:3" x14ac:dyDescent="0.25">
      <c r="C320" s="39"/>
    </row>
    <row r="321" spans="3:3" x14ac:dyDescent="0.25">
      <c r="C321" s="39"/>
    </row>
    <row r="322" spans="3:3" x14ac:dyDescent="0.25">
      <c r="C322" s="39"/>
    </row>
    <row r="323" spans="3:3" x14ac:dyDescent="0.25">
      <c r="C323" s="39"/>
    </row>
    <row r="324" spans="3:3" x14ac:dyDescent="0.25">
      <c r="C324" s="39"/>
    </row>
    <row r="325" spans="3:3" x14ac:dyDescent="0.25">
      <c r="C325" s="39"/>
    </row>
    <row r="326" spans="3:3" x14ac:dyDescent="0.25">
      <c r="C326" s="39"/>
    </row>
    <row r="327" spans="3:3" x14ac:dyDescent="0.25">
      <c r="C327" s="39"/>
    </row>
    <row r="328" spans="3:3" x14ac:dyDescent="0.25">
      <c r="C328" s="39"/>
    </row>
    <row r="329" spans="3:3" x14ac:dyDescent="0.25">
      <c r="C329" s="39"/>
    </row>
    <row r="330" spans="3:3" x14ac:dyDescent="0.25">
      <c r="C330" s="39"/>
    </row>
    <row r="331" spans="3:3" x14ac:dyDescent="0.25">
      <c r="C331" s="39"/>
    </row>
    <row r="332" spans="3:3" x14ac:dyDescent="0.25">
      <c r="C332" s="39"/>
    </row>
    <row r="333" spans="3:3" x14ac:dyDescent="0.25">
      <c r="C333" s="39"/>
    </row>
    <row r="334" spans="3:3" x14ac:dyDescent="0.25">
      <c r="C334" s="39"/>
    </row>
    <row r="335" spans="3:3" x14ac:dyDescent="0.25">
      <c r="C335" s="39"/>
    </row>
    <row r="336" spans="3:3" x14ac:dyDescent="0.25">
      <c r="C336" s="39"/>
    </row>
    <row r="337" spans="3:3" x14ac:dyDescent="0.25">
      <c r="C337" s="39"/>
    </row>
    <row r="338" spans="3:3" x14ac:dyDescent="0.25">
      <c r="C338" s="39"/>
    </row>
    <row r="339" spans="3:3" x14ac:dyDescent="0.25">
      <c r="C339" s="39"/>
    </row>
    <row r="340" spans="3:3" x14ac:dyDescent="0.25">
      <c r="C340" s="39"/>
    </row>
    <row r="341" spans="3:3" x14ac:dyDescent="0.25">
      <c r="C341" s="39"/>
    </row>
    <row r="342" spans="3:3" x14ac:dyDescent="0.25">
      <c r="C342" s="39"/>
    </row>
    <row r="343" spans="3:3" x14ac:dyDescent="0.25">
      <c r="C343" s="39"/>
    </row>
    <row r="344" spans="3:3" x14ac:dyDescent="0.25">
      <c r="C344" s="39"/>
    </row>
    <row r="345" spans="3:3" x14ac:dyDescent="0.25">
      <c r="C345" s="39"/>
    </row>
    <row r="346" spans="3:3" x14ac:dyDescent="0.25">
      <c r="C346" s="39"/>
    </row>
    <row r="347" spans="3:3" x14ac:dyDescent="0.25">
      <c r="C347" s="39"/>
    </row>
    <row r="348" spans="3:3" x14ac:dyDescent="0.25">
      <c r="C348" s="39"/>
    </row>
    <row r="349" spans="3:3" x14ac:dyDescent="0.25">
      <c r="C349" s="39"/>
    </row>
    <row r="350" spans="3:3" x14ac:dyDescent="0.25">
      <c r="C350" s="39"/>
    </row>
    <row r="351" spans="3:3" x14ac:dyDescent="0.25">
      <c r="C351" s="39"/>
    </row>
    <row r="352" spans="3:3" x14ac:dyDescent="0.25">
      <c r="C352" s="39"/>
    </row>
    <row r="353" spans="3:3" x14ac:dyDescent="0.25">
      <c r="C353" s="39"/>
    </row>
    <row r="354" spans="3:3" x14ac:dyDescent="0.25">
      <c r="C354" s="39"/>
    </row>
    <row r="355" spans="3:3" x14ac:dyDescent="0.25">
      <c r="C355" s="39"/>
    </row>
    <row r="356" spans="3:3" x14ac:dyDescent="0.25">
      <c r="C356" s="39"/>
    </row>
    <row r="357" spans="3:3" x14ac:dyDescent="0.25">
      <c r="C357" s="39"/>
    </row>
    <row r="358" spans="3:3" x14ac:dyDescent="0.25">
      <c r="C358" s="39"/>
    </row>
    <row r="359" spans="3:3" x14ac:dyDescent="0.25">
      <c r="C359" s="39"/>
    </row>
    <row r="360" spans="3:3" x14ac:dyDescent="0.25">
      <c r="C360" s="39"/>
    </row>
    <row r="361" spans="3:3" x14ac:dyDescent="0.25">
      <c r="C361" s="39"/>
    </row>
    <row r="362" spans="3:3" x14ac:dyDescent="0.25">
      <c r="C362" s="39"/>
    </row>
    <row r="363" spans="3:3" x14ac:dyDescent="0.25">
      <c r="C363" s="39"/>
    </row>
    <row r="364" spans="3:3" x14ac:dyDescent="0.25">
      <c r="C364" s="39"/>
    </row>
    <row r="365" spans="3:3" x14ac:dyDescent="0.25">
      <c r="C365" s="39"/>
    </row>
    <row r="366" spans="3:3" x14ac:dyDescent="0.25">
      <c r="C366" s="39"/>
    </row>
    <row r="367" spans="3:3" x14ac:dyDescent="0.25">
      <c r="C367" s="39"/>
    </row>
    <row r="368" spans="3:3" x14ac:dyDescent="0.25">
      <c r="C368" s="39"/>
    </row>
    <row r="369" spans="3:3" x14ac:dyDescent="0.25">
      <c r="C369" s="39"/>
    </row>
    <row r="370" spans="3:3" x14ac:dyDescent="0.25">
      <c r="C370" s="39"/>
    </row>
    <row r="371" spans="3:3" x14ac:dyDescent="0.25">
      <c r="C371" s="39"/>
    </row>
    <row r="372" spans="3:3" x14ac:dyDescent="0.25">
      <c r="C372" s="39"/>
    </row>
    <row r="373" spans="3:3" x14ac:dyDescent="0.25">
      <c r="C373" s="39"/>
    </row>
    <row r="374" spans="3:3" x14ac:dyDescent="0.25">
      <c r="C374" s="39"/>
    </row>
    <row r="375" spans="3:3" x14ac:dyDescent="0.25">
      <c r="C375" s="39"/>
    </row>
    <row r="376" spans="3:3" x14ac:dyDescent="0.25">
      <c r="C376" s="39"/>
    </row>
    <row r="377" spans="3:3" x14ac:dyDescent="0.25">
      <c r="C377" s="39"/>
    </row>
    <row r="378" spans="3:3" x14ac:dyDescent="0.25">
      <c r="C378" s="39"/>
    </row>
    <row r="379" spans="3:3" x14ac:dyDescent="0.25">
      <c r="C379" s="39"/>
    </row>
    <row r="380" spans="3:3" x14ac:dyDescent="0.25">
      <c r="C380" s="39"/>
    </row>
    <row r="381" spans="3:3" x14ac:dyDescent="0.25">
      <c r="C381" s="39"/>
    </row>
    <row r="382" spans="3:3" x14ac:dyDescent="0.25">
      <c r="C382" s="39"/>
    </row>
    <row r="383" spans="3:3" x14ac:dyDescent="0.25">
      <c r="C383" s="39"/>
    </row>
    <row r="384" spans="3:3" x14ac:dyDescent="0.25">
      <c r="C384" s="39"/>
    </row>
    <row r="385" spans="3:3" x14ac:dyDescent="0.25">
      <c r="C385" s="39"/>
    </row>
    <row r="386" spans="3:3" x14ac:dyDescent="0.25">
      <c r="C386" s="39"/>
    </row>
    <row r="387" spans="3:3" x14ac:dyDescent="0.25">
      <c r="C387" s="39"/>
    </row>
    <row r="388" spans="3:3" x14ac:dyDescent="0.25">
      <c r="C388" s="39"/>
    </row>
    <row r="389" spans="3:3" x14ac:dyDescent="0.25">
      <c r="C389" s="39"/>
    </row>
    <row r="390" spans="3:3" x14ac:dyDescent="0.25">
      <c r="C390" s="39"/>
    </row>
    <row r="391" spans="3:3" x14ac:dyDescent="0.25">
      <c r="C391" s="39"/>
    </row>
    <row r="392" spans="3:3" x14ac:dyDescent="0.25">
      <c r="C392" s="39"/>
    </row>
    <row r="393" spans="3:3" x14ac:dyDescent="0.25">
      <c r="C393" s="39"/>
    </row>
    <row r="394" spans="3:3" x14ac:dyDescent="0.25">
      <c r="C394" s="39"/>
    </row>
    <row r="395" spans="3:3" x14ac:dyDescent="0.25">
      <c r="C395" s="39"/>
    </row>
    <row r="396" spans="3:3" x14ac:dyDescent="0.25">
      <c r="C396" s="38"/>
    </row>
    <row r="397" spans="3:3" x14ac:dyDescent="0.25">
      <c r="C397" s="38"/>
    </row>
    <row r="398" spans="3:3" x14ac:dyDescent="0.25">
      <c r="C398" s="38"/>
    </row>
    <row r="399" spans="3:3" x14ac:dyDescent="0.25">
      <c r="C399" s="38"/>
    </row>
    <row r="400" spans="3:3" x14ac:dyDescent="0.25">
      <c r="C400" s="38"/>
    </row>
    <row r="401" spans="3:3" x14ac:dyDescent="0.25">
      <c r="C401" s="38"/>
    </row>
    <row r="402" spans="3:3" x14ac:dyDescent="0.25">
      <c r="C402" s="38"/>
    </row>
    <row r="403" spans="3:3" x14ac:dyDescent="0.25">
      <c r="C403" s="38"/>
    </row>
    <row r="404" spans="3:3" x14ac:dyDescent="0.25">
      <c r="C404" s="38"/>
    </row>
    <row r="405" spans="3:3" x14ac:dyDescent="0.25">
      <c r="C405" s="38"/>
    </row>
    <row r="406" spans="3:3" x14ac:dyDescent="0.25">
      <c r="C406" s="38"/>
    </row>
    <row r="407" spans="3:3" x14ac:dyDescent="0.25">
      <c r="C407" s="38"/>
    </row>
    <row r="408" spans="3:3" x14ac:dyDescent="0.25">
      <c r="C408" s="38"/>
    </row>
    <row r="409" spans="3:3" x14ac:dyDescent="0.25">
      <c r="C409" s="38"/>
    </row>
    <row r="410" spans="3:3" x14ac:dyDescent="0.25">
      <c r="C410" s="38"/>
    </row>
    <row r="411" spans="3:3" x14ac:dyDescent="0.25">
      <c r="C411" s="38"/>
    </row>
    <row r="412" spans="3:3" x14ac:dyDescent="0.25">
      <c r="C412" s="38"/>
    </row>
    <row r="413" spans="3:3" x14ac:dyDescent="0.25">
      <c r="C413" s="38"/>
    </row>
    <row r="414" spans="3:3" x14ac:dyDescent="0.25">
      <c r="C414" s="38"/>
    </row>
    <row r="415" spans="3:3" x14ac:dyDescent="0.25">
      <c r="C415" s="38"/>
    </row>
    <row r="416" spans="3:3" x14ac:dyDescent="0.25">
      <c r="C416" s="38"/>
    </row>
    <row r="417" spans="3:3" x14ac:dyDescent="0.25">
      <c r="C417" s="38"/>
    </row>
    <row r="418" spans="3:3" x14ac:dyDescent="0.25">
      <c r="C418" s="38"/>
    </row>
    <row r="419" spans="3:3" x14ac:dyDescent="0.25">
      <c r="C419" s="38"/>
    </row>
    <row r="420" spans="3:3" x14ac:dyDescent="0.25">
      <c r="C420" s="38"/>
    </row>
    <row r="421" spans="3:3" x14ac:dyDescent="0.25">
      <c r="C421" s="38"/>
    </row>
    <row r="422" spans="3:3" x14ac:dyDescent="0.25">
      <c r="C422" s="38"/>
    </row>
    <row r="423" spans="3:3" x14ac:dyDescent="0.25">
      <c r="C423" s="38"/>
    </row>
    <row r="424" spans="3:3" x14ac:dyDescent="0.25">
      <c r="C424" s="38"/>
    </row>
    <row r="425" spans="3:3" x14ac:dyDescent="0.25">
      <c r="C425" s="38"/>
    </row>
    <row r="426" spans="3:3" x14ac:dyDescent="0.25">
      <c r="C426" s="38"/>
    </row>
    <row r="427" spans="3:3" x14ac:dyDescent="0.25">
      <c r="C427" s="38"/>
    </row>
    <row r="428" spans="3:3" x14ac:dyDescent="0.25">
      <c r="C428" s="38"/>
    </row>
    <row r="429" spans="3:3" x14ac:dyDescent="0.25">
      <c r="C429" s="38"/>
    </row>
    <row r="430" spans="3:3" x14ac:dyDescent="0.25">
      <c r="C430" s="38"/>
    </row>
    <row r="431" spans="3:3" x14ac:dyDescent="0.25">
      <c r="C431" s="38"/>
    </row>
    <row r="432" spans="3:3" x14ac:dyDescent="0.25">
      <c r="C432" s="38"/>
    </row>
    <row r="433" spans="3:3" x14ac:dyDescent="0.25">
      <c r="C433" s="38"/>
    </row>
    <row r="434" spans="3:3" x14ac:dyDescent="0.25">
      <c r="C434" s="38"/>
    </row>
    <row r="435" spans="3:3" x14ac:dyDescent="0.25">
      <c r="C435" s="38"/>
    </row>
    <row r="436" spans="3:3" x14ac:dyDescent="0.25">
      <c r="C436" s="38"/>
    </row>
    <row r="437" spans="3:3" x14ac:dyDescent="0.25">
      <c r="C437" s="38"/>
    </row>
    <row r="438" spans="3:3" x14ac:dyDescent="0.25">
      <c r="C438" s="38"/>
    </row>
    <row r="439" spans="3:3" x14ac:dyDescent="0.25">
      <c r="C439" s="38"/>
    </row>
    <row r="440" spans="3:3" x14ac:dyDescent="0.25">
      <c r="C440" s="38"/>
    </row>
    <row r="441" spans="3:3" x14ac:dyDescent="0.25">
      <c r="C441" s="38"/>
    </row>
    <row r="442" spans="3:3" x14ac:dyDescent="0.25">
      <c r="C442" s="38"/>
    </row>
    <row r="443" spans="3:3" x14ac:dyDescent="0.25">
      <c r="C443" s="38"/>
    </row>
    <row r="444" spans="3:3" x14ac:dyDescent="0.25">
      <c r="C444" s="38"/>
    </row>
    <row r="445" spans="3:3" x14ac:dyDescent="0.25">
      <c r="C445" s="38"/>
    </row>
    <row r="446" spans="3:3" x14ac:dyDescent="0.25">
      <c r="C446" s="38"/>
    </row>
    <row r="447" spans="3:3" x14ac:dyDescent="0.25">
      <c r="C447" s="38"/>
    </row>
    <row r="448" spans="3:3" x14ac:dyDescent="0.25">
      <c r="C448" s="38"/>
    </row>
    <row r="449" spans="3:3" x14ac:dyDescent="0.25">
      <c r="C449" s="38"/>
    </row>
    <row r="450" spans="3:3" x14ac:dyDescent="0.25">
      <c r="C450" s="38"/>
    </row>
    <row r="451" spans="3:3" x14ac:dyDescent="0.25">
      <c r="C451" s="38"/>
    </row>
    <row r="452" spans="3:3" x14ac:dyDescent="0.25">
      <c r="C452" s="38"/>
    </row>
    <row r="453" spans="3:3" x14ac:dyDescent="0.25">
      <c r="C453" s="38"/>
    </row>
    <row r="454" spans="3:3" x14ac:dyDescent="0.25">
      <c r="C454" s="38"/>
    </row>
    <row r="455" spans="3:3" x14ac:dyDescent="0.25">
      <c r="C455" s="38"/>
    </row>
    <row r="456" spans="3:3" x14ac:dyDescent="0.25">
      <c r="C456" s="38"/>
    </row>
    <row r="457" spans="3:3" x14ac:dyDescent="0.25">
      <c r="C457" s="38"/>
    </row>
    <row r="458" spans="3:3" x14ac:dyDescent="0.25">
      <c r="C458" s="38"/>
    </row>
    <row r="459" spans="3:3" x14ac:dyDescent="0.25">
      <c r="C459" s="38"/>
    </row>
    <row r="460" spans="3:3" x14ac:dyDescent="0.25">
      <c r="C460" s="38"/>
    </row>
    <row r="461" spans="3:3" x14ac:dyDescent="0.25">
      <c r="C461" s="38"/>
    </row>
    <row r="462" spans="3:3" x14ac:dyDescent="0.25">
      <c r="C462" s="38"/>
    </row>
    <row r="463" spans="3:3" x14ac:dyDescent="0.25">
      <c r="C463" s="38"/>
    </row>
    <row r="464" spans="3:3" x14ac:dyDescent="0.25">
      <c r="C464" s="38"/>
    </row>
    <row r="465" spans="3:3" x14ac:dyDescent="0.25">
      <c r="C465" s="38"/>
    </row>
    <row r="466" spans="3:3" x14ac:dyDescent="0.25">
      <c r="C466" s="38"/>
    </row>
    <row r="467" spans="3:3" x14ac:dyDescent="0.25">
      <c r="C467" s="38"/>
    </row>
    <row r="468" spans="3:3" x14ac:dyDescent="0.25">
      <c r="C468" s="38"/>
    </row>
    <row r="469" spans="3:3" x14ac:dyDescent="0.25">
      <c r="C469" s="38"/>
    </row>
    <row r="470" spans="3:3" x14ac:dyDescent="0.25">
      <c r="C470" s="38"/>
    </row>
    <row r="471" spans="3:3" x14ac:dyDescent="0.25">
      <c r="C471" s="38"/>
    </row>
    <row r="472" spans="3:3" x14ac:dyDescent="0.25">
      <c r="C472" s="38"/>
    </row>
    <row r="473" spans="3:3" x14ac:dyDescent="0.25">
      <c r="C473" s="38"/>
    </row>
    <row r="474" spans="3:3" x14ac:dyDescent="0.25">
      <c r="C474" s="38"/>
    </row>
    <row r="475" spans="3:3" x14ac:dyDescent="0.25">
      <c r="C475" s="38"/>
    </row>
    <row r="476" spans="3:3" x14ac:dyDescent="0.25">
      <c r="C476" s="38"/>
    </row>
    <row r="477" spans="3:3" x14ac:dyDescent="0.25">
      <c r="C477" s="38"/>
    </row>
    <row r="478" spans="3:3" x14ac:dyDescent="0.25">
      <c r="C478" s="38"/>
    </row>
    <row r="479" spans="3:3" x14ac:dyDescent="0.25">
      <c r="C479" s="38"/>
    </row>
    <row r="480" spans="3:3" x14ac:dyDescent="0.25">
      <c r="C480" s="38"/>
    </row>
    <row r="481" spans="3:3" x14ac:dyDescent="0.25">
      <c r="C481" s="38"/>
    </row>
    <row r="482" spans="3:3" x14ac:dyDescent="0.25">
      <c r="C482" s="38"/>
    </row>
    <row r="483" spans="3:3" x14ac:dyDescent="0.25">
      <c r="C483" s="38"/>
    </row>
    <row r="484" spans="3:3" x14ac:dyDescent="0.25">
      <c r="C484" s="38"/>
    </row>
    <row r="485" spans="3:3" x14ac:dyDescent="0.25">
      <c r="C485" s="38"/>
    </row>
    <row r="486" spans="3:3" x14ac:dyDescent="0.25">
      <c r="C486" s="38"/>
    </row>
    <row r="487" spans="3:3" x14ac:dyDescent="0.25">
      <c r="C487" s="38"/>
    </row>
    <row r="488" spans="3:3" x14ac:dyDescent="0.25">
      <c r="C488" s="38"/>
    </row>
    <row r="489" spans="3:3" x14ac:dyDescent="0.25">
      <c r="C489" s="38"/>
    </row>
    <row r="490" spans="3:3" x14ac:dyDescent="0.25">
      <c r="C490" s="38"/>
    </row>
    <row r="491" spans="3:3" x14ac:dyDescent="0.25">
      <c r="C491" s="38"/>
    </row>
    <row r="492" spans="3:3" x14ac:dyDescent="0.25">
      <c r="C492" s="38"/>
    </row>
    <row r="493" spans="3:3" x14ac:dyDescent="0.25">
      <c r="C493" s="38"/>
    </row>
    <row r="494" spans="3:3" x14ac:dyDescent="0.25">
      <c r="C494" s="38"/>
    </row>
    <row r="495" spans="3:3" x14ac:dyDescent="0.25">
      <c r="C495" s="38"/>
    </row>
    <row r="496" spans="3:3" x14ac:dyDescent="0.25">
      <c r="C496" s="38"/>
    </row>
    <row r="497" spans="3:3" x14ac:dyDescent="0.25">
      <c r="C497" s="38"/>
    </row>
    <row r="498" spans="3:3" x14ac:dyDescent="0.25">
      <c r="C498" s="38"/>
    </row>
    <row r="499" spans="3:3" x14ac:dyDescent="0.25">
      <c r="C499" s="38"/>
    </row>
    <row r="500" spans="3:3" x14ac:dyDescent="0.25">
      <c r="C500" s="38"/>
    </row>
    <row r="501" spans="3:3" x14ac:dyDescent="0.25">
      <c r="C501" s="38"/>
    </row>
    <row r="502" spans="3:3" x14ac:dyDescent="0.25">
      <c r="C502" s="38"/>
    </row>
    <row r="503" spans="3:3" x14ac:dyDescent="0.25">
      <c r="C503" s="38"/>
    </row>
    <row r="504" spans="3:3" x14ac:dyDescent="0.25">
      <c r="C504" s="38"/>
    </row>
    <row r="505" spans="3:3" x14ac:dyDescent="0.25">
      <c r="C505" s="38"/>
    </row>
    <row r="506" spans="3:3" x14ac:dyDescent="0.25">
      <c r="C506" s="38"/>
    </row>
    <row r="507" spans="3:3" x14ac:dyDescent="0.25">
      <c r="C507" s="38"/>
    </row>
    <row r="508" spans="3:3" x14ac:dyDescent="0.25">
      <c r="C508" s="38"/>
    </row>
    <row r="509" spans="3:3" x14ac:dyDescent="0.25">
      <c r="C509" s="38"/>
    </row>
    <row r="510" spans="3:3" x14ac:dyDescent="0.25">
      <c r="C510" s="38"/>
    </row>
    <row r="511" spans="3:3" x14ac:dyDescent="0.25">
      <c r="C511" s="38"/>
    </row>
    <row r="512" spans="3:3" x14ac:dyDescent="0.25">
      <c r="C512" s="38"/>
    </row>
    <row r="513" spans="3:3" x14ac:dyDescent="0.25">
      <c r="C513" s="38"/>
    </row>
    <row r="514" spans="3:3" x14ac:dyDescent="0.25">
      <c r="C514" s="38"/>
    </row>
    <row r="515" spans="3:3" x14ac:dyDescent="0.25">
      <c r="C515" s="38"/>
    </row>
    <row r="516" spans="3:3" x14ac:dyDescent="0.25">
      <c r="C516" s="38"/>
    </row>
    <row r="517" spans="3:3" x14ac:dyDescent="0.25">
      <c r="C517" s="38"/>
    </row>
    <row r="518" spans="3:3" x14ac:dyDescent="0.25">
      <c r="C518" s="38"/>
    </row>
    <row r="519" spans="3:3" x14ac:dyDescent="0.25">
      <c r="C519" s="38"/>
    </row>
    <row r="520" spans="3:3" x14ac:dyDescent="0.25">
      <c r="C520" s="38"/>
    </row>
    <row r="521" spans="3:3" x14ac:dyDescent="0.25">
      <c r="C521" s="38"/>
    </row>
    <row r="522" spans="3:3" x14ac:dyDescent="0.25">
      <c r="C522" s="38"/>
    </row>
    <row r="523" spans="3:3" x14ac:dyDescent="0.25">
      <c r="C523" s="38"/>
    </row>
    <row r="524" spans="3:3" x14ac:dyDescent="0.25">
      <c r="C524" s="38"/>
    </row>
    <row r="525" spans="3:3" x14ac:dyDescent="0.25">
      <c r="C525" s="38"/>
    </row>
    <row r="526" spans="3:3" x14ac:dyDescent="0.25">
      <c r="C526" s="38"/>
    </row>
    <row r="527" spans="3:3" x14ac:dyDescent="0.25">
      <c r="C527" s="38"/>
    </row>
    <row r="528" spans="3:3" x14ac:dyDescent="0.25">
      <c r="C528" s="38"/>
    </row>
    <row r="529" spans="3:3" x14ac:dyDescent="0.25">
      <c r="C529" s="38"/>
    </row>
    <row r="530" spans="3:3" x14ac:dyDescent="0.25">
      <c r="C530" s="38"/>
    </row>
    <row r="531" spans="3:3" x14ac:dyDescent="0.25">
      <c r="C531" s="38"/>
    </row>
    <row r="532" spans="3:3" x14ac:dyDescent="0.25">
      <c r="C532" s="38"/>
    </row>
    <row r="533" spans="3:3" x14ac:dyDescent="0.25">
      <c r="C533" s="38"/>
    </row>
    <row r="534" spans="3:3" x14ac:dyDescent="0.25">
      <c r="C534" s="38"/>
    </row>
    <row r="535" spans="3:3" x14ac:dyDescent="0.25">
      <c r="C535" s="38"/>
    </row>
    <row r="536" spans="3:3" x14ac:dyDescent="0.25">
      <c r="C536" s="38"/>
    </row>
    <row r="537" spans="3:3" x14ac:dyDescent="0.25">
      <c r="C537" s="38"/>
    </row>
    <row r="538" spans="3:3" x14ac:dyDescent="0.25">
      <c r="C538" s="38"/>
    </row>
    <row r="539" spans="3:3" x14ac:dyDescent="0.25">
      <c r="C539" s="38"/>
    </row>
    <row r="540" spans="3:3" x14ac:dyDescent="0.25">
      <c r="C540" s="38"/>
    </row>
    <row r="541" spans="3:3" x14ac:dyDescent="0.25">
      <c r="C541" s="38"/>
    </row>
    <row r="542" spans="3:3" x14ac:dyDescent="0.25">
      <c r="C542" s="38"/>
    </row>
    <row r="543" spans="3:3" x14ac:dyDescent="0.25">
      <c r="C543" s="38"/>
    </row>
    <row r="544" spans="3:3" x14ac:dyDescent="0.25">
      <c r="C544" s="38"/>
    </row>
    <row r="545" spans="3:3" x14ac:dyDescent="0.25">
      <c r="C545" s="38"/>
    </row>
    <row r="546" spans="3:3" x14ac:dyDescent="0.25">
      <c r="C546" s="38"/>
    </row>
    <row r="547" spans="3:3" x14ac:dyDescent="0.25">
      <c r="C547" s="38"/>
    </row>
    <row r="548" spans="3:3" x14ac:dyDescent="0.25">
      <c r="C548" s="38"/>
    </row>
    <row r="549" spans="3:3" x14ac:dyDescent="0.25">
      <c r="C549" s="38"/>
    </row>
    <row r="550" spans="3:3" x14ac:dyDescent="0.25">
      <c r="C550" s="38"/>
    </row>
    <row r="551" spans="3:3" x14ac:dyDescent="0.25">
      <c r="C551" s="38"/>
    </row>
    <row r="552" spans="3:3" x14ac:dyDescent="0.25">
      <c r="C552" s="38"/>
    </row>
    <row r="553" spans="3:3" x14ac:dyDescent="0.25">
      <c r="C553" s="38"/>
    </row>
    <row r="554" spans="3:3" x14ac:dyDescent="0.25">
      <c r="C554" s="38"/>
    </row>
    <row r="555" spans="3:3" x14ac:dyDescent="0.25">
      <c r="C555" s="38"/>
    </row>
    <row r="556" spans="3:3" x14ac:dyDescent="0.25">
      <c r="C556" s="38"/>
    </row>
    <row r="557" spans="3:3" x14ac:dyDescent="0.25">
      <c r="C557" s="38"/>
    </row>
    <row r="558" spans="3:3" x14ac:dyDescent="0.25">
      <c r="C558" s="38"/>
    </row>
    <row r="559" spans="3:3" x14ac:dyDescent="0.25">
      <c r="C559" s="38"/>
    </row>
    <row r="560" spans="3:3" x14ac:dyDescent="0.25">
      <c r="C560" s="38"/>
    </row>
    <row r="561" spans="3:3" x14ac:dyDescent="0.25">
      <c r="C561" s="38"/>
    </row>
    <row r="562" spans="3:3" x14ac:dyDescent="0.25">
      <c r="C562" s="38"/>
    </row>
    <row r="563" spans="3:3" x14ac:dyDescent="0.25">
      <c r="C563" s="38"/>
    </row>
    <row r="564" spans="3:3" x14ac:dyDescent="0.25">
      <c r="C564" s="38"/>
    </row>
    <row r="565" spans="3:3" x14ac:dyDescent="0.25">
      <c r="C565" s="38"/>
    </row>
    <row r="566" spans="3:3" x14ac:dyDescent="0.25">
      <c r="C566" s="38"/>
    </row>
    <row r="567" spans="3:3" x14ac:dyDescent="0.25">
      <c r="C567" s="38"/>
    </row>
    <row r="568" spans="3:3" x14ac:dyDescent="0.25">
      <c r="C568" s="38"/>
    </row>
    <row r="569" spans="3:3" x14ac:dyDescent="0.25">
      <c r="C569" s="38"/>
    </row>
    <row r="570" spans="3:3" x14ac:dyDescent="0.25">
      <c r="C570" s="38"/>
    </row>
    <row r="571" spans="3:3" x14ac:dyDescent="0.25">
      <c r="C571" s="38"/>
    </row>
    <row r="572" spans="3:3" x14ac:dyDescent="0.25">
      <c r="C572" s="38"/>
    </row>
    <row r="573" spans="3:3" x14ac:dyDescent="0.25">
      <c r="C573" s="38"/>
    </row>
    <row r="574" spans="3:3" x14ac:dyDescent="0.25">
      <c r="C574" s="38"/>
    </row>
    <row r="575" spans="3:3" x14ac:dyDescent="0.25">
      <c r="C575" s="38"/>
    </row>
    <row r="576" spans="3:3" x14ac:dyDescent="0.25">
      <c r="C576" s="38"/>
    </row>
    <row r="577" spans="3:3" x14ac:dyDescent="0.25">
      <c r="C577" s="38"/>
    </row>
    <row r="578" spans="3:3" x14ac:dyDescent="0.25">
      <c r="C578" s="38"/>
    </row>
    <row r="579" spans="3:3" x14ac:dyDescent="0.25">
      <c r="C579" s="38"/>
    </row>
    <row r="580" spans="3:3" x14ac:dyDescent="0.25">
      <c r="C580" s="38"/>
    </row>
    <row r="581" spans="3:3" x14ac:dyDescent="0.25">
      <c r="C581" s="38"/>
    </row>
    <row r="582" spans="3:3" x14ac:dyDescent="0.25">
      <c r="C582" s="38"/>
    </row>
    <row r="583" spans="3:3" x14ac:dyDescent="0.25">
      <c r="C583" s="38"/>
    </row>
    <row r="584" spans="3:3" x14ac:dyDescent="0.25">
      <c r="C584" s="38"/>
    </row>
    <row r="585" spans="3:3" x14ac:dyDescent="0.25">
      <c r="C585" s="38"/>
    </row>
    <row r="586" spans="3:3" x14ac:dyDescent="0.25">
      <c r="C586" s="38"/>
    </row>
    <row r="587" spans="3:3" x14ac:dyDescent="0.25">
      <c r="C587" s="38"/>
    </row>
    <row r="588" spans="3:3" x14ac:dyDescent="0.25">
      <c r="C588" s="38"/>
    </row>
    <row r="589" spans="3:3" x14ac:dyDescent="0.25">
      <c r="C589" s="38"/>
    </row>
    <row r="590" spans="3:3" x14ac:dyDescent="0.25">
      <c r="C590" s="38"/>
    </row>
    <row r="591" spans="3:3" x14ac:dyDescent="0.25">
      <c r="C591" s="38"/>
    </row>
    <row r="592" spans="3:3" x14ac:dyDescent="0.25">
      <c r="C592" s="38"/>
    </row>
    <row r="593" spans="3:3" x14ac:dyDescent="0.25">
      <c r="C593" s="38"/>
    </row>
    <row r="594" spans="3:3" x14ac:dyDescent="0.25">
      <c r="C594" s="38"/>
    </row>
    <row r="595" spans="3:3" x14ac:dyDescent="0.25">
      <c r="C595" s="38"/>
    </row>
    <row r="596" spans="3:3" x14ac:dyDescent="0.25">
      <c r="C596" s="38"/>
    </row>
    <row r="597" spans="3:3" x14ac:dyDescent="0.25">
      <c r="C597" s="38"/>
    </row>
    <row r="598" spans="3:3" x14ac:dyDescent="0.25">
      <c r="C598" s="38"/>
    </row>
    <row r="599" spans="3:3" x14ac:dyDescent="0.25">
      <c r="C599" s="38"/>
    </row>
    <row r="600" spans="3:3" x14ac:dyDescent="0.25">
      <c r="C600" s="38"/>
    </row>
    <row r="601" spans="3:3" x14ac:dyDescent="0.25">
      <c r="C601" s="38"/>
    </row>
    <row r="602" spans="3:3" x14ac:dyDescent="0.25">
      <c r="C602" s="38"/>
    </row>
    <row r="603" spans="3:3" x14ac:dyDescent="0.25">
      <c r="C603" s="38"/>
    </row>
    <row r="604" spans="3:3" x14ac:dyDescent="0.25">
      <c r="C604" s="38"/>
    </row>
    <row r="605" spans="3:3" x14ac:dyDescent="0.25">
      <c r="C605" s="38"/>
    </row>
    <row r="606" spans="3:3" x14ac:dyDescent="0.25">
      <c r="C606" s="38"/>
    </row>
    <row r="607" spans="3:3" x14ac:dyDescent="0.25">
      <c r="C607" s="38"/>
    </row>
    <row r="608" spans="3:3" x14ac:dyDescent="0.25">
      <c r="C608" s="38"/>
    </row>
    <row r="609" spans="3:3" x14ac:dyDescent="0.25">
      <c r="C609" s="38"/>
    </row>
    <row r="610" spans="3:3" x14ac:dyDescent="0.25">
      <c r="C610" s="38"/>
    </row>
    <row r="611" spans="3:3" x14ac:dyDescent="0.25">
      <c r="C611" s="38"/>
    </row>
    <row r="612" spans="3:3" x14ac:dyDescent="0.25">
      <c r="C612" s="38"/>
    </row>
    <row r="613" spans="3:3" x14ac:dyDescent="0.25">
      <c r="C613" s="38"/>
    </row>
    <row r="614" spans="3:3" x14ac:dyDescent="0.25">
      <c r="C614" s="38"/>
    </row>
    <row r="615" spans="3:3" x14ac:dyDescent="0.25">
      <c r="C615" s="38"/>
    </row>
    <row r="616" spans="3:3" x14ac:dyDescent="0.25">
      <c r="C616" s="38"/>
    </row>
    <row r="617" spans="3:3" x14ac:dyDescent="0.25">
      <c r="C617" s="38"/>
    </row>
    <row r="618" spans="3:3" x14ac:dyDescent="0.25">
      <c r="C618" s="38"/>
    </row>
    <row r="619" spans="3:3" x14ac:dyDescent="0.25">
      <c r="C619" s="38"/>
    </row>
    <row r="620" spans="3:3" x14ac:dyDescent="0.25">
      <c r="C620" s="38"/>
    </row>
    <row r="621" spans="3:3" x14ac:dyDescent="0.25">
      <c r="C621" s="38"/>
    </row>
    <row r="622" spans="3:3" x14ac:dyDescent="0.25">
      <c r="C622" s="38"/>
    </row>
    <row r="623" spans="3:3" x14ac:dyDescent="0.25">
      <c r="C623" s="38"/>
    </row>
    <row r="624" spans="3:3" x14ac:dyDescent="0.25">
      <c r="C624" s="38"/>
    </row>
    <row r="625" spans="3:3" x14ac:dyDescent="0.25">
      <c r="C625" s="38"/>
    </row>
    <row r="626" spans="3:3" x14ac:dyDescent="0.25">
      <c r="C626" s="38"/>
    </row>
    <row r="627" spans="3:3" x14ac:dyDescent="0.25">
      <c r="C627" s="38"/>
    </row>
    <row r="628" spans="3:3" x14ac:dyDescent="0.25">
      <c r="C628" s="38"/>
    </row>
    <row r="629" spans="3:3" x14ac:dyDescent="0.25">
      <c r="C629" s="38"/>
    </row>
    <row r="630" spans="3:3" x14ac:dyDescent="0.25">
      <c r="C630" s="38"/>
    </row>
    <row r="631" spans="3:3" x14ac:dyDescent="0.25">
      <c r="C631" s="38"/>
    </row>
    <row r="632" spans="3:3" x14ac:dyDescent="0.25">
      <c r="C632" s="38"/>
    </row>
    <row r="633" spans="3:3" x14ac:dyDescent="0.25">
      <c r="C633" s="38"/>
    </row>
    <row r="634" spans="3:3" x14ac:dyDescent="0.25">
      <c r="C634" s="38"/>
    </row>
    <row r="635" spans="3:3" x14ac:dyDescent="0.25">
      <c r="C635" s="38"/>
    </row>
    <row r="636" spans="3:3" x14ac:dyDescent="0.25">
      <c r="C636" s="38"/>
    </row>
    <row r="637" spans="3:3" x14ac:dyDescent="0.25">
      <c r="C637" s="38"/>
    </row>
    <row r="638" spans="3:3" x14ac:dyDescent="0.25">
      <c r="C638" s="38"/>
    </row>
    <row r="639" spans="3:3" x14ac:dyDescent="0.25">
      <c r="C639" s="38"/>
    </row>
    <row r="640" spans="3:3" x14ac:dyDescent="0.25">
      <c r="C640" s="38"/>
    </row>
    <row r="641" spans="3:3" x14ac:dyDescent="0.25">
      <c r="C641" s="38"/>
    </row>
    <row r="642" spans="3:3" x14ac:dyDescent="0.25">
      <c r="C642" s="38"/>
    </row>
    <row r="643" spans="3:3" x14ac:dyDescent="0.25">
      <c r="C643" s="38"/>
    </row>
    <row r="644" spans="3:3" x14ac:dyDescent="0.25">
      <c r="C644" s="38"/>
    </row>
    <row r="645" spans="3:3" x14ac:dyDescent="0.25">
      <c r="C645" s="38"/>
    </row>
    <row r="646" spans="3:3" x14ac:dyDescent="0.25">
      <c r="C646" s="38"/>
    </row>
    <row r="647" spans="3:3" x14ac:dyDescent="0.25">
      <c r="C647" s="38"/>
    </row>
    <row r="648" spans="3:3" x14ac:dyDescent="0.25">
      <c r="C648" s="38"/>
    </row>
    <row r="649" spans="3:3" x14ac:dyDescent="0.25">
      <c r="C649" s="38"/>
    </row>
    <row r="650" spans="3:3" x14ac:dyDescent="0.25">
      <c r="C650" s="38"/>
    </row>
    <row r="651" spans="3:3" x14ac:dyDescent="0.25">
      <c r="C651" s="38"/>
    </row>
  </sheetData>
  <conditionalFormatting sqref="L13">
    <cfRule type="containsText" dxfId="5300" priority="154" operator="containsText" text="FAIL">
      <formula>NOT(ISERROR(SEARCH("FAIL",L13)))</formula>
    </cfRule>
  </conditionalFormatting>
  <conditionalFormatting sqref="L13">
    <cfRule type="containsText" dxfId="5299" priority="153" operator="containsText" text="GOOD">
      <formula>NOT(ISERROR(SEARCH("GOOD",L13)))</formula>
    </cfRule>
  </conditionalFormatting>
  <conditionalFormatting sqref="L13">
    <cfRule type="containsText" dxfId="5298" priority="132" operator="containsText" text="FAIL">
      <formula>NOT(ISERROR(SEARCH("FAIL",L13)))</formula>
    </cfRule>
  </conditionalFormatting>
  <conditionalFormatting sqref="L13">
    <cfRule type="containsText" dxfId="5297" priority="131" operator="containsText" text="GOOD">
      <formula>NOT(ISERROR(SEARCH("GOOD",L13)))</formula>
    </cfRule>
  </conditionalFormatting>
  <conditionalFormatting sqref="L12">
    <cfRule type="containsText" dxfId="5296" priority="122" operator="containsText" text="FAIL">
      <formula>NOT(ISERROR(SEARCH("FAIL",L12)))</formula>
    </cfRule>
  </conditionalFormatting>
  <conditionalFormatting sqref="L12">
    <cfRule type="containsText" dxfId="5295" priority="121" operator="containsText" text="GOOD">
      <formula>NOT(ISERROR(SEARCH("GOOD",L12)))</formula>
    </cfRule>
  </conditionalFormatting>
  <conditionalFormatting sqref="L11">
    <cfRule type="containsText" dxfId="5294" priority="94" operator="containsText" text="FAIL">
      <formula>NOT(ISERROR(SEARCH("FAIL",L11)))</formula>
    </cfRule>
  </conditionalFormatting>
  <conditionalFormatting sqref="L11">
    <cfRule type="containsText" dxfId="5293" priority="93" operator="containsText" text="GOOD">
      <formula>NOT(ISERROR(SEARCH("GOOD",L11)))</formula>
    </cfRule>
  </conditionalFormatting>
  <conditionalFormatting sqref="L10">
    <cfRule type="containsText" dxfId="5292" priority="84" operator="containsText" text="FAIL">
      <formula>NOT(ISERROR(SEARCH("FAIL",L10)))</formula>
    </cfRule>
  </conditionalFormatting>
  <conditionalFormatting sqref="L10">
    <cfRule type="containsText" dxfId="5291" priority="83" operator="containsText" text="GOOD">
      <formula>NOT(ISERROR(SEARCH("GOOD",L10)))</formula>
    </cfRule>
  </conditionalFormatting>
  <conditionalFormatting sqref="L9">
    <cfRule type="containsText" dxfId="5290" priority="66" operator="containsText" text="FAIL">
      <formula>NOT(ISERROR(SEARCH("FAIL",L9)))</formula>
    </cfRule>
  </conditionalFormatting>
  <conditionalFormatting sqref="L9">
    <cfRule type="containsText" dxfId="5289" priority="65" operator="containsText" text="GOOD">
      <formula>NOT(ISERROR(SEARCH("GOOD",L9)))</formula>
    </cfRule>
  </conditionalFormatting>
  <conditionalFormatting sqref="L8">
    <cfRule type="containsText" dxfId="5288" priority="22" operator="containsText" text="FAIL">
      <formula>NOT(ISERROR(SEARCH("FAIL",L8)))</formula>
    </cfRule>
  </conditionalFormatting>
  <conditionalFormatting sqref="L8">
    <cfRule type="containsText" dxfId="5287" priority="21" operator="containsText" text="GOOD">
      <formula>NOT(ISERROR(SEARCH("GOOD",L8)))</formula>
    </cfRule>
  </conditionalFormatting>
  <pageMargins left="0.7" right="0.7" top="0.75" bottom="0.75" header="0.3" footer="0.3"/>
  <pageSetup paperSize="17" scale="85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text="FAIL" id="{86CF8EBF-C6B2-49B8-8609-F255EA1AA7EE}">
            <xm:f>NOT(ISERROR(SEARCH("FAIL",SUMMARY!L158)))</xm:f>
            <x14:dxf>
              <font>
                <b/>
                <i/>
                <color theme="0"/>
              </font>
              <fill>
                <patternFill>
                  <bgColor rgb="FFFF0000"/>
                </patternFill>
              </fill>
            </x14:dxf>
          </x14:cfRule>
          <xm:sqref>L7</xm:sqref>
        </x14:conditionalFormatting>
        <x14:conditionalFormatting xmlns:xm="http://schemas.microsoft.com/office/excel/2006/main">
          <x14:cfRule type="containsText" priority="1" operator="containsText" text="GOOD" id="{E1DBF368-B562-42E5-9F48-EA677EF26A02}">
            <xm:f>NOT(ISERROR(SEARCH("GOOD",SUMMARY!L158)))</xm:f>
            <x14:dxf>
              <font>
                <b/>
                <i/>
                <color theme="0"/>
              </font>
              <fill>
                <patternFill>
                  <bgColor rgb="FF00B050"/>
                </patternFill>
              </fill>
            </x14:dxf>
          </x14:cfRule>
          <xm:sqref>L7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B2:K114"/>
  <sheetViews>
    <sheetView zoomScale="110" zoomScaleNormal="110" workbookViewId="0">
      <selection activeCell="M22" sqref="M22"/>
    </sheetView>
  </sheetViews>
  <sheetFormatPr defaultColWidth="8.85546875" defaultRowHeight="15" x14ac:dyDescent="0.25"/>
  <cols>
    <col min="2" max="2" width="5.7109375" customWidth="1"/>
  </cols>
  <sheetData>
    <row r="2" spans="2:7" ht="15.75" x14ac:dyDescent="0.25">
      <c r="B2" s="179" t="s">
        <v>1409</v>
      </c>
      <c r="C2" s="180"/>
      <c r="D2" s="180"/>
    </row>
    <row r="3" spans="2:7" ht="15.75" x14ac:dyDescent="0.25">
      <c r="B3" s="180" t="s">
        <v>1360</v>
      </c>
      <c r="C3" s="180"/>
      <c r="D3" s="180"/>
      <c r="F3" t="s">
        <v>1410</v>
      </c>
    </row>
    <row r="5" spans="2:7" x14ac:dyDescent="0.25">
      <c r="B5" s="31" t="s">
        <v>1367</v>
      </c>
    </row>
    <row r="6" spans="2:7" x14ac:dyDescent="0.25">
      <c r="C6" t="s">
        <v>1361</v>
      </c>
      <c r="E6" s="2" t="s">
        <v>1362</v>
      </c>
      <c r="F6">
        <v>3.6</v>
      </c>
      <c r="G6" s="1" t="s">
        <v>1374</v>
      </c>
    </row>
    <row r="7" spans="2:7" x14ac:dyDescent="0.25">
      <c r="E7" s="2" t="s">
        <v>1363</v>
      </c>
      <c r="F7">
        <v>5.2</v>
      </c>
    </row>
    <row r="8" spans="2:7" x14ac:dyDescent="0.25">
      <c r="E8" s="2" t="s">
        <v>1364</v>
      </c>
      <c r="F8">
        <v>6.2</v>
      </c>
    </row>
    <row r="9" spans="2:7" x14ac:dyDescent="0.25">
      <c r="E9" s="2" t="s">
        <v>1365</v>
      </c>
      <c r="F9">
        <v>5.7</v>
      </c>
    </row>
    <row r="10" spans="2:7" x14ac:dyDescent="0.25">
      <c r="E10" s="2" t="s">
        <v>1366</v>
      </c>
      <c r="F10">
        <v>6.5</v>
      </c>
    </row>
    <row r="11" spans="2:7" x14ac:dyDescent="0.25">
      <c r="D11" t="s">
        <v>1372</v>
      </c>
    </row>
    <row r="12" spans="2:7" x14ac:dyDescent="0.25">
      <c r="D12" t="s">
        <v>1373</v>
      </c>
    </row>
    <row r="14" spans="2:7" x14ac:dyDescent="0.25">
      <c r="C14" t="s">
        <v>1368</v>
      </c>
      <c r="E14" s="2" t="s">
        <v>1362</v>
      </c>
      <c r="F14" s="66">
        <v>0.5</v>
      </c>
    </row>
    <row r="15" spans="2:7" x14ac:dyDescent="0.25">
      <c r="E15" s="2" t="s">
        <v>1363</v>
      </c>
      <c r="F15" s="66">
        <v>0.77800000000000002</v>
      </c>
    </row>
    <row r="16" spans="2:7" x14ac:dyDescent="0.25">
      <c r="E16" s="2" t="s">
        <v>1364</v>
      </c>
      <c r="F16" s="66">
        <v>0.66700000000000004</v>
      </c>
    </row>
    <row r="17" spans="3:11" x14ac:dyDescent="0.25">
      <c r="E17">
        <v>2017</v>
      </c>
      <c r="F17" s="66">
        <v>0.67200000000000004</v>
      </c>
    </row>
    <row r="18" spans="3:11" x14ac:dyDescent="0.25">
      <c r="E18">
        <v>2016</v>
      </c>
      <c r="F18" s="66">
        <v>0.66500000000000004</v>
      </c>
    </row>
    <row r="19" spans="3:11" x14ac:dyDescent="0.25">
      <c r="E19">
        <v>2015</v>
      </c>
      <c r="F19" s="66">
        <v>0.57599999999999996</v>
      </c>
    </row>
    <row r="21" spans="3:11" x14ac:dyDescent="0.25">
      <c r="E21">
        <v>2018</v>
      </c>
      <c r="F21" s="69">
        <v>34</v>
      </c>
      <c r="G21" t="s">
        <v>1381</v>
      </c>
    </row>
    <row r="22" spans="3:11" x14ac:dyDescent="0.25">
      <c r="E22">
        <v>2018</v>
      </c>
      <c r="F22" s="69">
        <v>3</v>
      </c>
      <c r="G22" t="s">
        <v>1389</v>
      </c>
    </row>
    <row r="23" spans="3:11" x14ac:dyDescent="0.25">
      <c r="E23">
        <v>2018</v>
      </c>
      <c r="F23" s="66">
        <v>0.64800000000000002</v>
      </c>
      <c r="G23" t="s">
        <v>1382</v>
      </c>
      <c r="J23" s="1" t="s">
        <v>1384</v>
      </c>
    </row>
    <row r="24" spans="3:11" x14ac:dyDescent="0.25">
      <c r="E24">
        <v>2018</v>
      </c>
      <c r="F24" s="66">
        <v>0.72199999999999998</v>
      </c>
      <c r="G24" t="s">
        <v>1383</v>
      </c>
      <c r="J24" s="1" t="s">
        <v>1385</v>
      </c>
    </row>
    <row r="25" spans="3:11" x14ac:dyDescent="0.25">
      <c r="E25">
        <v>2018</v>
      </c>
      <c r="F25" s="55">
        <v>400</v>
      </c>
      <c r="G25" t="s">
        <v>1386</v>
      </c>
    </row>
    <row r="27" spans="3:11" x14ac:dyDescent="0.25">
      <c r="C27" t="s">
        <v>1375</v>
      </c>
    </row>
    <row r="28" spans="3:11" x14ac:dyDescent="0.25">
      <c r="C28">
        <v>7</v>
      </c>
      <c r="D28" s="2" t="s">
        <v>1369</v>
      </c>
      <c r="E28">
        <v>34</v>
      </c>
      <c r="F28" t="s">
        <v>1388</v>
      </c>
      <c r="J28" s="56">
        <f>+C28/E28</f>
        <v>0.20588235294117646</v>
      </c>
      <c r="K28" t="s">
        <v>1387</v>
      </c>
    </row>
    <row r="29" spans="3:11" x14ac:dyDescent="0.25">
      <c r="F29" t="s">
        <v>1370</v>
      </c>
    </row>
    <row r="30" spans="3:11" x14ac:dyDescent="0.25">
      <c r="F30" t="s">
        <v>1371</v>
      </c>
    </row>
    <row r="31" spans="3:11" x14ac:dyDescent="0.25">
      <c r="D31" t="s">
        <v>1376</v>
      </c>
    </row>
    <row r="32" spans="3:11" x14ac:dyDescent="0.25">
      <c r="D32" t="s">
        <v>1377</v>
      </c>
    </row>
    <row r="37" spans="2:5" x14ac:dyDescent="0.25">
      <c r="B37" s="31" t="s">
        <v>1378</v>
      </c>
    </row>
    <row r="38" spans="2:5" x14ac:dyDescent="0.25">
      <c r="C38" t="s">
        <v>1379</v>
      </c>
      <c r="E38" t="s">
        <v>1380</v>
      </c>
    </row>
    <row r="43" spans="2:5" x14ac:dyDescent="0.25">
      <c r="B43" s="31" t="s">
        <v>1390</v>
      </c>
    </row>
    <row r="44" spans="2:5" x14ac:dyDescent="0.25">
      <c r="C44" t="s">
        <v>1397</v>
      </c>
    </row>
    <row r="45" spans="2:5" x14ac:dyDescent="0.25">
      <c r="D45" t="s">
        <v>1398</v>
      </c>
    </row>
    <row r="46" spans="2:5" x14ac:dyDescent="0.25">
      <c r="D46" t="s">
        <v>1391</v>
      </c>
    </row>
    <row r="47" spans="2:5" x14ac:dyDescent="0.25">
      <c r="D47" t="s">
        <v>1392</v>
      </c>
    </row>
    <row r="48" spans="2:5" x14ac:dyDescent="0.25">
      <c r="D48" t="s">
        <v>1393</v>
      </c>
    </row>
    <row r="49" spans="2:7" x14ac:dyDescent="0.25">
      <c r="D49" t="s">
        <v>1394</v>
      </c>
    </row>
    <row r="53" spans="2:7" x14ac:dyDescent="0.25">
      <c r="B53" s="31" t="s">
        <v>1395</v>
      </c>
    </row>
    <row r="54" spans="2:7" x14ac:dyDescent="0.25">
      <c r="C54" t="s">
        <v>1396</v>
      </c>
      <c r="D54" t="s">
        <v>1396</v>
      </c>
      <c r="E54" t="s">
        <v>1396</v>
      </c>
    </row>
    <row r="59" spans="2:7" s="183" customFormat="1" ht="15.75" x14ac:dyDescent="0.25">
      <c r="B59" s="181" t="s">
        <v>1359</v>
      </c>
      <c r="C59" s="182"/>
      <c r="D59" s="182"/>
    </row>
    <row r="60" spans="2:7" s="183" customFormat="1" ht="15.75" x14ac:dyDescent="0.25">
      <c r="B60" s="182" t="s">
        <v>1360</v>
      </c>
      <c r="C60" s="182"/>
      <c r="D60" s="182"/>
    </row>
    <row r="61" spans="2:7" s="183" customFormat="1" x14ac:dyDescent="0.25"/>
    <row r="62" spans="2:7" s="183" customFormat="1" x14ac:dyDescent="0.25">
      <c r="B62" s="184" t="s">
        <v>1367</v>
      </c>
    </row>
    <row r="63" spans="2:7" s="183" customFormat="1" x14ac:dyDescent="0.25">
      <c r="C63" s="183" t="s">
        <v>1361</v>
      </c>
      <c r="E63" s="185" t="s">
        <v>1362</v>
      </c>
      <c r="F63" s="183">
        <v>3.3</v>
      </c>
      <c r="G63" s="186" t="s">
        <v>1374</v>
      </c>
    </row>
    <row r="64" spans="2:7" s="183" customFormat="1" x14ac:dyDescent="0.25">
      <c r="E64" s="185" t="s">
        <v>1363</v>
      </c>
      <c r="F64" s="183">
        <v>5.2</v>
      </c>
    </row>
    <row r="65" spans="3:10" s="183" customFormat="1" x14ac:dyDescent="0.25">
      <c r="E65" s="185" t="s">
        <v>1364</v>
      </c>
      <c r="F65" s="183">
        <v>6.2</v>
      </c>
    </row>
    <row r="66" spans="3:10" s="183" customFormat="1" x14ac:dyDescent="0.25">
      <c r="E66" s="185" t="s">
        <v>1365</v>
      </c>
      <c r="F66" s="183">
        <v>5.7</v>
      </c>
    </row>
    <row r="67" spans="3:10" s="183" customFormat="1" x14ac:dyDescent="0.25">
      <c r="E67" s="185" t="s">
        <v>1366</v>
      </c>
      <c r="F67" s="183">
        <v>6.5</v>
      </c>
    </row>
    <row r="68" spans="3:10" s="183" customFormat="1" x14ac:dyDescent="0.25">
      <c r="D68" s="183" t="s">
        <v>1372</v>
      </c>
    </row>
    <row r="69" spans="3:10" s="183" customFormat="1" x14ac:dyDescent="0.25">
      <c r="D69" s="183" t="s">
        <v>1373</v>
      </c>
    </row>
    <row r="70" spans="3:10" s="183" customFormat="1" x14ac:dyDescent="0.25"/>
    <row r="71" spans="3:10" s="183" customFormat="1" x14ac:dyDescent="0.25">
      <c r="C71" s="183" t="s">
        <v>1368</v>
      </c>
      <c r="E71" s="185" t="s">
        <v>1362</v>
      </c>
      <c r="F71" s="187">
        <v>0.5</v>
      </c>
    </row>
    <row r="72" spans="3:10" s="183" customFormat="1" x14ac:dyDescent="0.25">
      <c r="E72" s="185" t="s">
        <v>1363</v>
      </c>
      <c r="F72" s="187">
        <v>0.77800000000000002</v>
      </c>
    </row>
    <row r="73" spans="3:10" s="183" customFormat="1" x14ac:dyDescent="0.25">
      <c r="E73" s="185" t="s">
        <v>1364</v>
      </c>
      <c r="F73" s="187">
        <v>0.66700000000000004</v>
      </c>
    </row>
    <row r="74" spans="3:10" s="183" customFormat="1" x14ac:dyDescent="0.25">
      <c r="E74" s="183">
        <v>2017</v>
      </c>
      <c r="F74" s="187">
        <v>0.67200000000000004</v>
      </c>
    </row>
    <row r="75" spans="3:10" s="183" customFormat="1" x14ac:dyDescent="0.25">
      <c r="E75" s="183">
        <v>2016</v>
      </c>
      <c r="F75" s="187">
        <v>0.66500000000000004</v>
      </c>
    </row>
    <row r="76" spans="3:10" s="183" customFormat="1" x14ac:dyDescent="0.25">
      <c r="E76" s="183">
        <v>2015</v>
      </c>
      <c r="F76" s="187">
        <v>0.57599999999999996</v>
      </c>
    </row>
    <row r="77" spans="3:10" s="183" customFormat="1" x14ac:dyDescent="0.25"/>
    <row r="78" spans="3:10" s="183" customFormat="1" x14ac:dyDescent="0.25">
      <c r="E78" s="183">
        <v>2018</v>
      </c>
      <c r="F78" s="188">
        <v>34</v>
      </c>
      <c r="G78" s="183" t="s">
        <v>1381</v>
      </c>
    </row>
    <row r="79" spans="3:10" s="183" customFormat="1" x14ac:dyDescent="0.25">
      <c r="E79" s="183">
        <v>2018</v>
      </c>
      <c r="F79" s="188">
        <v>3</v>
      </c>
      <c r="G79" s="183" t="s">
        <v>1389</v>
      </c>
    </row>
    <row r="80" spans="3:10" s="183" customFormat="1" x14ac:dyDescent="0.25">
      <c r="E80" s="183">
        <v>2018</v>
      </c>
      <c r="F80" s="187">
        <v>0.64800000000000002</v>
      </c>
      <c r="G80" s="183" t="s">
        <v>1382</v>
      </c>
      <c r="J80" s="186" t="s">
        <v>1384</v>
      </c>
    </row>
    <row r="81" spans="2:11" s="183" customFormat="1" x14ac:dyDescent="0.25">
      <c r="E81" s="183">
        <v>2018</v>
      </c>
      <c r="F81" s="187">
        <v>0.72199999999999998</v>
      </c>
      <c r="G81" s="183" t="s">
        <v>1383</v>
      </c>
      <c r="J81" s="186" t="s">
        <v>1385</v>
      </c>
    </row>
    <row r="82" spans="2:11" s="183" customFormat="1" x14ac:dyDescent="0.25">
      <c r="E82" s="183">
        <v>2018</v>
      </c>
      <c r="F82" s="189">
        <v>400</v>
      </c>
      <c r="G82" s="183" t="s">
        <v>1386</v>
      </c>
    </row>
    <row r="83" spans="2:11" s="183" customFormat="1" x14ac:dyDescent="0.25"/>
    <row r="84" spans="2:11" s="183" customFormat="1" x14ac:dyDescent="0.25">
      <c r="C84" s="183" t="s">
        <v>1375</v>
      </c>
    </row>
    <row r="85" spans="2:11" s="183" customFormat="1" x14ac:dyDescent="0.25">
      <c r="C85" s="183">
        <v>7</v>
      </c>
      <c r="D85" s="185" t="s">
        <v>1369</v>
      </c>
      <c r="E85" s="183">
        <v>34</v>
      </c>
      <c r="F85" s="183" t="s">
        <v>1388</v>
      </c>
      <c r="J85" s="190">
        <f>+C85/E85</f>
        <v>0.20588235294117646</v>
      </c>
      <c r="K85" s="183" t="s">
        <v>1387</v>
      </c>
    </row>
    <row r="86" spans="2:11" s="183" customFormat="1" x14ac:dyDescent="0.25">
      <c r="F86" s="183" t="s">
        <v>1370</v>
      </c>
    </row>
    <row r="87" spans="2:11" s="183" customFormat="1" x14ac:dyDescent="0.25">
      <c r="F87" s="183" t="s">
        <v>1371</v>
      </c>
    </row>
    <row r="88" spans="2:11" s="183" customFormat="1" x14ac:dyDescent="0.25">
      <c r="D88" s="183" t="s">
        <v>1376</v>
      </c>
    </row>
    <row r="89" spans="2:11" s="183" customFormat="1" x14ac:dyDescent="0.25">
      <c r="D89" s="183" t="s">
        <v>1377</v>
      </c>
    </row>
    <row r="90" spans="2:11" s="183" customFormat="1" x14ac:dyDescent="0.25"/>
    <row r="91" spans="2:11" s="183" customFormat="1" x14ac:dyDescent="0.25"/>
    <row r="92" spans="2:11" s="183" customFormat="1" x14ac:dyDescent="0.25"/>
    <row r="93" spans="2:11" s="183" customFormat="1" x14ac:dyDescent="0.25"/>
    <row r="94" spans="2:11" s="183" customFormat="1" x14ac:dyDescent="0.25">
      <c r="B94" s="184" t="s">
        <v>1378</v>
      </c>
    </row>
    <row r="95" spans="2:11" s="183" customFormat="1" x14ac:dyDescent="0.25">
      <c r="C95" s="183" t="s">
        <v>1379</v>
      </c>
      <c r="E95" s="183" t="s">
        <v>1380</v>
      </c>
    </row>
    <row r="96" spans="2:11" s="183" customFormat="1" x14ac:dyDescent="0.25"/>
    <row r="97" spans="2:5" s="183" customFormat="1" x14ac:dyDescent="0.25"/>
    <row r="98" spans="2:5" s="183" customFormat="1" x14ac:dyDescent="0.25"/>
    <row r="99" spans="2:5" s="183" customFormat="1" x14ac:dyDescent="0.25"/>
    <row r="100" spans="2:5" s="183" customFormat="1" x14ac:dyDescent="0.25">
      <c r="B100" s="184" t="s">
        <v>1390</v>
      </c>
    </row>
    <row r="101" spans="2:5" s="183" customFormat="1" x14ac:dyDescent="0.25">
      <c r="C101" s="183" t="s">
        <v>1397</v>
      </c>
    </row>
    <row r="102" spans="2:5" s="183" customFormat="1" x14ac:dyDescent="0.25">
      <c r="D102" s="183" t="s">
        <v>1398</v>
      </c>
    </row>
    <row r="103" spans="2:5" s="183" customFormat="1" x14ac:dyDescent="0.25">
      <c r="D103" s="183" t="s">
        <v>1391</v>
      </c>
    </row>
    <row r="104" spans="2:5" s="183" customFormat="1" x14ac:dyDescent="0.25">
      <c r="D104" s="183" t="s">
        <v>1392</v>
      </c>
    </row>
    <row r="105" spans="2:5" s="183" customFormat="1" x14ac:dyDescent="0.25">
      <c r="D105" s="183" t="s">
        <v>1393</v>
      </c>
    </row>
    <row r="106" spans="2:5" s="183" customFormat="1" x14ac:dyDescent="0.25">
      <c r="D106" s="183" t="s">
        <v>1394</v>
      </c>
    </row>
    <row r="107" spans="2:5" s="183" customFormat="1" x14ac:dyDescent="0.25"/>
    <row r="108" spans="2:5" s="183" customFormat="1" x14ac:dyDescent="0.25"/>
    <row r="109" spans="2:5" s="183" customFormat="1" x14ac:dyDescent="0.25"/>
    <row r="110" spans="2:5" s="183" customFormat="1" x14ac:dyDescent="0.25">
      <c r="B110" s="184" t="s">
        <v>1395</v>
      </c>
    </row>
    <row r="111" spans="2:5" s="183" customFormat="1" x14ac:dyDescent="0.25">
      <c r="C111" s="183" t="s">
        <v>1396</v>
      </c>
      <c r="D111" s="183" t="s">
        <v>1396</v>
      </c>
      <c r="E111" s="183" t="s">
        <v>1396</v>
      </c>
    </row>
    <row r="112" spans="2:5" s="183" customFormat="1" x14ac:dyDescent="0.25"/>
    <row r="113" s="183" customFormat="1" x14ac:dyDescent="0.25"/>
    <row r="114" s="183" customFormat="1" x14ac:dyDescent="0.25"/>
  </sheetData>
  <pageMargins left="0.7" right="0.7" top="0.75" bottom="0.75" header="0.3" footer="0.3"/>
  <pageSetup scale="7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3:S21"/>
  <sheetViews>
    <sheetView workbookViewId="0">
      <selection activeCell="D26" sqref="D26"/>
    </sheetView>
  </sheetViews>
  <sheetFormatPr defaultColWidth="8.85546875" defaultRowHeight="15" x14ac:dyDescent="0.25"/>
  <cols>
    <col min="3" max="3" width="11.85546875" customWidth="1"/>
    <col min="4" max="4" width="45.28515625" customWidth="1"/>
    <col min="5" max="5" width="10.42578125" customWidth="1"/>
    <col min="6" max="6" width="7.85546875" customWidth="1"/>
    <col min="7" max="8" width="11.7109375" customWidth="1"/>
  </cols>
  <sheetData>
    <row r="3" spans="3:19" x14ac:dyDescent="0.25">
      <c r="C3" s="6">
        <v>43222</v>
      </c>
      <c r="E3" t="s">
        <v>5</v>
      </c>
    </row>
    <row r="5" spans="3:19" x14ac:dyDescent="0.25">
      <c r="C5" s="31" t="s">
        <v>1299</v>
      </c>
    </row>
    <row r="7" spans="3:19" x14ac:dyDescent="0.25">
      <c r="C7" s="167" t="s">
        <v>1297</v>
      </c>
    </row>
    <row r="8" spans="3:19" x14ac:dyDescent="0.25">
      <c r="C8" s="62" t="str">
        <f>+'PAT-784.172'!$F$4</f>
        <v>PAT-784.172</v>
      </c>
      <c r="D8" s="63" t="str">
        <f>+'PAT-784.172'!$F$5</f>
        <v>Hoboken Station Elevator Flood Resiliency</v>
      </c>
      <c r="E8" s="64">
        <f>+'PAT-784.172'!$F$6</f>
        <v>43167</v>
      </c>
      <c r="F8" s="65" t="str">
        <f>+'PAT-784.172'!$G$7</f>
        <v>Public</v>
      </c>
      <c r="G8" s="94">
        <f>+'PAT-784.172'!$F$7</f>
        <v>1600000</v>
      </c>
      <c r="H8" s="94">
        <f>+'PAT-784.172'!$F$8</f>
        <v>1948000</v>
      </c>
      <c r="I8" s="27"/>
      <c r="J8" s="26">
        <f>+'PAT-784.172'!$G$9</f>
        <v>0.2175</v>
      </c>
      <c r="K8" s="11" t="str">
        <f>+'PAT-784.172'!$F$11</f>
        <v>FAIL</v>
      </c>
      <c r="L8" s="15">
        <f>+'PAT-784.172'!$H$12</f>
        <v>2</v>
      </c>
      <c r="M8" s="35" t="s">
        <v>25</v>
      </c>
      <c r="N8" s="15">
        <v>1</v>
      </c>
      <c r="O8" s="35" t="s">
        <v>459</v>
      </c>
      <c r="P8" s="35" t="s">
        <v>1284</v>
      </c>
      <c r="Q8" s="15"/>
      <c r="R8" s="24"/>
      <c r="S8" s="62" t="str">
        <f>+'PAT-784.172'!$J$4</f>
        <v>Nathan Demaisip</v>
      </c>
    </row>
    <row r="9" spans="3:19" x14ac:dyDescent="0.25">
      <c r="C9" s="62" t="str">
        <f>+'LGA-774.264'!$F$4</f>
        <v>LGA-774.264</v>
      </c>
      <c r="D9" s="63" t="str">
        <f>+'LGA-774.264'!$F$5</f>
        <v>Flood Protection at the West End Substation</v>
      </c>
      <c r="E9" s="64">
        <f>+'LGA-774.264'!$F$6</f>
        <v>43125</v>
      </c>
      <c r="F9" s="65" t="str">
        <f>+'LGA-774.264'!$G$7</f>
        <v>Public</v>
      </c>
      <c r="G9" s="94">
        <f>+'LGA-774.264'!$F$7</f>
        <v>1700000</v>
      </c>
      <c r="H9" s="94">
        <f>+'LGA-774.264'!$F$8</f>
        <v>1555555</v>
      </c>
      <c r="I9" s="27"/>
      <c r="J9" s="26">
        <f>+'LGA-774.264'!$G$9</f>
        <v>-8.4967647058823523E-2</v>
      </c>
      <c r="K9" s="11" t="str">
        <f>+'LGA-774.264'!$F$11</f>
        <v>GOOD</v>
      </c>
      <c r="L9" s="15">
        <f>+'LGA-774.264'!$H$12</f>
        <v>9</v>
      </c>
      <c r="M9" s="35" t="s">
        <v>93</v>
      </c>
      <c r="N9" s="15">
        <v>1</v>
      </c>
      <c r="O9" s="35" t="s">
        <v>458</v>
      </c>
      <c r="P9" s="35" t="s">
        <v>1285</v>
      </c>
      <c r="Q9" s="15"/>
      <c r="R9" s="24"/>
      <c r="S9" s="62" t="str">
        <f>+'LGA-774.264'!$J$4</f>
        <v>Joe Lucin</v>
      </c>
    </row>
    <row r="10" spans="3:19" x14ac:dyDescent="0.25">
      <c r="C10" s="62" t="str">
        <f>+'LT-234.194'!$F$4</f>
        <v>LT-234.194</v>
      </c>
      <c r="D10" s="63" t="str">
        <f>+'LT-234.194'!$F$5</f>
        <v>Flood Protection for Ventilation Bldgs and Emergency Generators</v>
      </c>
      <c r="E10" s="64">
        <f>+'LT-234.194'!$F$6</f>
        <v>43047</v>
      </c>
      <c r="F10" s="65" t="str">
        <f>+'LT-234.194'!$G$7</f>
        <v>Public</v>
      </c>
      <c r="G10" s="94">
        <f>+'LT-234.194'!$F$7</f>
        <v>1650000</v>
      </c>
      <c r="H10" s="27">
        <f>+'LT-234.194'!$F$8</f>
        <v>2278990</v>
      </c>
      <c r="I10" s="27"/>
      <c r="J10" s="26">
        <f>+'LT-234.194'!$G$9</f>
        <v>0.3812060606060606</v>
      </c>
      <c r="K10" s="11" t="str">
        <f>+'LT-234.194'!$F$11</f>
        <v>FAIL</v>
      </c>
      <c r="L10" s="15">
        <f>+'LT-234.194'!$H$12</f>
        <v>5</v>
      </c>
      <c r="M10" s="35" t="s">
        <v>226</v>
      </c>
      <c r="N10" s="15">
        <v>4</v>
      </c>
      <c r="O10" s="35" t="s">
        <v>457</v>
      </c>
      <c r="P10" s="35" t="s">
        <v>1285</v>
      </c>
      <c r="Q10" s="15"/>
      <c r="R10" s="24"/>
      <c r="S10" s="62" t="str">
        <f>+'LT-234.194'!$J$4</f>
        <v>Joe Lucin</v>
      </c>
    </row>
    <row r="11" spans="3:19" x14ac:dyDescent="0.25">
      <c r="C11" s="62" t="str">
        <f>+'JFK-154.019'!$F$4</f>
        <v>JFK-154.019</v>
      </c>
      <c r="D11" s="63" t="str">
        <f>+'JFK-154.019'!$F$5</f>
        <v>Install Gate/Check Valves for Exist Stormwater Outfalls 2-3-4-5-6</v>
      </c>
      <c r="E11" s="64">
        <f>+'JFK-154.019'!$F$6</f>
        <v>42880</v>
      </c>
      <c r="F11" s="65" t="str">
        <f>+'JFK-154.019'!$G$7</f>
        <v>Public</v>
      </c>
      <c r="G11" s="94">
        <f>+'JFK-154.019'!$F$7</f>
        <v>2850000</v>
      </c>
      <c r="H11" s="27">
        <f>+'JFK-154.019'!$F$8</f>
        <v>1808548</v>
      </c>
      <c r="I11" s="27"/>
      <c r="J11" s="26">
        <f>+'JFK-154.019'!$G$9</f>
        <v>-0.36542175438596491</v>
      </c>
      <c r="K11" s="11" t="str">
        <f>+'JFK-154.019'!$F$11</f>
        <v>FAIL</v>
      </c>
      <c r="L11" s="15">
        <f>+'JFK-154.019'!$H$12</f>
        <v>11</v>
      </c>
      <c r="M11" s="35" t="s">
        <v>93</v>
      </c>
      <c r="N11" s="15">
        <v>2</v>
      </c>
      <c r="O11" s="35" t="s">
        <v>458</v>
      </c>
      <c r="P11" s="35" t="s">
        <v>1283</v>
      </c>
      <c r="Q11" s="15"/>
      <c r="R11" s="24"/>
      <c r="S11" s="62" t="str">
        <f>+'JFK-154.019'!$J$4</f>
        <v>Wen Chang</v>
      </c>
    </row>
    <row r="12" spans="3:19" x14ac:dyDescent="0.25">
      <c r="C12" s="62" t="str">
        <f>+'EWR-924.281'!$F$4</f>
        <v>EWR-924.281</v>
      </c>
      <c r="D12" s="63" t="str">
        <f>+'EWR-924.281'!$F$5</f>
        <v>Peripheral Ditch Tide Gate Valve Repairs</v>
      </c>
      <c r="E12" s="64">
        <f>+'EWR-924.281'!$F$6</f>
        <v>42479</v>
      </c>
      <c r="F12" s="65" t="str">
        <f>+'EWR-924.281'!$G$7</f>
        <v>Public</v>
      </c>
      <c r="G12" s="27">
        <f>+'EWR-924.281'!$F$7</f>
        <v>670000</v>
      </c>
      <c r="H12" s="27">
        <f>+'EWR-924.281'!$F$8</f>
        <v>897950</v>
      </c>
      <c r="I12" s="27"/>
      <c r="J12" s="26">
        <f>+'EWR-924.281'!$G$9</f>
        <v>0.34022388059701492</v>
      </c>
      <c r="K12" s="11" t="str">
        <f>+'EWR-924.281'!$F$11</f>
        <v>FAIL</v>
      </c>
      <c r="L12" s="15">
        <f>+'EWR-924.281'!$H$12</f>
        <v>5</v>
      </c>
      <c r="M12" s="35" t="s">
        <v>25</v>
      </c>
      <c r="N12" s="15">
        <v>2</v>
      </c>
      <c r="O12" s="35" t="s">
        <v>458</v>
      </c>
      <c r="P12" s="35"/>
      <c r="Q12" s="15"/>
      <c r="R12" s="24"/>
      <c r="S12" s="62" t="str">
        <f>+'EWR-924.281'!$J$4</f>
        <v>Henry Yu</v>
      </c>
    </row>
    <row r="13" spans="3:19" x14ac:dyDescent="0.25">
      <c r="C13" s="15" t="s">
        <v>344</v>
      </c>
      <c r="D13" s="24" t="s">
        <v>345</v>
      </c>
      <c r="E13" s="25">
        <v>42104</v>
      </c>
      <c r="F13" s="46" t="s">
        <v>34</v>
      </c>
      <c r="G13" s="27">
        <v>3760000</v>
      </c>
      <c r="H13" s="27">
        <v>2999293</v>
      </c>
      <c r="I13" s="27"/>
      <c r="J13" s="26">
        <v>-0.20231569148936171</v>
      </c>
      <c r="K13" s="11" t="s">
        <v>464</v>
      </c>
      <c r="L13" s="15">
        <v>10</v>
      </c>
      <c r="M13" s="11" t="s">
        <v>93</v>
      </c>
      <c r="N13" s="15">
        <v>2</v>
      </c>
      <c r="O13" s="35" t="s">
        <v>458</v>
      </c>
      <c r="P13" s="11"/>
      <c r="S13" s="15" t="s">
        <v>494</v>
      </c>
    </row>
    <row r="14" spans="3:19" x14ac:dyDescent="0.25">
      <c r="C14" s="15" t="s">
        <v>421</v>
      </c>
      <c r="D14" s="24" t="s">
        <v>352</v>
      </c>
      <c r="E14" s="25">
        <v>42104</v>
      </c>
      <c r="F14" s="46" t="s">
        <v>34</v>
      </c>
      <c r="G14" s="27">
        <v>1770000</v>
      </c>
      <c r="H14" s="27">
        <v>1397380</v>
      </c>
      <c r="I14" s="27"/>
      <c r="J14" s="26">
        <v>-0.21051977401129943</v>
      </c>
      <c r="K14" s="11" t="s">
        <v>464</v>
      </c>
      <c r="L14" s="15">
        <v>10</v>
      </c>
      <c r="M14" s="11" t="s">
        <v>93</v>
      </c>
      <c r="N14" s="15">
        <v>2</v>
      </c>
      <c r="O14" s="35" t="s">
        <v>458</v>
      </c>
      <c r="P14" s="11"/>
      <c r="S14" s="15" t="s">
        <v>494</v>
      </c>
    </row>
    <row r="18" spans="3:4" x14ac:dyDescent="0.25">
      <c r="C18" s="167" t="s">
        <v>1298</v>
      </c>
    </row>
    <row r="19" spans="3:4" x14ac:dyDescent="0.25">
      <c r="D19" t="s">
        <v>1300</v>
      </c>
    </row>
    <row r="20" spans="3:4" x14ac:dyDescent="0.25">
      <c r="D20" t="s">
        <v>1301</v>
      </c>
    </row>
    <row r="21" spans="3:4" x14ac:dyDescent="0.25">
      <c r="D21" t="s">
        <v>1302</v>
      </c>
    </row>
  </sheetData>
  <conditionalFormatting sqref="K8">
    <cfRule type="containsText" dxfId="5284" priority="12" operator="containsText" text="FAIL">
      <formula>NOT(ISERROR(SEARCH("FAIL",K8)))</formula>
    </cfRule>
  </conditionalFormatting>
  <conditionalFormatting sqref="K8">
    <cfRule type="containsText" dxfId="5283" priority="11" operator="containsText" text="GOOD">
      <formula>NOT(ISERROR(SEARCH("GOOD",K8)))</formula>
    </cfRule>
  </conditionalFormatting>
  <conditionalFormatting sqref="K13:K14">
    <cfRule type="containsText" dxfId="5282" priority="1" operator="containsText" text="GOOD">
      <formula>NOT(ISERROR(SEARCH("GOOD",K13)))</formula>
    </cfRule>
  </conditionalFormatting>
  <conditionalFormatting sqref="K9">
    <cfRule type="containsText" dxfId="5281" priority="10" operator="containsText" text="FAIL">
      <formula>NOT(ISERROR(SEARCH("FAIL",K9)))</formula>
    </cfRule>
  </conditionalFormatting>
  <conditionalFormatting sqref="K9">
    <cfRule type="containsText" dxfId="5280" priority="9" operator="containsText" text="GOOD">
      <formula>NOT(ISERROR(SEARCH("GOOD",K9)))</formula>
    </cfRule>
  </conditionalFormatting>
  <conditionalFormatting sqref="K10">
    <cfRule type="containsText" dxfId="5279" priority="8" operator="containsText" text="FAIL">
      <formula>NOT(ISERROR(SEARCH("FAIL",K10)))</formula>
    </cfRule>
  </conditionalFormatting>
  <conditionalFormatting sqref="K10">
    <cfRule type="containsText" dxfId="5278" priority="7" operator="containsText" text="GOOD">
      <formula>NOT(ISERROR(SEARCH("GOOD",K10)))</formula>
    </cfRule>
  </conditionalFormatting>
  <conditionalFormatting sqref="K11">
    <cfRule type="containsText" dxfId="5277" priority="6" operator="containsText" text="FAIL">
      <formula>NOT(ISERROR(SEARCH("FAIL",K11)))</formula>
    </cfRule>
  </conditionalFormatting>
  <conditionalFormatting sqref="K11">
    <cfRule type="containsText" dxfId="5276" priority="5" operator="containsText" text="GOOD">
      <formula>NOT(ISERROR(SEARCH("GOOD",K11)))</formula>
    </cfRule>
  </conditionalFormatting>
  <conditionalFormatting sqref="K12">
    <cfRule type="containsText" dxfId="5275" priority="4" operator="containsText" text="FAIL">
      <formula>NOT(ISERROR(SEARCH("FAIL",K12)))</formula>
    </cfRule>
  </conditionalFormatting>
  <conditionalFormatting sqref="K12">
    <cfRule type="containsText" dxfId="5274" priority="3" operator="containsText" text="GOOD">
      <formula>NOT(ISERROR(SEARCH("GOOD",K12)))</formula>
    </cfRule>
  </conditionalFormatting>
  <conditionalFormatting sqref="K13:K14">
    <cfRule type="containsText" dxfId="5273" priority="2" operator="containsText" text="FAIL">
      <formula>NOT(ISERROR(SEARCH("FAIL",K13)))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  <pageSetUpPr fitToPage="1"/>
  </sheetPr>
  <dimension ref="B2:CR51"/>
  <sheetViews>
    <sheetView zoomScaleNormal="100" workbookViewId="0">
      <pane ySplit="5" topLeftCell="A6" activePane="bottomLeft" state="frozen"/>
      <selection pane="bottomLeft" activeCell="S24" sqref="S24"/>
    </sheetView>
  </sheetViews>
  <sheetFormatPr defaultColWidth="8.85546875" defaultRowHeight="15" x14ac:dyDescent="0.25"/>
  <cols>
    <col min="1" max="1" width="1.42578125" customWidth="1"/>
    <col min="2" max="2" width="7.42578125" customWidth="1"/>
    <col min="3" max="3" width="5.28515625" customWidth="1"/>
    <col min="4" max="4" width="15" customWidth="1"/>
    <col min="5" max="5" width="46.28515625" customWidth="1"/>
    <col min="6" max="6" width="9.42578125" bestFit="1" customWidth="1"/>
    <col min="7" max="7" width="8.42578125" customWidth="1"/>
    <col min="8" max="9" width="11.85546875" customWidth="1"/>
    <col min="10" max="10" width="12.7109375" customWidth="1"/>
    <col min="11" max="11" width="9.42578125" customWidth="1"/>
    <col min="12" max="12" width="7" customWidth="1"/>
    <col min="13" max="13" width="6.42578125" customWidth="1"/>
    <col min="14" max="14" width="5.7109375" style="11" customWidth="1"/>
    <col min="15" max="15" width="3.42578125" customWidth="1"/>
    <col min="16" max="16" width="6.140625" customWidth="1"/>
    <col min="17" max="17" width="4.28515625" customWidth="1"/>
    <col min="18" max="18" width="1" customWidth="1"/>
    <col min="19" max="19" width="28.7109375" customWidth="1"/>
    <col min="20" max="20" width="20.28515625" customWidth="1"/>
    <col min="21" max="45" width="5.42578125" hidden="1" customWidth="1"/>
    <col min="46" max="46" width="3.140625" customWidth="1"/>
    <col min="47" max="47" width="20.7109375" customWidth="1"/>
    <col min="48" max="48" width="6.7109375" customWidth="1"/>
    <col min="49" max="49" width="20.7109375" customWidth="1"/>
    <col min="50" max="50" width="6.7109375" customWidth="1"/>
    <col min="51" max="51" width="20.7109375" customWidth="1"/>
    <col min="52" max="52" width="6.7109375" customWidth="1"/>
    <col min="53" max="53" width="20.7109375" customWidth="1"/>
    <col min="54" max="54" width="6.7109375" customWidth="1"/>
    <col min="55" max="55" width="20.7109375" customWidth="1"/>
    <col min="56" max="56" width="6.7109375" customWidth="1"/>
    <col min="57" max="57" width="20.7109375" customWidth="1"/>
    <col min="58" max="58" width="6.7109375" customWidth="1"/>
    <col min="59" max="59" width="20.7109375" customWidth="1"/>
    <col min="60" max="60" width="6.7109375" customWidth="1"/>
    <col min="61" max="61" width="20.7109375" customWidth="1"/>
    <col min="62" max="62" width="6.7109375" customWidth="1"/>
    <col min="63" max="63" width="20.7109375" customWidth="1"/>
    <col min="64" max="64" width="6.7109375" customWidth="1"/>
    <col min="65" max="65" width="20.7109375" customWidth="1"/>
    <col min="66" max="66" width="6.7109375" customWidth="1"/>
    <col min="67" max="67" width="20.7109375" customWidth="1"/>
    <col min="68" max="68" width="6.7109375" customWidth="1"/>
    <col min="69" max="69" width="20.7109375" customWidth="1"/>
    <col min="70" max="70" width="6.7109375" customWidth="1"/>
    <col min="71" max="71" width="20.7109375" customWidth="1"/>
    <col min="72" max="72" width="6.7109375" customWidth="1"/>
    <col min="73" max="73" width="20.7109375" customWidth="1"/>
    <col min="74" max="74" width="6.7109375" customWidth="1"/>
    <col min="75" max="75" width="20.7109375" customWidth="1"/>
    <col min="76" max="76" width="6.7109375" customWidth="1"/>
    <col min="77" max="77" width="20.7109375" customWidth="1"/>
    <col min="78" max="78" width="6.7109375" customWidth="1"/>
    <col min="79" max="79" width="20.7109375" customWidth="1"/>
    <col min="80" max="80" width="6.7109375" customWidth="1"/>
    <col min="81" max="81" width="20.7109375" customWidth="1"/>
    <col min="82" max="82" width="6.7109375" customWidth="1"/>
    <col min="83" max="83" width="20.7109375" customWidth="1"/>
    <col min="84" max="84" width="6.7109375" customWidth="1"/>
    <col min="85" max="85" width="20.7109375" customWidth="1"/>
    <col min="86" max="86" width="6.7109375" customWidth="1"/>
    <col min="87" max="87" width="20.7109375" customWidth="1"/>
    <col min="88" max="88" width="6.7109375" customWidth="1"/>
    <col min="89" max="89" width="20.7109375" customWidth="1"/>
    <col min="90" max="90" width="6.7109375" customWidth="1"/>
    <col min="91" max="91" width="20.7109375" customWidth="1"/>
    <col min="92" max="92" width="6.7109375" customWidth="1"/>
    <col min="93" max="93" width="20.7109375" customWidth="1"/>
    <col min="94" max="94" width="6.7109375" customWidth="1"/>
    <col min="95" max="95" width="20.7109375" customWidth="1"/>
    <col min="96" max="96" width="6.7109375" customWidth="1"/>
  </cols>
  <sheetData>
    <row r="2" spans="2:96" ht="27.75" customHeight="1" x14ac:dyDescent="0.25">
      <c r="D2" s="21"/>
      <c r="E2" s="15"/>
      <c r="F2" s="15" t="s">
        <v>32</v>
      </c>
      <c r="I2" s="15"/>
      <c r="J2" s="15"/>
      <c r="L2" s="15" t="s">
        <v>1160</v>
      </c>
    </row>
    <row r="3" spans="2:96" ht="18.75" x14ac:dyDescent="0.3">
      <c r="D3" s="3"/>
      <c r="F3" s="195" t="s">
        <v>1480</v>
      </c>
      <c r="G3" s="196"/>
      <c r="H3" s="196"/>
      <c r="I3" s="196"/>
      <c r="J3" s="196"/>
      <c r="K3" s="196"/>
      <c r="L3" s="196"/>
      <c r="M3" s="196"/>
      <c r="N3" s="197" t="s">
        <v>54</v>
      </c>
      <c r="O3" s="198" t="s">
        <v>1481</v>
      </c>
      <c r="P3" s="199">
        <v>2019</v>
      </c>
      <c r="S3" s="31" t="s">
        <v>1590</v>
      </c>
      <c r="T3" s="77" t="s">
        <v>1665</v>
      </c>
    </row>
    <row r="4" spans="2:96" x14ac:dyDescent="0.25">
      <c r="AU4" s="31" t="s">
        <v>1484</v>
      </c>
      <c r="BC4" s="31"/>
      <c r="BK4" s="31"/>
      <c r="BS4" s="31"/>
      <c r="CA4" s="31"/>
      <c r="CI4" s="31"/>
      <c r="CQ4" s="31"/>
    </row>
    <row r="5" spans="2:96" x14ac:dyDescent="0.25">
      <c r="B5" s="43" t="s">
        <v>1234</v>
      </c>
      <c r="C5" s="40" t="s">
        <v>423</v>
      </c>
      <c r="D5" s="49" t="s">
        <v>55</v>
      </c>
      <c r="E5" s="49" t="s">
        <v>56</v>
      </c>
      <c r="F5" s="47" t="s">
        <v>57</v>
      </c>
      <c r="G5" s="50" t="s">
        <v>424</v>
      </c>
      <c r="H5" s="47" t="s">
        <v>58</v>
      </c>
      <c r="I5" s="47" t="s">
        <v>59</v>
      </c>
      <c r="J5" s="47" t="s">
        <v>1526</v>
      </c>
      <c r="K5" s="47" t="s">
        <v>60</v>
      </c>
      <c r="L5" s="48" t="s">
        <v>61</v>
      </c>
      <c r="M5" s="47" t="s">
        <v>62</v>
      </c>
      <c r="N5" s="43" t="s">
        <v>225</v>
      </c>
      <c r="O5" s="43" t="s">
        <v>422</v>
      </c>
      <c r="P5" s="43" t="s">
        <v>454</v>
      </c>
      <c r="Q5" s="43" t="s">
        <v>1280</v>
      </c>
      <c r="R5" s="43"/>
      <c r="S5" s="41" t="s">
        <v>63</v>
      </c>
      <c r="T5" s="58" t="s">
        <v>551</v>
      </c>
      <c r="U5">
        <v>1</v>
      </c>
      <c r="V5">
        <f>+U5+1</f>
        <v>2</v>
      </c>
      <c r="W5">
        <f t="shared" ref="W5:AS5" si="0">+V5+1</f>
        <v>3</v>
      </c>
      <c r="X5">
        <f t="shared" si="0"/>
        <v>4</v>
      </c>
      <c r="Y5">
        <f t="shared" si="0"/>
        <v>5</v>
      </c>
      <c r="Z5">
        <f t="shared" si="0"/>
        <v>6</v>
      </c>
      <c r="AA5">
        <f t="shared" si="0"/>
        <v>7</v>
      </c>
      <c r="AB5">
        <f t="shared" si="0"/>
        <v>8</v>
      </c>
      <c r="AC5">
        <f t="shared" si="0"/>
        <v>9</v>
      </c>
      <c r="AD5">
        <f t="shared" si="0"/>
        <v>10</v>
      </c>
      <c r="AE5">
        <f t="shared" si="0"/>
        <v>11</v>
      </c>
      <c r="AF5">
        <f t="shared" si="0"/>
        <v>12</v>
      </c>
      <c r="AG5">
        <f t="shared" si="0"/>
        <v>13</v>
      </c>
      <c r="AH5">
        <f t="shared" si="0"/>
        <v>14</v>
      </c>
      <c r="AI5">
        <f t="shared" si="0"/>
        <v>15</v>
      </c>
      <c r="AJ5">
        <f t="shared" si="0"/>
        <v>16</v>
      </c>
      <c r="AK5">
        <f t="shared" si="0"/>
        <v>17</v>
      </c>
      <c r="AL5">
        <f t="shared" si="0"/>
        <v>18</v>
      </c>
      <c r="AM5">
        <f t="shared" si="0"/>
        <v>19</v>
      </c>
      <c r="AN5">
        <f t="shared" si="0"/>
        <v>20</v>
      </c>
      <c r="AO5">
        <f t="shared" si="0"/>
        <v>21</v>
      </c>
      <c r="AP5">
        <f t="shared" si="0"/>
        <v>22</v>
      </c>
      <c r="AQ5">
        <f t="shared" si="0"/>
        <v>23</v>
      </c>
      <c r="AR5">
        <f t="shared" si="0"/>
        <v>24</v>
      </c>
      <c r="AS5">
        <f t="shared" si="0"/>
        <v>25</v>
      </c>
      <c r="AU5" s="2" t="s">
        <v>1486</v>
      </c>
      <c r="AV5" s="14" t="s">
        <v>586</v>
      </c>
      <c r="AW5" s="2" t="s">
        <v>1487</v>
      </c>
      <c r="AX5" s="14" t="s">
        <v>586</v>
      </c>
      <c r="AY5" s="2" t="s">
        <v>1488</v>
      </c>
      <c r="AZ5" s="14" t="s">
        <v>586</v>
      </c>
      <c r="BA5" s="2" t="s">
        <v>1489</v>
      </c>
      <c r="BB5" s="14" t="s">
        <v>586</v>
      </c>
      <c r="BC5" s="2" t="s">
        <v>1490</v>
      </c>
      <c r="BD5" s="14" t="s">
        <v>586</v>
      </c>
      <c r="BE5" s="2" t="s">
        <v>1491</v>
      </c>
      <c r="BF5" s="14" t="s">
        <v>586</v>
      </c>
      <c r="BG5" s="2" t="s">
        <v>1492</v>
      </c>
      <c r="BH5" s="14" t="s">
        <v>586</v>
      </c>
      <c r="BI5" s="2" t="s">
        <v>1493</v>
      </c>
      <c r="BJ5" s="14" t="s">
        <v>586</v>
      </c>
      <c r="BK5" s="2" t="s">
        <v>1494</v>
      </c>
      <c r="BL5" s="14" t="s">
        <v>586</v>
      </c>
      <c r="BM5" s="2" t="s">
        <v>1495</v>
      </c>
      <c r="BN5" s="14" t="s">
        <v>586</v>
      </c>
      <c r="BO5" s="2" t="s">
        <v>1496</v>
      </c>
      <c r="BP5" s="14" t="s">
        <v>586</v>
      </c>
      <c r="BQ5" s="2" t="s">
        <v>1497</v>
      </c>
      <c r="BR5" s="14" t="s">
        <v>586</v>
      </c>
      <c r="BS5" s="2" t="s">
        <v>1498</v>
      </c>
      <c r="BT5" s="14" t="s">
        <v>586</v>
      </c>
      <c r="BU5" s="2" t="s">
        <v>1499</v>
      </c>
      <c r="BV5" s="14" t="s">
        <v>586</v>
      </c>
      <c r="BW5" s="2" t="s">
        <v>1500</v>
      </c>
      <c r="BX5" s="14" t="s">
        <v>586</v>
      </c>
      <c r="BY5" s="2" t="s">
        <v>1501</v>
      </c>
      <c r="BZ5" s="14" t="s">
        <v>586</v>
      </c>
      <c r="CA5" s="2" t="s">
        <v>1502</v>
      </c>
      <c r="CB5" s="14" t="s">
        <v>586</v>
      </c>
      <c r="CC5" s="2" t="s">
        <v>1503</v>
      </c>
      <c r="CD5" s="14" t="s">
        <v>586</v>
      </c>
      <c r="CE5" s="2" t="s">
        <v>1504</v>
      </c>
      <c r="CF5" s="14" t="s">
        <v>586</v>
      </c>
      <c r="CG5" s="2" t="s">
        <v>1505</v>
      </c>
      <c r="CH5" s="14" t="s">
        <v>586</v>
      </c>
      <c r="CI5" s="2" t="s">
        <v>1506</v>
      </c>
      <c r="CJ5" s="14" t="s">
        <v>586</v>
      </c>
      <c r="CK5" s="2" t="s">
        <v>1507</v>
      </c>
      <c r="CL5" s="14" t="s">
        <v>586</v>
      </c>
      <c r="CM5" s="2" t="s">
        <v>1508</v>
      </c>
      <c r="CN5" s="14" t="s">
        <v>586</v>
      </c>
      <c r="CO5" s="2" t="s">
        <v>1509</v>
      </c>
      <c r="CP5" s="14" t="s">
        <v>586</v>
      </c>
      <c r="CQ5" s="2" t="s">
        <v>1510</v>
      </c>
      <c r="CR5" s="14" t="s">
        <v>586</v>
      </c>
    </row>
    <row r="6" spans="2:96" ht="7.5" customHeight="1" x14ac:dyDescent="0.25">
      <c r="C6" s="39"/>
      <c r="G6" s="45"/>
      <c r="Q6" s="11"/>
    </row>
    <row r="7" spans="2:96" x14ac:dyDescent="0.25">
      <c r="B7" s="191"/>
      <c r="C7" s="205"/>
      <c r="D7" s="62"/>
      <c r="E7" s="63"/>
      <c r="F7" s="64"/>
      <c r="G7" s="65"/>
      <c r="H7" s="165"/>
      <c r="I7" s="165"/>
      <c r="J7" s="94"/>
      <c r="K7" s="148"/>
      <c r="L7" s="11"/>
      <c r="M7" s="15"/>
      <c r="N7" s="35"/>
      <c r="O7" s="15"/>
      <c r="P7" s="35"/>
      <c r="Q7" s="35"/>
      <c r="R7" s="15"/>
      <c r="S7" s="24"/>
      <c r="T7" s="62"/>
      <c r="U7" s="202">
        <f t="shared" ref="U7:U25" si="1">+AV7</f>
        <v>0</v>
      </c>
      <c r="V7" s="202">
        <f t="shared" ref="V7:V25" si="2">+AX7</f>
        <v>0</v>
      </c>
      <c r="W7" s="202">
        <f t="shared" ref="W7:W25" si="3">+AZ7</f>
        <v>0</v>
      </c>
      <c r="X7" s="202">
        <f t="shared" ref="X7:X25" si="4">+BB7</f>
        <v>0</v>
      </c>
      <c r="Y7" s="202">
        <f t="shared" ref="Y7:Y25" si="5">+BD7</f>
        <v>0</v>
      </c>
      <c r="Z7" s="202">
        <f t="shared" ref="Z7:Z25" si="6">+BF7</f>
        <v>0</v>
      </c>
      <c r="AA7" s="202">
        <f t="shared" ref="AA7:AA25" si="7">+BH7</f>
        <v>0</v>
      </c>
      <c r="AB7" s="202">
        <f t="shared" ref="AB7:AB25" si="8">+BJ7</f>
        <v>0</v>
      </c>
      <c r="AC7" s="202">
        <f t="shared" ref="AC7:AC25" si="9">+BL7</f>
        <v>0</v>
      </c>
      <c r="AD7" s="202">
        <f t="shared" ref="AD7:AD25" si="10">+BN7</f>
        <v>0</v>
      </c>
      <c r="AE7" s="202">
        <f t="shared" ref="AE7:AE25" si="11">+BP7</f>
        <v>0</v>
      </c>
      <c r="AF7" s="202">
        <f t="shared" ref="AF7:AF25" si="12">+BR7</f>
        <v>0</v>
      </c>
      <c r="AG7" s="202">
        <f t="shared" ref="AG7:AG25" si="13">+BT7</f>
        <v>0</v>
      </c>
      <c r="AH7" s="202">
        <f t="shared" ref="AH7:AH25" si="14">+BV7</f>
        <v>0</v>
      </c>
      <c r="AI7" s="202">
        <f t="shared" ref="AI7:AI25" si="15">+BX7</f>
        <v>0</v>
      </c>
      <c r="AJ7" s="202">
        <f t="shared" ref="AJ7:AJ25" si="16">+BZ7</f>
        <v>0</v>
      </c>
      <c r="AK7" s="202">
        <f t="shared" ref="AK7:AK25" si="17">+CB7</f>
        <v>0</v>
      </c>
      <c r="AL7" s="202">
        <f t="shared" ref="AL7:AL25" si="18">+CD7</f>
        <v>0</v>
      </c>
      <c r="AM7" s="202">
        <f t="shared" ref="AM7:AM25" si="19">+CF7</f>
        <v>0</v>
      </c>
      <c r="AN7" s="202">
        <f t="shared" ref="AN7:AN25" si="20">+CH7</f>
        <v>0</v>
      </c>
      <c r="AO7" s="202">
        <f t="shared" ref="AO7:AO25" si="21">+CJ7</f>
        <v>0</v>
      </c>
      <c r="AP7" s="202">
        <f t="shared" ref="AP7:AP25" si="22">+CL7</f>
        <v>0</v>
      </c>
      <c r="AQ7" s="202">
        <f t="shared" ref="AQ7:AQ25" si="23">+CN7</f>
        <v>0</v>
      </c>
      <c r="AR7" s="202">
        <f t="shared" ref="AR7:AR25" si="24">+CP7</f>
        <v>0</v>
      </c>
      <c r="AS7" s="202">
        <f t="shared" ref="AS7:AS25" si="25">+CR7</f>
        <v>0</v>
      </c>
      <c r="AU7" s="200"/>
      <c r="AV7" s="201"/>
      <c r="AW7" s="200"/>
      <c r="AX7" s="201"/>
      <c r="AY7" s="200"/>
      <c r="AZ7" s="201"/>
      <c r="BA7" s="200"/>
      <c r="BB7" s="201"/>
      <c r="BC7" s="200"/>
      <c r="BD7" s="201"/>
      <c r="BE7" s="200"/>
      <c r="BF7" s="201"/>
      <c r="BG7" s="200"/>
      <c r="BH7" s="201"/>
      <c r="BI7" s="200"/>
      <c r="BJ7" s="201"/>
      <c r="BK7" s="200"/>
      <c r="BL7" s="201"/>
      <c r="BM7" s="200"/>
      <c r="BN7" s="201"/>
      <c r="BO7" s="200"/>
      <c r="BP7" s="201"/>
      <c r="BQ7" s="200"/>
      <c r="BR7" s="201"/>
      <c r="BS7" s="200"/>
      <c r="BT7" s="201"/>
      <c r="BU7" s="200"/>
      <c r="BV7" s="201"/>
      <c r="BW7" s="200"/>
      <c r="BX7" s="201"/>
      <c r="BY7" s="200"/>
      <c r="BZ7" s="201"/>
      <c r="CA7" s="200"/>
      <c r="CB7" s="201"/>
      <c r="CC7" s="200"/>
      <c r="CD7" s="201"/>
      <c r="CE7" s="200"/>
      <c r="CF7" s="201"/>
      <c r="CG7" s="200"/>
      <c r="CH7" s="201"/>
      <c r="CI7" s="200"/>
      <c r="CJ7" s="201"/>
      <c r="CK7" s="200"/>
      <c r="CL7" s="201"/>
      <c r="CM7" s="200"/>
      <c r="CN7" s="201"/>
      <c r="CO7" s="200"/>
      <c r="CP7" s="201"/>
      <c r="CQ7" s="200"/>
      <c r="CR7" s="201"/>
    </row>
    <row r="8" spans="2:96" x14ac:dyDescent="0.25">
      <c r="B8" s="191"/>
      <c r="C8" s="224">
        <v>2019</v>
      </c>
      <c r="D8" s="102" t="s">
        <v>1723</v>
      </c>
      <c r="E8" s="225" t="s">
        <v>1650</v>
      </c>
      <c r="F8" s="226">
        <v>43704</v>
      </c>
      <c r="G8" s="227" t="s">
        <v>1341</v>
      </c>
      <c r="H8" s="228">
        <v>0.3</v>
      </c>
      <c r="I8" s="228">
        <f t="shared" ref="I8:I10" si="26">(SMALL(U8:AT8,COUNTIF(U8:AT8,0)+1)/100)</f>
        <v>0.11</v>
      </c>
      <c r="J8" s="229">
        <v>2000000</v>
      </c>
      <c r="K8" s="230">
        <f t="shared" ref="K8:K10" si="27">+I8-H8</f>
        <v>-0.19</v>
      </c>
      <c r="L8" s="231"/>
      <c r="M8" s="232">
        <f t="shared" ref="M8:M10" si="28">COUNTIF(U8:AT8,"&gt;0")</f>
        <v>5</v>
      </c>
      <c r="N8" s="233" t="s">
        <v>226</v>
      </c>
      <c r="O8" s="232">
        <v>3</v>
      </c>
      <c r="P8" s="233" t="s">
        <v>459</v>
      </c>
      <c r="Q8" s="233"/>
      <c r="R8" s="15"/>
      <c r="S8" s="24"/>
      <c r="T8" s="62"/>
      <c r="U8" s="202">
        <f>+AV8</f>
        <v>11</v>
      </c>
      <c r="V8" s="202">
        <f>+AX8</f>
        <v>48</v>
      </c>
      <c r="W8" s="202">
        <f>+AZ8</f>
        <v>15.75</v>
      </c>
      <c r="X8" s="202">
        <f>+BB8</f>
        <v>31</v>
      </c>
      <c r="Y8" s="202">
        <f>+BD8</f>
        <v>33</v>
      </c>
      <c r="Z8" s="202">
        <f>+BF8</f>
        <v>0</v>
      </c>
      <c r="AA8" s="202">
        <f>+BH8</f>
        <v>0</v>
      </c>
      <c r="AB8" s="202">
        <f>+BJ8</f>
        <v>0</v>
      </c>
      <c r="AC8" s="202">
        <f>+BL8</f>
        <v>0</v>
      </c>
      <c r="AD8" s="202">
        <f>+BN8</f>
        <v>0</v>
      </c>
      <c r="AE8" s="202">
        <f>+BP8</f>
        <v>0</v>
      </c>
      <c r="AF8" s="202">
        <f>+BR8</f>
        <v>0</v>
      </c>
      <c r="AG8" s="202">
        <f>+BT8</f>
        <v>0</v>
      </c>
      <c r="AH8" s="202">
        <f>+BV8</f>
        <v>0</v>
      </c>
      <c r="AI8" s="202">
        <f>+BX8</f>
        <v>0</v>
      </c>
      <c r="AJ8" s="202">
        <f>+BZ8</f>
        <v>0</v>
      </c>
      <c r="AK8" s="202">
        <f>+CB8</f>
        <v>0</v>
      </c>
      <c r="AL8" s="202">
        <f>+CD8</f>
        <v>0</v>
      </c>
      <c r="AM8" s="202">
        <f>+CF8</f>
        <v>0</v>
      </c>
      <c r="AN8" s="202">
        <f>+CH8</f>
        <v>0</v>
      </c>
      <c r="AO8" s="202">
        <f>+CJ8</f>
        <v>0</v>
      </c>
      <c r="AP8" s="202">
        <f>+CL8</f>
        <v>0</v>
      </c>
      <c r="AQ8" s="202">
        <f>+CN8</f>
        <v>0</v>
      </c>
      <c r="AR8" s="202">
        <f>+CP8</f>
        <v>0</v>
      </c>
      <c r="AS8" s="202">
        <f>+CR8</f>
        <v>0</v>
      </c>
      <c r="AU8" s="200" t="s">
        <v>1040</v>
      </c>
      <c r="AV8" s="201">
        <v>11</v>
      </c>
      <c r="AW8" s="200" t="s">
        <v>1660</v>
      </c>
      <c r="AX8" s="201">
        <v>48</v>
      </c>
      <c r="AY8" s="200" t="s">
        <v>1697</v>
      </c>
      <c r="AZ8" s="201">
        <v>15.75</v>
      </c>
      <c r="BA8" s="200" t="s">
        <v>824</v>
      </c>
      <c r="BB8" s="201">
        <v>31</v>
      </c>
      <c r="BC8" s="200" t="s">
        <v>1463</v>
      </c>
      <c r="BD8" s="201">
        <v>33</v>
      </c>
      <c r="BE8" s="200"/>
      <c r="BF8" s="201"/>
      <c r="BG8" s="200"/>
      <c r="BH8" s="201"/>
      <c r="BI8" s="200"/>
      <c r="BJ8" s="201"/>
      <c r="BK8" s="200"/>
      <c r="BL8" s="201"/>
      <c r="BM8" s="200"/>
      <c r="BN8" s="201"/>
      <c r="BO8" s="200"/>
      <c r="BP8" s="201"/>
      <c r="BQ8" s="200"/>
      <c r="BR8" s="201"/>
      <c r="BS8" s="200"/>
      <c r="BT8" s="201"/>
      <c r="BU8" s="200"/>
      <c r="BV8" s="201"/>
      <c r="BW8" s="200"/>
      <c r="BX8" s="201"/>
      <c r="BY8" s="200"/>
      <c r="BZ8" s="201"/>
      <c r="CA8" s="200"/>
      <c r="CB8" s="201"/>
      <c r="CC8" s="200"/>
      <c r="CD8" s="201"/>
      <c r="CE8" s="200"/>
      <c r="CF8" s="201"/>
      <c r="CG8" s="200"/>
      <c r="CH8" s="201"/>
      <c r="CI8" s="200"/>
      <c r="CJ8" s="201"/>
      <c r="CK8" s="200"/>
      <c r="CL8" s="201"/>
      <c r="CM8" s="200"/>
      <c r="CN8" s="201"/>
      <c r="CO8" s="200"/>
      <c r="CP8" s="201"/>
      <c r="CQ8" s="200"/>
      <c r="CR8" s="201"/>
    </row>
    <row r="9" spans="2:96" x14ac:dyDescent="0.25">
      <c r="B9" s="191"/>
      <c r="C9" s="224">
        <v>2019</v>
      </c>
      <c r="D9" s="102" t="s">
        <v>1729</v>
      </c>
      <c r="E9" s="225" t="s">
        <v>1730</v>
      </c>
      <c r="F9" s="226">
        <v>43692</v>
      </c>
      <c r="G9" s="227" t="s">
        <v>34</v>
      </c>
      <c r="H9" s="228">
        <v>0.12</v>
      </c>
      <c r="I9" s="228">
        <f t="shared" ref="I9" si="29">(SMALL(U9:AT9,COUNTIF(U9:AT9,0)+1)/100)</f>
        <v>8.1000000000000013E-3</v>
      </c>
      <c r="J9" s="229">
        <v>88555000</v>
      </c>
      <c r="K9" s="230">
        <f t="shared" ref="K9" si="30">+I9-H9</f>
        <v>-0.1119</v>
      </c>
      <c r="L9" s="231"/>
      <c r="M9" s="232">
        <f t="shared" ref="M9" si="31">COUNTIF(U9:AT9,"&gt;0")</f>
        <v>13</v>
      </c>
      <c r="N9" s="233" t="s">
        <v>226</v>
      </c>
      <c r="O9" s="232">
        <v>3</v>
      </c>
      <c r="P9" s="233" t="s">
        <v>457</v>
      </c>
      <c r="Q9" s="233"/>
      <c r="R9" s="15"/>
      <c r="S9" s="24"/>
      <c r="T9" s="62"/>
      <c r="U9" s="202">
        <f t="shared" ref="U9" si="32">+AV9</f>
        <v>29.2</v>
      </c>
      <c r="V9" s="202">
        <f t="shared" ref="V9" si="33">+AX9</f>
        <v>25.75</v>
      </c>
      <c r="W9" s="202">
        <f t="shared" ref="W9" si="34">+AZ9</f>
        <v>14.99</v>
      </c>
      <c r="X9" s="202">
        <f t="shared" ref="X9" si="35">+BB9</f>
        <v>15.87</v>
      </c>
      <c r="Y9" s="202">
        <f t="shared" ref="Y9" si="36">+BD9</f>
        <v>17</v>
      </c>
      <c r="Z9" s="202">
        <f t="shared" ref="Z9" si="37">+BF9</f>
        <v>13.9</v>
      </c>
      <c r="AA9" s="202">
        <f t="shared" ref="AA9" si="38">+BH9</f>
        <v>12.47</v>
      </c>
      <c r="AB9" s="202">
        <f t="shared" ref="AB9" si="39">+BJ9</f>
        <v>14.48</v>
      </c>
      <c r="AC9" s="202">
        <f t="shared" ref="AC9" si="40">+BL9</f>
        <v>11.97</v>
      </c>
      <c r="AD9" s="202">
        <f t="shared" ref="AD9" si="41">+BN9</f>
        <v>0</v>
      </c>
      <c r="AE9" s="202">
        <f t="shared" ref="AE9" si="42">+BP9</f>
        <v>11.75</v>
      </c>
      <c r="AF9" s="202">
        <f t="shared" ref="AF9" si="43">+BR9</f>
        <v>6.95</v>
      </c>
      <c r="AG9" s="202">
        <f t="shared" ref="AG9" si="44">+BT9</f>
        <v>6.94</v>
      </c>
      <c r="AH9" s="202">
        <f t="shared" ref="AH9" si="45">+BV9</f>
        <v>0</v>
      </c>
      <c r="AI9" s="202">
        <f t="shared" ref="AI9" si="46">+BX9</f>
        <v>0.81</v>
      </c>
      <c r="AJ9" s="202">
        <f t="shared" ref="AJ9" si="47">+BZ9</f>
        <v>0</v>
      </c>
      <c r="AK9" s="202">
        <f t="shared" ref="AK9" si="48">+CB9</f>
        <v>0</v>
      </c>
      <c r="AL9" s="202">
        <f t="shared" ref="AL9" si="49">+CD9</f>
        <v>0</v>
      </c>
      <c r="AM9" s="202">
        <f t="shared" ref="AM9" si="50">+CF9</f>
        <v>0</v>
      </c>
      <c r="AN9" s="202">
        <f t="shared" ref="AN9" si="51">+CH9</f>
        <v>0</v>
      </c>
      <c r="AO9" s="202">
        <f t="shared" ref="AO9" si="52">+CJ9</f>
        <v>0</v>
      </c>
      <c r="AP9" s="202">
        <f t="shared" ref="AP9" si="53">+CL9</f>
        <v>0</v>
      </c>
      <c r="AQ9" s="202">
        <f t="shared" ref="AQ9" si="54">+CN9</f>
        <v>0</v>
      </c>
      <c r="AR9" s="202">
        <f t="shared" ref="AR9" si="55">+CP9</f>
        <v>0</v>
      </c>
      <c r="AS9" s="202">
        <f t="shared" ref="AS9" si="56">+CR9</f>
        <v>0</v>
      </c>
      <c r="AU9" s="200" t="s">
        <v>1017</v>
      </c>
      <c r="AV9" s="201">
        <v>29.2</v>
      </c>
      <c r="AW9" s="200" t="s">
        <v>561</v>
      </c>
      <c r="AX9" s="201">
        <v>25.75</v>
      </c>
      <c r="AY9" s="200" t="s">
        <v>1458</v>
      </c>
      <c r="AZ9" s="201">
        <v>14.99</v>
      </c>
      <c r="BA9" s="200" t="s">
        <v>440</v>
      </c>
      <c r="BB9" s="201">
        <v>15.87</v>
      </c>
      <c r="BC9" s="200" t="s">
        <v>665</v>
      </c>
      <c r="BD9" s="201">
        <v>17</v>
      </c>
      <c r="BE9" s="200" t="s">
        <v>1725</v>
      </c>
      <c r="BF9" s="201">
        <v>13.9</v>
      </c>
      <c r="BG9" s="200" t="s">
        <v>651</v>
      </c>
      <c r="BH9" s="201">
        <v>12.47</v>
      </c>
      <c r="BI9" s="200" t="s">
        <v>487</v>
      </c>
      <c r="BJ9" s="201">
        <v>14.48</v>
      </c>
      <c r="BK9" s="200" t="s">
        <v>562</v>
      </c>
      <c r="BL9" s="201">
        <v>11.97</v>
      </c>
      <c r="BM9" s="200"/>
      <c r="BN9" s="201"/>
      <c r="BO9" s="200" t="s">
        <v>1727</v>
      </c>
      <c r="BP9" s="201">
        <v>11.75</v>
      </c>
      <c r="BQ9" s="200" t="s">
        <v>517</v>
      </c>
      <c r="BR9" s="201">
        <v>6.95</v>
      </c>
      <c r="BS9" s="200" t="s">
        <v>541</v>
      </c>
      <c r="BT9" s="201">
        <v>6.94</v>
      </c>
      <c r="BU9" s="200"/>
      <c r="BV9" s="201"/>
      <c r="BW9" s="200" t="s">
        <v>289</v>
      </c>
      <c r="BX9" s="201">
        <v>0.81</v>
      </c>
      <c r="BY9" s="200"/>
      <c r="BZ9" s="201"/>
      <c r="CA9" s="200"/>
      <c r="CB9" s="201"/>
      <c r="CC9" s="200"/>
      <c r="CD9" s="201"/>
      <c r="CE9" s="200"/>
      <c r="CF9" s="201"/>
      <c r="CG9" s="200"/>
      <c r="CH9" s="201"/>
      <c r="CI9" s="200"/>
      <c r="CJ9" s="201"/>
      <c r="CK9" s="200"/>
      <c r="CL9" s="201"/>
      <c r="CM9" s="200"/>
      <c r="CN9" s="201"/>
      <c r="CO9" s="200"/>
      <c r="CP9" s="201"/>
      <c r="CQ9" s="200"/>
      <c r="CR9" s="201"/>
    </row>
    <row r="10" spans="2:96" x14ac:dyDescent="0.25">
      <c r="B10" s="191"/>
      <c r="C10" s="224">
        <v>2019</v>
      </c>
      <c r="D10" s="102" t="s">
        <v>1724</v>
      </c>
      <c r="E10" s="225" t="s">
        <v>1731</v>
      </c>
      <c r="F10" s="226">
        <v>43692</v>
      </c>
      <c r="G10" s="227" t="s">
        <v>34</v>
      </c>
      <c r="H10" s="228">
        <v>0.12</v>
      </c>
      <c r="I10" s="228">
        <f t="shared" si="26"/>
        <v>8.1000000000000013E-3</v>
      </c>
      <c r="J10" s="229">
        <v>88555000</v>
      </c>
      <c r="K10" s="230">
        <f t="shared" si="27"/>
        <v>-0.1119</v>
      </c>
      <c r="L10" s="231"/>
      <c r="M10" s="232">
        <f t="shared" si="28"/>
        <v>15</v>
      </c>
      <c r="N10" s="233" t="s">
        <v>226</v>
      </c>
      <c r="O10" s="232">
        <v>3</v>
      </c>
      <c r="P10" s="233" t="s">
        <v>457</v>
      </c>
      <c r="Q10" s="233"/>
      <c r="R10" s="15"/>
      <c r="S10" s="24"/>
      <c r="T10" s="62"/>
      <c r="U10" s="202">
        <f t="shared" ref="U10" si="57">+AV10</f>
        <v>29.2</v>
      </c>
      <c r="V10" s="202">
        <f t="shared" ref="V10" si="58">+AX10</f>
        <v>25.75</v>
      </c>
      <c r="W10" s="202">
        <f t="shared" ref="W10" si="59">+AZ10</f>
        <v>19.989999999999998</v>
      </c>
      <c r="X10" s="202">
        <f t="shared" ref="X10" si="60">+BB10</f>
        <v>17.97</v>
      </c>
      <c r="Y10" s="202">
        <f t="shared" ref="Y10" si="61">+BD10</f>
        <v>17</v>
      </c>
      <c r="Z10" s="202">
        <f t="shared" ref="Z10" si="62">+BF10</f>
        <v>13.9</v>
      </c>
      <c r="AA10" s="202">
        <f t="shared" ref="AA10" si="63">+BH10</f>
        <v>12.47</v>
      </c>
      <c r="AB10" s="202">
        <f t="shared" ref="AB10" si="64">+BJ10</f>
        <v>12</v>
      </c>
      <c r="AC10" s="202">
        <f t="shared" ref="AC10" si="65">+BL10</f>
        <v>11.83</v>
      </c>
      <c r="AD10" s="202">
        <f t="shared" ref="AD10" si="66">+BN10</f>
        <v>11.43</v>
      </c>
      <c r="AE10" s="202">
        <f t="shared" ref="AE10" si="67">+BP10</f>
        <v>7.75</v>
      </c>
      <c r="AF10" s="202">
        <f t="shared" ref="AF10" si="68">+BR10</f>
        <v>6.95</v>
      </c>
      <c r="AG10" s="202">
        <f t="shared" ref="AG10" si="69">+BT10</f>
        <v>6.94</v>
      </c>
      <c r="AH10" s="202">
        <f t="shared" ref="AH10" si="70">+BV10</f>
        <v>3.98</v>
      </c>
      <c r="AI10" s="202">
        <f t="shared" ref="AI10" si="71">+BX10</f>
        <v>0.81</v>
      </c>
      <c r="AJ10" s="202">
        <f t="shared" ref="AJ10" si="72">+BZ10</f>
        <v>0</v>
      </c>
      <c r="AK10" s="202">
        <f t="shared" ref="AK10" si="73">+CB10</f>
        <v>0</v>
      </c>
      <c r="AL10" s="202">
        <f t="shared" ref="AL10" si="74">+CD10</f>
        <v>0</v>
      </c>
      <c r="AM10" s="202">
        <f t="shared" ref="AM10" si="75">+CF10</f>
        <v>0</v>
      </c>
      <c r="AN10" s="202">
        <f t="shared" ref="AN10" si="76">+CH10</f>
        <v>0</v>
      </c>
      <c r="AO10" s="202">
        <f t="shared" ref="AO10" si="77">+CJ10</f>
        <v>0</v>
      </c>
      <c r="AP10" s="202">
        <f t="shared" ref="AP10" si="78">+CL10</f>
        <v>0</v>
      </c>
      <c r="AQ10" s="202">
        <f t="shared" ref="AQ10" si="79">+CN10</f>
        <v>0</v>
      </c>
      <c r="AR10" s="202">
        <f t="shared" ref="AR10" si="80">+CP10</f>
        <v>0</v>
      </c>
      <c r="AS10" s="202">
        <f t="shared" ref="AS10" si="81">+CR10</f>
        <v>0</v>
      </c>
      <c r="AU10" s="200" t="s">
        <v>1017</v>
      </c>
      <c r="AV10" s="201">
        <v>29.2</v>
      </c>
      <c r="AW10" s="200" t="s">
        <v>561</v>
      </c>
      <c r="AX10" s="201">
        <v>25.75</v>
      </c>
      <c r="AY10" s="200" t="s">
        <v>1458</v>
      </c>
      <c r="AZ10" s="201">
        <v>19.989999999999998</v>
      </c>
      <c r="BA10" s="200" t="s">
        <v>440</v>
      </c>
      <c r="BB10" s="201">
        <v>17.97</v>
      </c>
      <c r="BC10" s="200" t="s">
        <v>665</v>
      </c>
      <c r="BD10" s="201">
        <v>17</v>
      </c>
      <c r="BE10" s="200" t="s">
        <v>1725</v>
      </c>
      <c r="BF10" s="201">
        <v>13.9</v>
      </c>
      <c r="BG10" s="200" t="s">
        <v>651</v>
      </c>
      <c r="BH10" s="201">
        <v>12.47</v>
      </c>
      <c r="BI10" s="200" t="s">
        <v>487</v>
      </c>
      <c r="BJ10" s="201">
        <v>12</v>
      </c>
      <c r="BK10" s="200" t="s">
        <v>562</v>
      </c>
      <c r="BL10" s="201">
        <v>11.83</v>
      </c>
      <c r="BM10" s="200" t="s">
        <v>1726</v>
      </c>
      <c r="BN10" s="201">
        <v>11.43</v>
      </c>
      <c r="BO10" s="200" t="s">
        <v>1727</v>
      </c>
      <c r="BP10" s="201">
        <v>7.75</v>
      </c>
      <c r="BQ10" s="200" t="s">
        <v>517</v>
      </c>
      <c r="BR10" s="201">
        <v>6.95</v>
      </c>
      <c r="BS10" s="200" t="s">
        <v>541</v>
      </c>
      <c r="BT10" s="201">
        <v>6.94</v>
      </c>
      <c r="BU10" s="200" t="s">
        <v>1728</v>
      </c>
      <c r="BV10" s="201">
        <v>3.98</v>
      </c>
      <c r="BW10" s="200" t="s">
        <v>289</v>
      </c>
      <c r="BX10" s="201">
        <v>0.81</v>
      </c>
      <c r="BY10" s="200"/>
      <c r="BZ10" s="201"/>
      <c r="CA10" s="200"/>
      <c r="CB10" s="201"/>
      <c r="CC10" s="200"/>
      <c r="CD10" s="201"/>
      <c r="CE10" s="200"/>
      <c r="CF10" s="201"/>
      <c r="CG10" s="200"/>
      <c r="CH10" s="201"/>
      <c r="CI10" s="200"/>
      <c r="CJ10" s="201"/>
      <c r="CK10" s="200"/>
      <c r="CL10" s="201"/>
      <c r="CM10" s="200"/>
      <c r="CN10" s="201"/>
      <c r="CO10" s="200"/>
      <c r="CP10" s="201"/>
      <c r="CQ10" s="200"/>
      <c r="CR10" s="201"/>
    </row>
    <row r="11" spans="2:96" x14ac:dyDescent="0.25">
      <c r="B11" s="191"/>
      <c r="C11" s="224">
        <v>2019</v>
      </c>
      <c r="D11" s="102" t="s">
        <v>1696</v>
      </c>
      <c r="E11" s="225" t="s">
        <v>1650</v>
      </c>
      <c r="F11" s="226">
        <v>43683</v>
      </c>
      <c r="G11" s="227" t="s">
        <v>1341</v>
      </c>
      <c r="H11" s="228">
        <v>0.35</v>
      </c>
      <c r="I11" s="228">
        <f t="shared" ref="I11:I25" si="82">(SMALL(U11:AT11,COUNTIF(U11:AT11,0)+1)/100)</f>
        <v>0.14749999999999999</v>
      </c>
      <c r="J11" s="229">
        <v>1000000</v>
      </c>
      <c r="K11" s="230">
        <f t="shared" ref="K11:K25" si="83">+I11-H11</f>
        <v>-0.20249999999999999</v>
      </c>
      <c r="L11" s="231"/>
      <c r="M11" s="232">
        <f t="shared" ref="M11:M25" si="84">COUNTIF(U11:AT11,"&gt;0")</f>
        <v>4</v>
      </c>
      <c r="N11" s="233" t="s">
        <v>93</v>
      </c>
      <c r="O11" s="232">
        <v>3</v>
      </c>
      <c r="P11" s="233" t="s">
        <v>458</v>
      </c>
      <c r="Q11" s="233"/>
      <c r="R11" s="15"/>
      <c r="S11" s="24"/>
      <c r="T11" s="62"/>
      <c r="U11" s="202">
        <f>+AV11</f>
        <v>16</v>
      </c>
      <c r="V11" s="202">
        <f>+AX11</f>
        <v>48</v>
      </c>
      <c r="W11" s="202">
        <f>+AZ11</f>
        <v>14.75</v>
      </c>
      <c r="X11" s="202">
        <f>+BB11</f>
        <v>65</v>
      </c>
      <c r="Y11" s="202">
        <f>+BD11</f>
        <v>0</v>
      </c>
      <c r="Z11" s="202">
        <f>+BF11</f>
        <v>0</v>
      </c>
      <c r="AA11" s="202">
        <f>+BH11</f>
        <v>0</v>
      </c>
      <c r="AB11" s="202">
        <f>+BJ11</f>
        <v>0</v>
      </c>
      <c r="AC11" s="202">
        <f>+BL11</f>
        <v>0</v>
      </c>
      <c r="AD11" s="202">
        <f>+BN11</f>
        <v>0</v>
      </c>
      <c r="AE11" s="202">
        <f>+BP11</f>
        <v>0</v>
      </c>
      <c r="AF11" s="202">
        <f>+BR11</f>
        <v>0</v>
      </c>
      <c r="AG11" s="202">
        <f>+BT11</f>
        <v>0</v>
      </c>
      <c r="AH11" s="202">
        <f>+BV11</f>
        <v>0</v>
      </c>
      <c r="AI11" s="202">
        <f>+BX11</f>
        <v>0</v>
      </c>
      <c r="AJ11" s="202">
        <f>+BZ11</f>
        <v>0</v>
      </c>
      <c r="AK11" s="202">
        <f>+CB11</f>
        <v>0</v>
      </c>
      <c r="AL11" s="202">
        <f>+CD11</f>
        <v>0</v>
      </c>
      <c r="AM11" s="202">
        <f>+CF11</f>
        <v>0</v>
      </c>
      <c r="AN11" s="202">
        <f>+CH11</f>
        <v>0</v>
      </c>
      <c r="AO11" s="202">
        <f>+CJ11</f>
        <v>0</v>
      </c>
      <c r="AP11" s="202">
        <f>+CL11</f>
        <v>0</v>
      </c>
      <c r="AQ11" s="202">
        <f>+CN11</f>
        <v>0</v>
      </c>
      <c r="AR11" s="202">
        <f>+CP11</f>
        <v>0</v>
      </c>
      <c r="AS11" s="202">
        <f>+CR11</f>
        <v>0</v>
      </c>
      <c r="AU11" s="200" t="s">
        <v>1040</v>
      </c>
      <c r="AV11" s="201">
        <v>16</v>
      </c>
      <c r="AW11" s="200" t="s">
        <v>1660</v>
      </c>
      <c r="AX11" s="201">
        <v>48</v>
      </c>
      <c r="AY11" s="200" t="s">
        <v>1697</v>
      </c>
      <c r="AZ11" s="201">
        <v>14.75</v>
      </c>
      <c r="BA11" s="200" t="s">
        <v>1698</v>
      </c>
      <c r="BB11" s="201">
        <v>65</v>
      </c>
      <c r="BC11" s="200"/>
      <c r="BD11" s="201"/>
      <c r="BE11" s="200"/>
      <c r="BF11" s="201"/>
      <c r="BG11" s="200"/>
      <c r="BH11" s="201"/>
      <c r="BI11" s="200"/>
      <c r="BJ11" s="201"/>
      <c r="BK11" s="200"/>
      <c r="BL11" s="201"/>
      <c r="BM11" s="200"/>
      <c r="BN11" s="201"/>
      <c r="BO11" s="200"/>
      <c r="BP11" s="201"/>
      <c r="BQ11" s="200"/>
      <c r="BR11" s="201"/>
      <c r="BS11" s="200"/>
      <c r="BT11" s="201"/>
      <c r="BU11" s="200"/>
      <c r="BV11" s="201"/>
      <c r="BW11" s="200"/>
      <c r="BX11" s="201"/>
      <c r="BY11" s="200"/>
      <c r="BZ11" s="201"/>
      <c r="CA11" s="200"/>
      <c r="CB11" s="201"/>
      <c r="CC11" s="200"/>
      <c r="CD11" s="201"/>
      <c r="CE11" s="200"/>
      <c r="CF11" s="201"/>
      <c r="CG11" s="200"/>
      <c r="CH11" s="201"/>
      <c r="CI11" s="200"/>
      <c r="CJ11" s="201"/>
      <c r="CK11" s="200"/>
      <c r="CL11" s="201"/>
      <c r="CM11" s="200"/>
      <c r="CN11" s="201"/>
      <c r="CO11" s="200"/>
      <c r="CP11" s="201"/>
      <c r="CQ11" s="200"/>
      <c r="CR11" s="201"/>
    </row>
    <row r="12" spans="2:96" x14ac:dyDescent="0.25">
      <c r="B12" s="191"/>
      <c r="C12" s="224">
        <v>2019</v>
      </c>
      <c r="D12" s="102" t="s">
        <v>1680</v>
      </c>
      <c r="E12" s="225" t="s">
        <v>1681</v>
      </c>
      <c r="F12" s="226">
        <v>43657</v>
      </c>
      <c r="G12" s="227" t="s">
        <v>34</v>
      </c>
      <c r="H12" s="228">
        <v>0.1</v>
      </c>
      <c r="I12" s="228">
        <f t="shared" si="82"/>
        <v>9.0000000000000011E-3</v>
      </c>
      <c r="J12" s="229">
        <v>10000000</v>
      </c>
      <c r="K12" s="230">
        <f t="shared" si="83"/>
        <v>-9.0999999999999998E-2</v>
      </c>
      <c r="L12" s="231"/>
      <c r="M12" s="232">
        <f t="shared" si="84"/>
        <v>14</v>
      </c>
      <c r="N12" s="233" t="s">
        <v>25</v>
      </c>
      <c r="O12" s="232">
        <v>3</v>
      </c>
      <c r="P12" s="233" t="s">
        <v>492</v>
      </c>
      <c r="Q12" s="233"/>
      <c r="R12" s="15"/>
      <c r="S12" s="24"/>
      <c r="T12" s="62"/>
      <c r="U12" s="202">
        <f t="shared" si="1"/>
        <v>30</v>
      </c>
      <c r="V12" s="202">
        <f t="shared" si="2"/>
        <v>29.6</v>
      </c>
      <c r="W12" s="202">
        <f t="shared" si="3"/>
        <v>27.45</v>
      </c>
      <c r="X12" s="202">
        <f t="shared" si="4"/>
        <v>18.350000000000001</v>
      </c>
      <c r="Y12" s="202">
        <f t="shared" si="5"/>
        <v>17.48</v>
      </c>
      <c r="Z12" s="202">
        <f t="shared" si="6"/>
        <v>17</v>
      </c>
      <c r="AA12" s="202">
        <f t="shared" si="7"/>
        <v>16</v>
      </c>
      <c r="AB12" s="202">
        <f t="shared" si="8"/>
        <v>14.88</v>
      </c>
      <c r="AC12" s="202">
        <f t="shared" si="9"/>
        <v>14.39</v>
      </c>
      <c r="AD12" s="202">
        <f t="shared" si="10"/>
        <v>14</v>
      </c>
      <c r="AE12" s="202">
        <f t="shared" si="11"/>
        <v>13.88</v>
      </c>
      <c r="AF12" s="202">
        <f t="shared" si="12"/>
        <v>12</v>
      </c>
      <c r="AG12" s="202">
        <f t="shared" si="13"/>
        <v>11.73</v>
      </c>
      <c r="AH12" s="202">
        <f t="shared" si="14"/>
        <v>0.9</v>
      </c>
      <c r="AI12" s="202">
        <f t="shared" si="15"/>
        <v>0</v>
      </c>
      <c r="AJ12" s="202">
        <f t="shared" si="16"/>
        <v>0</v>
      </c>
      <c r="AK12" s="202">
        <f t="shared" si="17"/>
        <v>0</v>
      </c>
      <c r="AL12" s="202">
        <f t="shared" si="18"/>
        <v>0</v>
      </c>
      <c r="AM12" s="202">
        <f t="shared" si="19"/>
        <v>0</v>
      </c>
      <c r="AN12" s="202">
        <f t="shared" si="20"/>
        <v>0</v>
      </c>
      <c r="AO12" s="202">
        <f t="shared" si="21"/>
        <v>0</v>
      </c>
      <c r="AP12" s="202">
        <f t="shared" si="22"/>
        <v>0</v>
      </c>
      <c r="AQ12" s="202">
        <f t="shared" si="23"/>
        <v>0</v>
      </c>
      <c r="AR12" s="202">
        <f t="shared" si="24"/>
        <v>0</v>
      </c>
      <c r="AS12" s="202">
        <f t="shared" si="25"/>
        <v>0</v>
      </c>
      <c r="AU12" s="200" t="s">
        <v>631</v>
      </c>
      <c r="AV12" s="201">
        <v>30</v>
      </c>
      <c r="AW12" s="200" t="s">
        <v>561</v>
      </c>
      <c r="AX12" s="201">
        <v>29.6</v>
      </c>
      <c r="AY12" s="200" t="s">
        <v>1540</v>
      </c>
      <c r="AZ12" s="201">
        <v>27.45</v>
      </c>
      <c r="BA12" s="200" t="s">
        <v>1604</v>
      </c>
      <c r="BB12" s="201">
        <v>18.350000000000001</v>
      </c>
      <c r="BC12" s="200" t="s">
        <v>676</v>
      </c>
      <c r="BD12" s="201">
        <v>17.48</v>
      </c>
      <c r="BE12" s="200" t="s">
        <v>1017</v>
      </c>
      <c r="BF12" s="201">
        <v>17</v>
      </c>
      <c r="BG12" s="200" t="s">
        <v>557</v>
      </c>
      <c r="BH12" s="201">
        <v>16</v>
      </c>
      <c r="BI12" s="200" t="s">
        <v>440</v>
      </c>
      <c r="BJ12" s="201">
        <v>14.88</v>
      </c>
      <c r="BK12" s="200" t="s">
        <v>1131</v>
      </c>
      <c r="BL12" s="201">
        <v>14.39</v>
      </c>
      <c r="BM12" s="200" t="s">
        <v>491</v>
      </c>
      <c r="BN12" s="201">
        <v>14</v>
      </c>
      <c r="BO12" s="200" t="s">
        <v>1197</v>
      </c>
      <c r="BP12" s="201">
        <v>13.88</v>
      </c>
      <c r="BQ12" s="200" t="s">
        <v>559</v>
      </c>
      <c r="BR12" s="201">
        <v>12</v>
      </c>
      <c r="BS12" s="200" t="s">
        <v>679</v>
      </c>
      <c r="BT12" s="201">
        <v>11.73</v>
      </c>
      <c r="BU12" s="200" t="s">
        <v>740</v>
      </c>
      <c r="BV12" s="201">
        <v>0.9</v>
      </c>
      <c r="BW12" s="200"/>
      <c r="BX12" s="201"/>
      <c r="BY12" s="200"/>
      <c r="BZ12" s="201"/>
      <c r="CA12" s="200"/>
      <c r="CB12" s="201"/>
      <c r="CC12" s="200"/>
      <c r="CD12" s="201"/>
      <c r="CE12" s="200"/>
      <c r="CF12" s="201"/>
      <c r="CG12" s="200"/>
      <c r="CH12" s="201"/>
      <c r="CI12" s="200"/>
      <c r="CJ12" s="201"/>
      <c r="CK12" s="200"/>
      <c r="CL12" s="201"/>
      <c r="CM12" s="200"/>
      <c r="CN12" s="201"/>
      <c r="CO12" s="200"/>
      <c r="CP12" s="201"/>
      <c r="CQ12" s="200"/>
      <c r="CR12" s="201"/>
    </row>
    <row r="13" spans="2:96" x14ac:dyDescent="0.25">
      <c r="B13" s="191"/>
      <c r="C13" s="224">
        <v>2019</v>
      </c>
      <c r="D13" s="102" t="s">
        <v>1678</v>
      </c>
      <c r="E13" s="225" t="s">
        <v>1679</v>
      </c>
      <c r="F13" s="226">
        <v>43656</v>
      </c>
      <c r="G13" s="227" t="s">
        <v>34</v>
      </c>
      <c r="H13" s="228">
        <v>0.2</v>
      </c>
      <c r="I13" s="228">
        <f t="shared" si="82"/>
        <v>0.245</v>
      </c>
      <c r="J13" s="229">
        <v>1500000</v>
      </c>
      <c r="K13" s="230">
        <f t="shared" si="83"/>
        <v>4.4999999999999984E-2</v>
      </c>
      <c r="L13" s="231"/>
      <c r="M13" s="232">
        <f t="shared" si="84"/>
        <v>2</v>
      </c>
      <c r="N13" s="233" t="s">
        <v>226</v>
      </c>
      <c r="O13" s="232">
        <v>3</v>
      </c>
      <c r="P13" s="233" t="s">
        <v>457</v>
      </c>
      <c r="Q13" s="233"/>
      <c r="R13" s="15"/>
      <c r="S13" s="24"/>
      <c r="T13" s="62"/>
      <c r="U13" s="202">
        <f t="shared" si="1"/>
        <v>24.5</v>
      </c>
      <c r="V13" s="202">
        <f t="shared" si="2"/>
        <v>39</v>
      </c>
      <c r="W13" s="202">
        <f t="shared" si="3"/>
        <v>0</v>
      </c>
      <c r="X13" s="202">
        <f t="shared" si="4"/>
        <v>0</v>
      </c>
      <c r="Y13" s="202">
        <f t="shared" si="5"/>
        <v>0</v>
      </c>
      <c r="Z13" s="202">
        <f t="shared" si="6"/>
        <v>0</v>
      </c>
      <c r="AA13" s="202">
        <f t="shared" si="7"/>
        <v>0</v>
      </c>
      <c r="AB13" s="202">
        <f t="shared" si="8"/>
        <v>0</v>
      </c>
      <c r="AC13" s="202">
        <f t="shared" si="9"/>
        <v>0</v>
      </c>
      <c r="AD13" s="202">
        <f t="shared" si="10"/>
        <v>0</v>
      </c>
      <c r="AE13" s="202">
        <f t="shared" si="11"/>
        <v>0</v>
      </c>
      <c r="AF13" s="202">
        <f t="shared" si="12"/>
        <v>0</v>
      </c>
      <c r="AG13" s="202">
        <f t="shared" si="13"/>
        <v>0</v>
      </c>
      <c r="AH13" s="202">
        <f t="shared" si="14"/>
        <v>0</v>
      </c>
      <c r="AI13" s="202">
        <f t="shared" si="15"/>
        <v>0</v>
      </c>
      <c r="AJ13" s="202">
        <f t="shared" si="16"/>
        <v>0</v>
      </c>
      <c r="AK13" s="202">
        <f t="shared" si="17"/>
        <v>0</v>
      </c>
      <c r="AL13" s="202">
        <f t="shared" si="18"/>
        <v>0</v>
      </c>
      <c r="AM13" s="202">
        <f t="shared" si="19"/>
        <v>0</v>
      </c>
      <c r="AN13" s="202">
        <f t="shared" si="20"/>
        <v>0</v>
      </c>
      <c r="AO13" s="202">
        <f t="shared" si="21"/>
        <v>0</v>
      </c>
      <c r="AP13" s="202">
        <f t="shared" si="22"/>
        <v>0</v>
      </c>
      <c r="AQ13" s="202">
        <f t="shared" si="23"/>
        <v>0</v>
      </c>
      <c r="AR13" s="202">
        <f t="shared" si="24"/>
        <v>0</v>
      </c>
      <c r="AS13" s="202">
        <f t="shared" si="25"/>
        <v>0</v>
      </c>
      <c r="AU13" s="200" t="s">
        <v>1635</v>
      </c>
      <c r="AV13" s="201">
        <v>24.5</v>
      </c>
      <c r="AW13" s="200" t="s">
        <v>1637</v>
      </c>
      <c r="AX13" s="201">
        <v>39</v>
      </c>
      <c r="AY13" s="200"/>
      <c r="AZ13" s="201"/>
      <c r="BA13" s="200"/>
      <c r="BB13" s="201"/>
      <c r="BC13" s="200"/>
      <c r="BD13" s="201"/>
      <c r="BE13" s="200"/>
      <c r="BF13" s="201"/>
      <c r="BG13" s="200"/>
      <c r="BH13" s="201"/>
      <c r="BI13" s="200"/>
      <c r="BJ13" s="201"/>
      <c r="BK13" s="200"/>
      <c r="BL13" s="201"/>
      <c r="BM13" s="200"/>
      <c r="BN13" s="201"/>
      <c r="BO13" s="200"/>
      <c r="BP13" s="201"/>
      <c r="BQ13" s="200"/>
      <c r="BR13" s="201"/>
      <c r="BS13" s="200"/>
      <c r="BT13" s="201"/>
      <c r="BU13" s="200"/>
      <c r="BV13" s="201"/>
      <c r="BW13" s="200"/>
      <c r="BX13" s="201"/>
      <c r="BY13" s="200"/>
      <c r="BZ13" s="201"/>
      <c r="CA13" s="200"/>
      <c r="CB13" s="201"/>
      <c r="CC13" s="200"/>
      <c r="CD13" s="201"/>
      <c r="CE13" s="200"/>
      <c r="CF13" s="201"/>
      <c r="CG13" s="200"/>
      <c r="CH13" s="201"/>
      <c r="CI13" s="200"/>
      <c r="CJ13" s="201"/>
      <c r="CK13" s="200"/>
      <c r="CL13" s="201"/>
      <c r="CM13" s="200"/>
      <c r="CN13" s="201"/>
      <c r="CO13" s="200"/>
      <c r="CP13" s="201"/>
      <c r="CQ13" s="200"/>
      <c r="CR13" s="201"/>
    </row>
    <row r="14" spans="2:96" x14ac:dyDescent="0.25">
      <c r="B14" s="191"/>
      <c r="C14" s="224">
        <v>2019</v>
      </c>
      <c r="D14" s="102" t="s">
        <v>1671</v>
      </c>
      <c r="E14" s="225" t="s">
        <v>1673</v>
      </c>
      <c r="F14" s="226">
        <v>43643</v>
      </c>
      <c r="G14" s="227" t="s">
        <v>34</v>
      </c>
      <c r="H14" s="228">
        <v>0.15</v>
      </c>
      <c r="I14" s="228">
        <f t="shared" si="82"/>
        <v>3.5900000000000001E-2</v>
      </c>
      <c r="J14" s="229">
        <v>4000000</v>
      </c>
      <c r="K14" s="230">
        <f t="shared" si="83"/>
        <v>-0.11409999999999999</v>
      </c>
      <c r="L14" s="231"/>
      <c r="M14" s="232">
        <f t="shared" si="84"/>
        <v>3</v>
      </c>
      <c r="N14" s="233" t="s">
        <v>25</v>
      </c>
      <c r="O14" s="232">
        <v>2</v>
      </c>
      <c r="P14" s="233" t="s">
        <v>458</v>
      </c>
      <c r="Q14" s="233"/>
      <c r="R14" s="15"/>
      <c r="S14" s="24"/>
      <c r="T14" s="62"/>
      <c r="U14" s="202">
        <f>+AV14</f>
        <v>34.15</v>
      </c>
      <c r="V14" s="202">
        <f>+AX14</f>
        <v>28</v>
      </c>
      <c r="W14" s="202">
        <f>+AZ14</f>
        <v>3.59</v>
      </c>
      <c r="X14" s="202">
        <f>+BB14</f>
        <v>0</v>
      </c>
      <c r="Y14" s="202">
        <f>+BD14</f>
        <v>0</v>
      </c>
      <c r="Z14" s="202">
        <f>+BF14</f>
        <v>0</v>
      </c>
      <c r="AA14" s="202">
        <f>+BH14</f>
        <v>0</v>
      </c>
      <c r="AB14" s="202">
        <f>+BJ14</f>
        <v>0</v>
      </c>
      <c r="AC14" s="202">
        <f>+BL14</f>
        <v>0</v>
      </c>
      <c r="AD14" s="202">
        <f>+BN14</f>
        <v>0</v>
      </c>
      <c r="AE14" s="202">
        <f>+BP14</f>
        <v>0</v>
      </c>
      <c r="AF14" s="202">
        <f>+BR14</f>
        <v>0</v>
      </c>
      <c r="AG14" s="202">
        <f>+BT14</f>
        <v>0</v>
      </c>
      <c r="AH14" s="202">
        <f>+BV14</f>
        <v>0</v>
      </c>
      <c r="AI14" s="202">
        <f>+BX14</f>
        <v>0</v>
      </c>
      <c r="AJ14" s="202">
        <f>+BZ14</f>
        <v>0</v>
      </c>
      <c r="AK14" s="202">
        <f>+CB14</f>
        <v>0</v>
      </c>
      <c r="AL14" s="202">
        <f>+CD14</f>
        <v>0</v>
      </c>
      <c r="AM14" s="202">
        <f>+CF14</f>
        <v>0</v>
      </c>
      <c r="AN14" s="202">
        <f>+CH14</f>
        <v>0</v>
      </c>
      <c r="AO14" s="202">
        <f>+CJ14</f>
        <v>0</v>
      </c>
      <c r="AP14" s="202">
        <f>+CL14</f>
        <v>0</v>
      </c>
      <c r="AQ14" s="202">
        <f>+CN14</f>
        <v>0</v>
      </c>
      <c r="AR14" s="202">
        <f>+CP14</f>
        <v>0</v>
      </c>
      <c r="AS14" s="202">
        <f>+CR14</f>
        <v>0</v>
      </c>
      <c r="AU14" s="200" t="s">
        <v>676</v>
      </c>
      <c r="AV14" s="201">
        <v>34.15</v>
      </c>
      <c r="AW14" s="200" t="s">
        <v>631</v>
      </c>
      <c r="AX14" s="201">
        <v>28</v>
      </c>
      <c r="AY14" s="200" t="s">
        <v>1672</v>
      </c>
      <c r="AZ14" s="201">
        <v>3.59</v>
      </c>
      <c r="BA14" s="200"/>
      <c r="BB14" s="201"/>
      <c r="BC14" s="200"/>
      <c r="BD14" s="201"/>
      <c r="BE14" s="200"/>
      <c r="BF14" s="201"/>
      <c r="BG14" s="200"/>
      <c r="BH14" s="201"/>
      <c r="BI14" s="200"/>
      <c r="BJ14" s="201"/>
      <c r="BK14" s="200"/>
      <c r="BL14" s="201"/>
      <c r="BM14" s="200"/>
      <c r="BN14" s="201"/>
      <c r="BO14" s="200"/>
      <c r="BP14" s="201"/>
      <c r="BQ14" s="200"/>
      <c r="BR14" s="201"/>
      <c r="BS14" s="200"/>
      <c r="BT14" s="201"/>
      <c r="BU14" s="200"/>
      <c r="BV14" s="201"/>
      <c r="BW14" s="200"/>
      <c r="BX14" s="201"/>
      <c r="BY14" s="200"/>
      <c r="BZ14" s="201"/>
      <c r="CA14" s="200"/>
      <c r="CB14" s="201"/>
      <c r="CC14" s="200"/>
      <c r="CD14" s="201"/>
      <c r="CE14" s="200"/>
      <c r="CF14" s="201"/>
      <c r="CG14" s="200"/>
      <c r="CH14" s="201"/>
      <c r="CI14" s="200"/>
      <c r="CJ14" s="201"/>
      <c r="CK14" s="200"/>
      <c r="CL14" s="201"/>
      <c r="CM14" s="200"/>
      <c r="CN14" s="201"/>
      <c r="CO14" s="200"/>
      <c r="CP14" s="201"/>
      <c r="CQ14" s="200"/>
      <c r="CR14" s="201"/>
    </row>
    <row r="15" spans="2:96" x14ac:dyDescent="0.25">
      <c r="B15" s="191"/>
      <c r="C15" s="224">
        <v>2019</v>
      </c>
      <c r="D15" s="102" t="s">
        <v>1662</v>
      </c>
      <c r="E15" s="225" t="s">
        <v>1663</v>
      </c>
      <c r="F15" s="226">
        <v>43634</v>
      </c>
      <c r="G15" s="227" t="s">
        <v>34</v>
      </c>
      <c r="H15" s="228">
        <v>0.15</v>
      </c>
      <c r="I15" s="228">
        <f t="shared" si="82"/>
        <v>2.9700000000000001E-2</v>
      </c>
      <c r="J15" s="229">
        <v>4000000</v>
      </c>
      <c r="K15" s="230">
        <f t="shared" si="83"/>
        <v>-0.12029999999999999</v>
      </c>
      <c r="L15" s="231"/>
      <c r="M15" s="232">
        <f t="shared" si="84"/>
        <v>6</v>
      </c>
      <c r="N15" s="233" t="s">
        <v>93</v>
      </c>
      <c r="O15" s="232">
        <v>2</v>
      </c>
      <c r="P15" s="233" t="s">
        <v>458</v>
      </c>
      <c r="Q15" s="233"/>
      <c r="R15" s="15"/>
      <c r="S15" s="24"/>
      <c r="T15" s="62"/>
      <c r="U15" s="202">
        <f t="shared" si="1"/>
        <v>19.739999999999998</v>
      </c>
      <c r="V15" s="202">
        <f t="shared" si="2"/>
        <v>2.97</v>
      </c>
      <c r="W15" s="202">
        <f t="shared" si="3"/>
        <v>20</v>
      </c>
      <c r="X15" s="202">
        <f t="shared" si="4"/>
        <v>20.5</v>
      </c>
      <c r="Y15" s="202">
        <f t="shared" si="5"/>
        <v>22</v>
      </c>
      <c r="Z15" s="202">
        <f t="shared" si="6"/>
        <v>31</v>
      </c>
      <c r="AA15" s="202">
        <f t="shared" si="7"/>
        <v>0</v>
      </c>
      <c r="AB15" s="202">
        <f t="shared" si="8"/>
        <v>0</v>
      </c>
      <c r="AC15" s="202">
        <f t="shared" si="9"/>
        <v>0</v>
      </c>
      <c r="AD15" s="202">
        <f t="shared" si="10"/>
        <v>0</v>
      </c>
      <c r="AE15" s="202">
        <f t="shared" si="11"/>
        <v>0</v>
      </c>
      <c r="AF15" s="202">
        <f t="shared" si="12"/>
        <v>0</v>
      </c>
      <c r="AG15" s="202">
        <f t="shared" si="13"/>
        <v>0</v>
      </c>
      <c r="AH15" s="202">
        <f t="shared" si="14"/>
        <v>0</v>
      </c>
      <c r="AI15" s="202">
        <f t="shared" si="15"/>
        <v>0</v>
      </c>
      <c r="AJ15" s="202">
        <f t="shared" si="16"/>
        <v>0</v>
      </c>
      <c r="AK15" s="202">
        <f t="shared" si="17"/>
        <v>0</v>
      </c>
      <c r="AL15" s="202">
        <f t="shared" si="18"/>
        <v>0</v>
      </c>
      <c r="AM15" s="202">
        <f t="shared" si="19"/>
        <v>0</v>
      </c>
      <c r="AN15" s="202">
        <f t="shared" si="20"/>
        <v>0</v>
      </c>
      <c r="AO15" s="202">
        <f t="shared" si="21"/>
        <v>0</v>
      </c>
      <c r="AP15" s="202">
        <f t="shared" si="22"/>
        <v>0</v>
      </c>
      <c r="AQ15" s="202">
        <f t="shared" si="23"/>
        <v>0</v>
      </c>
      <c r="AR15" s="202">
        <f t="shared" si="24"/>
        <v>0</v>
      </c>
      <c r="AS15" s="202">
        <f t="shared" si="25"/>
        <v>0</v>
      </c>
      <c r="AU15" s="200" t="s">
        <v>676</v>
      </c>
      <c r="AV15" s="201">
        <v>19.739999999999998</v>
      </c>
      <c r="AW15" s="200" t="s">
        <v>491</v>
      </c>
      <c r="AX15" s="201">
        <v>2.97</v>
      </c>
      <c r="AY15" s="200" t="s">
        <v>1017</v>
      </c>
      <c r="AZ15" s="201">
        <v>20</v>
      </c>
      <c r="BA15" s="200" t="s">
        <v>1664</v>
      </c>
      <c r="BB15" s="201">
        <v>20.5</v>
      </c>
      <c r="BC15" s="200" t="s">
        <v>541</v>
      </c>
      <c r="BD15" s="201">
        <v>22</v>
      </c>
      <c r="BE15" s="200" t="s">
        <v>631</v>
      </c>
      <c r="BF15" s="201">
        <v>31</v>
      </c>
      <c r="BG15" s="200"/>
      <c r="BH15" s="201"/>
      <c r="BI15" s="200"/>
      <c r="BJ15" s="201"/>
      <c r="BK15" s="200"/>
      <c r="BL15" s="201"/>
      <c r="BM15" s="200"/>
      <c r="BN15" s="201"/>
      <c r="BO15" s="200"/>
      <c r="BP15" s="201"/>
      <c r="BQ15" s="200"/>
      <c r="BR15" s="201"/>
      <c r="BS15" s="200"/>
      <c r="BT15" s="201"/>
      <c r="BU15" s="200"/>
      <c r="BV15" s="201"/>
      <c r="BW15" s="200"/>
      <c r="BX15" s="201"/>
      <c r="BY15" s="200"/>
      <c r="BZ15" s="201"/>
      <c r="CA15" s="200"/>
      <c r="CB15" s="201"/>
      <c r="CC15" s="200"/>
      <c r="CD15" s="201"/>
      <c r="CE15" s="200"/>
      <c r="CF15" s="201"/>
      <c r="CG15" s="200"/>
      <c r="CH15" s="201"/>
      <c r="CI15" s="200"/>
      <c r="CJ15" s="201"/>
      <c r="CK15" s="200"/>
      <c r="CL15" s="201"/>
      <c r="CM15" s="200"/>
      <c r="CN15" s="201"/>
      <c r="CO15" s="200"/>
      <c r="CP15" s="201"/>
      <c r="CQ15" s="200"/>
      <c r="CR15" s="201"/>
    </row>
    <row r="16" spans="2:96" x14ac:dyDescent="0.25">
      <c r="B16" s="191"/>
      <c r="C16" s="224">
        <v>2019</v>
      </c>
      <c r="D16" s="102" t="s">
        <v>1649</v>
      </c>
      <c r="E16" s="225" t="s">
        <v>1650</v>
      </c>
      <c r="F16" s="226">
        <v>43621</v>
      </c>
      <c r="G16" s="227" t="s">
        <v>34</v>
      </c>
      <c r="H16" s="228">
        <v>0.25</v>
      </c>
      <c r="I16" s="228">
        <f t="shared" si="82"/>
        <v>0.125</v>
      </c>
      <c r="J16" s="229">
        <v>2000000</v>
      </c>
      <c r="K16" s="230">
        <f t="shared" si="83"/>
        <v>-0.125</v>
      </c>
      <c r="L16" s="231"/>
      <c r="M16" s="232">
        <f t="shared" si="84"/>
        <v>3</v>
      </c>
      <c r="N16" s="233" t="s">
        <v>93</v>
      </c>
      <c r="O16" s="232">
        <v>2</v>
      </c>
      <c r="P16" s="233" t="s">
        <v>458</v>
      </c>
      <c r="Q16" s="233"/>
      <c r="R16" s="15"/>
      <c r="S16" s="24"/>
      <c r="T16" s="62"/>
      <c r="U16" s="202">
        <f>+AV16</f>
        <v>12.5</v>
      </c>
      <c r="V16" s="202">
        <f>+AX16</f>
        <v>19.440000000000001</v>
      </c>
      <c r="W16" s="202">
        <f>+AZ16</f>
        <v>44</v>
      </c>
      <c r="X16" s="202">
        <f>+BB16</f>
        <v>0</v>
      </c>
      <c r="Y16" s="202">
        <f>+BD16</f>
        <v>0</v>
      </c>
      <c r="Z16" s="202">
        <f>+BF16</f>
        <v>0</v>
      </c>
      <c r="AA16" s="202">
        <f>+BH16</f>
        <v>0</v>
      </c>
      <c r="AB16" s="202">
        <f>+BJ16</f>
        <v>0</v>
      </c>
      <c r="AC16" s="202">
        <f>+BL16</f>
        <v>0</v>
      </c>
      <c r="AD16" s="202">
        <f>+BN16</f>
        <v>0</v>
      </c>
      <c r="AE16" s="202">
        <f>+BP16</f>
        <v>0</v>
      </c>
      <c r="AF16" s="202">
        <f>+BR16</f>
        <v>0</v>
      </c>
      <c r="AG16" s="202">
        <f>+BT16</f>
        <v>0</v>
      </c>
      <c r="AH16" s="202">
        <f>+BV16</f>
        <v>0</v>
      </c>
      <c r="AI16" s="202">
        <f>+BX16</f>
        <v>0</v>
      </c>
      <c r="AJ16" s="202">
        <f>+BZ16</f>
        <v>0</v>
      </c>
      <c r="AK16" s="202">
        <f>+CB16</f>
        <v>0</v>
      </c>
      <c r="AL16" s="202">
        <f>+CD16</f>
        <v>0</v>
      </c>
      <c r="AM16" s="202">
        <f>+CF16</f>
        <v>0</v>
      </c>
      <c r="AN16" s="202">
        <f>+CH16</f>
        <v>0</v>
      </c>
      <c r="AO16" s="202">
        <f>+CJ16</f>
        <v>0</v>
      </c>
      <c r="AP16" s="202">
        <f>+CL16</f>
        <v>0</v>
      </c>
      <c r="AQ16" s="202">
        <f>+CN16</f>
        <v>0</v>
      </c>
      <c r="AR16" s="202">
        <f>+CP16</f>
        <v>0</v>
      </c>
      <c r="AS16" s="202">
        <f>+CR16</f>
        <v>0</v>
      </c>
      <c r="AU16" s="200" t="s">
        <v>1651</v>
      </c>
      <c r="AV16" s="201">
        <v>12.5</v>
      </c>
      <c r="AW16" s="200" t="s">
        <v>1652</v>
      </c>
      <c r="AX16" s="201">
        <v>19.440000000000001</v>
      </c>
      <c r="AY16" s="200" t="s">
        <v>1653</v>
      </c>
      <c r="AZ16" s="201">
        <v>44</v>
      </c>
      <c r="BA16" s="200"/>
      <c r="BB16" s="201"/>
      <c r="BC16" s="200"/>
      <c r="BD16" s="201"/>
      <c r="BE16" s="200"/>
      <c r="BF16" s="201"/>
      <c r="BG16" s="200"/>
      <c r="BH16" s="201"/>
      <c r="BI16" s="200"/>
      <c r="BJ16" s="201"/>
      <c r="BK16" s="200"/>
      <c r="BL16" s="201"/>
      <c r="BM16" s="200"/>
      <c r="BN16" s="201"/>
      <c r="BO16" s="200"/>
      <c r="BP16" s="201"/>
      <c r="BQ16" s="200"/>
      <c r="BR16" s="201"/>
      <c r="BS16" s="200"/>
      <c r="BT16" s="201"/>
      <c r="BU16" s="200"/>
      <c r="BV16" s="201"/>
      <c r="BW16" s="200"/>
      <c r="BX16" s="201"/>
      <c r="BY16" s="200"/>
      <c r="BZ16" s="201"/>
      <c r="CA16" s="200"/>
      <c r="CB16" s="201"/>
      <c r="CC16" s="200"/>
      <c r="CD16" s="201"/>
      <c r="CE16" s="200"/>
      <c r="CF16" s="201"/>
      <c r="CG16" s="200"/>
      <c r="CH16" s="201"/>
      <c r="CI16" s="200"/>
      <c r="CJ16" s="201"/>
      <c r="CK16" s="200"/>
      <c r="CL16" s="201"/>
      <c r="CM16" s="200"/>
      <c r="CN16" s="201"/>
      <c r="CO16" s="200"/>
      <c r="CP16" s="201"/>
      <c r="CQ16" s="200"/>
      <c r="CR16" s="201"/>
    </row>
    <row r="17" spans="2:96" x14ac:dyDescent="0.25">
      <c r="B17" s="191"/>
      <c r="C17" s="224">
        <v>2019</v>
      </c>
      <c r="D17" s="102" t="s">
        <v>1644</v>
      </c>
      <c r="E17" s="225" t="s">
        <v>1645</v>
      </c>
      <c r="F17" s="226">
        <v>43608</v>
      </c>
      <c r="G17" s="227" t="s">
        <v>1341</v>
      </c>
      <c r="H17" s="228">
        <v>0.3</v>
      </c>
      <c r="I17" s="228">
        <f t="shared" si="82"/>
        <v>0.17100000000000001</v>
      </c>
      <c r="J17" s="229">
        <v>2500000</v>
      </c>
      <c r="K17" s="230">
        <f t="shared" si="83"/>
        <v>-0.12899999999999998</v>
      </c>
      <c r="L17" s="231"/>
      <c r="M17" s="232">
        <f t="shared" si="84"/>
        <v>2</v>
      </c>
      <c r="N17" s="233" t="s">
        <v>226</v>
      </c>
      <c r="O17" s="232">
        <v>2</v>
      </c>
      <c r="P17" s="233" t="s">
        <v>457</v>
      </c>
      <c r="Q17" s="233"/>
      <c r="R17" s="15"/>
      <c r="S17" s="24"/>
      <c r="T17" s="62"/>
      <c r="U17" s="202">
        <f t="shared" si="1"/>
        <v>17.100000000000001</v>
      </c>
      <c r="V17" s="202">
        <f t="shared" si="2"/>
        <v>46</v>
      </c>
      <c r="W17" s="202">
        <f t="shared" si="3"/>
        <v>0</v>
      </c>
      <c r="X17" s="202">
        <f t="shared" si="4"/>
        <v>0</v>
      </c>
      <c r="Y17" s="202">
        <f t="shared" si="5"/>
        <v>0</v>
      </c>
      <c r="Z17" s="202">
        <f t="shared" si="6"/>
        <v>0</v>
      </c>
      <c r="AA17" s="202">
        <f t="shared" si="7"/>
        <v>0</v>
      </c>
      <c r="AB17" s="202">
        <f t="shared" si="8"/>
        <v>0</v>
      </c>
      <c r="AC17" s="202">
        <f t="shared" si="9"/>
        <v>0</v>
      </c>
      <c r="AD17" s="202">
        <f t="shared" si="10"/>
        <v>0</v>
      </c>
      <c r="AE17" s="202">
        <f t="shared" si="11"/>
        <v>0</v>
      </c>
      <c r="AF17" s="202">
        <f t="shared" si="12"/>
        <v>0</v>
      </c>
      <c r="AG17" s="202">
        <f t="shared" si="13"/>
        <v>0</v>
      </c>
      <c r="AH17" s="202">
        <f t="shared" si="14"/>
        <v>0</v>
      </c>
      <c r="AI17" s="202">
        <f t="shared" si="15"/>
        <v>0</v>
      </c>
      <c r="AJ17" s="202">
        <f t="shared" si="16"/>
        <v>0</v>
      </c>
      <c r="AK17" s="202">
        <f t="shared" si="17"/>
        <v>0</v>
      </c>
      <c r="AL17" s="202">
        <f t="shared" si="18"/>
        <v>0</v>
      </c>
      <c r="AM17" s="202">
        <f t="shared" si="19"/>
        <v>0</v>
      </c>
      <c r="AN17" s="202">
        <f t="shared" si="20"/>
        <v>0</v>
      </c>
      <c r="AO17" s="202">
        <f t="shared" si="21"/>
        <v>0</v>
      </c>
      <c r="AP17" s="202">
        <f t="shared" si="22"/>
        <v>0</v>
      </c>
      <c r="AQ17" s="202">
        <f t="shared" si="23"/>
        <v>0</v>
      </c>
      <c r="AR17" s="202">
        <f t="shared" si="24"/>
        <v>0</v>
      </c>
      <c r="AS17" s="202">
        <f t="shared" si="25"/>
        <v>0</v>
      </c>
      <c r="AU17" s="200" t="s">
        <v>676</v>
      </c>
      <c r="AV17" s="201">
        <v>17.100000000000001</v>
      </c>
      <c r="AW17" s="200" t="s">
        <v>725</v>
      </c>
      <c r="AX17" s="201">
        <v>46</v>
      </c>
      <c r="AY17" s="200"/>
      <c r="AZ17" s="201"/>
      <c r="BA17" s="200"/>
      <c r="BB17" s="201"/>
      <c r="BC17" s="200"/>
      <c r="BD17" s="201"/>
      <c r="BE17" s="200"/>
      <c r="BF17" s="201"/>
      <c r="BG17" s="200"/>
      <c r="BH17" s="201"/>
      <c r="BI17" s="200"/>
      <c r="BJ17" s="201"/>
      <c r="BK17" s="200"/>
      <c r="BL17" s="201"/>
      <c r="BM17" s="200"/>
      <c r="BN17" s="201"/>
      <c r="BO17" s="200"/>
      <c r="BP17" s="201"/>
      <c r="BQ17" s="200"/>
      <c r="BR17" s="201"/>
      <c r="BS17" s="200"/>
      <c r="BT17" s="201"/>
      <c r="BU17" s="200"/>
      <c r="BV17" s="201"/>
      <c r="BW17" s="200"/>
      <c r="BX17" s="201"/>
      <c r="BY17" s="200"/>
      <c r="BZ17" s="201"/>
      <c r="CA17" s="200"/>
      <c r="CB17" s="201"/>
      <c r="CC17" s="200"/>
      <c r="CD17" s="201"/>
      <c r="CE17" s="200"/>
      <c r="CF17" s="201"/>
      <c r="CG17" s="200"/>
      <c r="CH17" s="201"/>
      <c r="CI17" s="200"/>
      <c r="CJ17" s="201"/>
      <c r="CK17" s="200"/>
      <c r="CL17" s="201"/>
      <c r="CM17" s="200"/>
      <c r="CN17" s="201"/>
      <c r="CO17" s="200"/>
      <c r="CP17" s="201"/>
      <c r="CQ17" s="200"/>
      <c r="CR17" s="201"/>
    </row>
    <row r="18" spans="2:96" x14ac:dyDescent="0.25">
      <c r="B18" s="191"/>
      <c r="C18" s="224">
        <v>2019</v>
      </c>
      <c r="D18" s="102" t="s">
        <v>1642</v>
      </c>
      <c r="E18" s="225" t="s">
        <v>1643</v>
      </c>
      <c r="F18" s="226">
        <v>43601</v>
      </c>
      <c r="G18" s="227" t="s">
        <v>190</v>
      </c>
      <c r="H18" s="228">
        <v>0.2</v>
      </c>
      <c r="I18" s="228">
        <f t="shared" si="82"/>
        <v>0.22500000000000001</v>
      </c>
      <c r="J18" s="229">
        <v>2500000</v>
      </c>
      <c r="K18" s="230">
        <f t="shared" si="83"/>
        <v>2.4999999999999994E-2</v>
      </c>
      <c r="L18" s="231"/>
      <c r="M18" s="232">
        <f t="shared" si="84"/>
        <v>2</v>
      </c>
      <c r="N18" s="233" t="s">
        <v>226</v>
      </c>
      <c r="O18" s="232">
        <v>2</v>
      </c>
      <c r="P18" s="233" t="s">
        <v>459</v>
      </c>
      <c r="Q18" s="233"/>
      <c r="R18" s="15"/>
      <c r="S18" s="24"/>
      <c r="T18" s="62"/>
      <c r="U18" s="202">
        <f>+AV18</f>
        <v>34.9</v>
      </c>
      <c r="V18" s="202">
        <f>+AX18</f>
        <v>22.5</v>
      </c>
      <c r="W18" s="202">
        <f>+AZ18</f>
        <v>0</v>
      </c>
      <c r="X18" s="202">
        <f>+BB18</f>
        <v>0</v>
      </c>
      <c r="Y18" s="202">
        <f>+BD18</f>
        <v>0</v>
      </c>
      <c r="Z18" s="202">
        <f>+BF18</f>
        <v>0</v>
      </c>
      <c r="AA18" s="202">
        <f>+BH18</f>
        <v>0</v>
      </c>
      <c r="AB18" s="202">
        <f>+BJ18</f>
        <v>0</v>
      </c>
      <c r="AC18" s="202">
        <f>+BL18</f>
        <v>0</v>
      </c>
      <c r="AD18" s="202">
        <f>+BN18</f>
        <v>0</v>
      </c>
      <c r="AE18" s="202">
        <f>+BP18</f>
        <v>0</v>
      </c>
      <c r="AF18" s="202">
        <f>+BR18</f>
        <v>0</v>
      </c>
      <c r="AG18" s="202">
        <f>+BT18</f>
        <v>0</v>
      </c>
      <c r="AH18" s="202">
        <f>+BV18</f>
        <v>0</v>
      </c>
      <c r="AI18" s="202">
        <f>+BX18</f>
        <v>0</v>
      </c>
      <c r="AJ18" s="202">
        <f>+BZ18</f>
        <v>0</v>
      </c>
      <c r="AK18" s="202">
        <f>+CB18</f>
        <v>0</v>
      </c>
      <c r="AL18" s="202">
        <f>+CD18</f>
        <v>0</v>
      </c>
      <c r="AM18" s="202">
        <f>+CF18</f>
        <v>0</v>
      </c>
      <c r="AN18" s="202">
        <f>+CH18</f>
        <v>0</v>
      </c>
      <c r="AO18" s="202">
        <f>+CJ18</f>
        <v>0</v>
      </c>
      <c r="AP18" s="202">
        <f>+CL18</f>
        <v>0</v>
      </c>
      <c r="AQ18" s="202">
        <f>+CN18</f>
        <v>0</v>
      </c>
      <c r="AR18" s="202">
        <f>+CP18</f>
        <v>0</v>
      </c>
      <c r="AS18" s="202">
        <f>+CR18</f>
        <v>0</v>
      </c>
      <c r="AU18" s="200" t="s">
        <v>1131</v>
      </c>
      <c r="AV18" s="201">
        <v>34.9</v>
      </c>
      <c r="AW18" s="200"/>
      <c r="AX18" s="201">
        <v>22.5</v>
      </c>
      <c r="AY18" s="200"/>
      <c r="AZ18" s="201"/>
      <c r="BA18" s="200"/>
      <c r="BB18" s="201"/>
      <c r="BC18" s="200"/>
      <c r="BD18" s="201"/>
      <c r="BE18" s="200"/>
      <c r="BF18" s="201"/>
      <c r="BG18" s="200"/>
      <c r="BH18" s="201"/>
      <c r="BI18" s="200"/>
      <c r="BJ18" s="201"/>
      <c r="BK18" s="200"/>
      <c r="BL18" s="201"/>
      <c r="BM18" s="200"/>
      <c r="BN18" s="201"/>
      <c r="BO18" s="200"/>
      <c r="BP18" s="201"/>
      <c r="BQ18" s="200"/>
      <c r="BR18" s="201"/>
      <c r="BS18" s="200"/>
      <c r="BT18" s="201"/>
      <c r="BU18" s="200"/>
      <c r="BV18" s="201"/>
      <c r="BW18" s="200"/>
      <c r="BX18" s="201"/>
      <c r="BY18" s="200"/>
      <c r="BZ18" s="201"/>
      <c r="CA18" s="200"/>
      <c r="CB18" s="201"/>
      <c r="CC18" s="200"/>
      <c r="CD18" s="201"/>
      <c r="CE18" s="200"/>
      <c r="CF18" s="201"/>
      <c r="CG18" s="200"/>
      <c r="CH18" s="201"/>
      <c r="CI18" s="200"/>
      <c r="CJ18" s="201"/>
      <c r="CK18" s="200"/>
      <c r="CL18" s="201"/>
      <c r="CM18" s="200"/>
      <c r="CN18" s="201"/>
      <c r="CO18" s="200"/>
      <c r="CP18" s="201"/>
      <c r="CQ18" s="200"/>
      <c r="CR18" s="201"/>
    </row>
    <row r="19" spans="2:96" x14ac:dyDescent="0.25">
      <c r="B19" s="191"/>
      <c r="C19" s="224">
        <v>2019</v>
      </c>
      <c r="D19" s="102" t="s">
        <v>1640</v>
      </c>
      <c r="E19" s="225" t="s">
        <v>1641</v>
      </c>
      <c r="F19" s="226">
        <v>43594</v>
      </c>
      <c r="G19" s="227" t="s">
        <v>190</v>
      </c>
      <c r="H19" s="228">
        <v>0.15</v>
      </c>
      <c r="I19" s="228">
        <f t="shared" si="82"/>
        <v>0.18</v>
      </c>
      <c r="J19" s="229">
        <v>1500000</v>
      </c>
      <c r="K19" s="230">
        <f t="shared" si="83"/>
        <v>0.03</v>
      </c>
      <c r="L19" s="231"/>
      <c r="M19" s="232">
        <f t="shared" si="84"/>
        <v>3</v>
      </c>
      <c r="N19" s="233" t="s">
        <v>226</v>
      </c>
      <c r="O19" s="232">
        <v>2</v>
      </c>
      <c r="P19" s="233" t="s">
        <v>457</v>
      </c>
      <c r="Q19" s="233"/>
      <c r="R19" s="15"/>
      <c r="S19" s="24"/>
      <c r="T19" s="62"/>
      <c r="U19" s="202">
        <f t="shared" si="1"/>
        <v>18</v>
      </c>
      <c r="V19" s="202">
        <f t="shared" si="2"/>
        <v>22.5</v>
      </c>
      <c r="W19" s="202">
        <f t="shared" si="3"/>
        <v>33.9</v>
      </c>
      <c r="X19" s="202">
        <f t="shared" si="4"/>
        <v>0</v>
      </c>
      <c r="Y19" s="202">
        <f t="shared" si="5"/>
        <v>0</v>
      </c>
      <c r="Z19" s="202">
        <f t="shared" si="6"/>
        <v>0</v>
      </c>
      <c r="AA19" s="202">
        <f t="shared" si="7"/>
        <v>0</v>
      </c>
      <c r="AB19" s="202">
        <f t="shared" si="8"/>
        <v>0</v>
      </c>
      <c r="AC19" s="202">
        <f t="shared" si="9"/>
        <v>0</v>
      </c>
      <c r="AD19" s="202">
        <f t="shared" si="10"/>
        <v>0</v>
      </c>
      <c r="AE19" s="202">
        <f t="shared" si="11"/>
        <v>0</v>
      </c>
      <c r="AF19" s="202">
        <f t="shared" si="12"/>
        <v>0</v>
      </c>
      <c r="AG19" s="202">
        <f t="shared" si="13"/>
        <v>0</v>
      </c>
      <c r="AH19" s="202">
        <f t="shared" si="14"/>
        <v>0</v>
      </c>
      <c r="AI19" s="202">
        <f t="shared" si="15"/>
        <v>0</v>
      </c>
      <c r="AJ19" s="202">
        <f t="shared" si="16"/>
        <v>0</v>
      </c>
      <c r="AK19" s="202">
        <f t="shared" si="17"/>
        <v>0</v>
      </c>
      <c r="AL19" s="202">
        <f t="shared" si="18"/>
        <v>0</v>
      </c>
      <c r="AM19" s="202">
        <f t="shared" si="19"/>
        <v>0</v>
      </c>
      <c r="AN19" s="202">
        <f t="shared" si="20"/>
        <v>0</v>
      </c>
      <c r="AO19" s="202">
        <f t="shared" si="21"/>
        <v>0</v>
      </c>
      <c r="AP19" s="202">
        <f t="shared" si="22"/>
        <v>0</v>
      </c>
      <c r="AQ19" s="202">
        <f t="shared" si="23"/>
        <v>0</v>
      </c>
      <c r="AR19" s="202">
        <f t="shared" si="24"/>
        <v>0</v>
      </c>
      <c r="AS19" s="202">
        <f t="shared" si="25"/>
        <v>0</v>
      </c>
      <c r="AU19" s="200" t="s">
        <v>1131</v>
      </c>
      <c r="AV19" s="201">
        <v>18</v>
      </c>
      <c r="AW19" s="200" t="s">
        <v>1017</v>
      </c>
      <c r="AX19" s="201">
        <v>22.5</v>
      </c>
      <c r="AY19" s="200" t="s">
        <v>1548</v>
      </c>
      <c r="AZ19" s="201">
        <v>33.9</v>
      </c>
      <c r="BA19" s="200"/>
      <c r="BB19" s="201"/>
      <c r="BC19" s="200"/>
      <c r="BD19" s="201"/>
      <c r="BE19" s="200"/>
      <c r="BF19" s="201"/>
      <c r="BG19" s="200"/>
      <c r="BH19" s="201"/>
      <c r="BI19" s="200"/>
      <c r="BJ19" s="201"/>
      <c r="BK19" s="200"/>
      <c r="BL19" s="201"/>
      <c r="BM19" s="200"/>
      <c r="BN19" s="201"/>
      <c r="BO19" s="200"/>
      <c r="BP19" s="201"/>
      <c r="BQ19" s="200"/>
      <c r="BR19" s="201"/>
      <c r="BS19" s="200"/>
      <c r="BT19" s="201"/>
      <c r="BU19" s="200"/>
      <c r="BV19" s="201"/>
      <c r="BW19" s="200"/>
      <c r="BX19" s="201"/>
      <c r="BY19" s="200"/>
      <c r="BZ19" s="201"/>
      <c r="CA19" s="200"/>
      <c r="CB19" s="201"/>
      <c r="CC19" s="200"/>
      <c r="CD19" s="201"/>
      <c r="CE19" s="200"/>
      <c r="CF19" s="201"/>
      <c r="CG19" s="200"/>
      <c r="CH19" s="201"/>
      <c r="CI19" s="200"/>
      <c r="CJ19" s="201"/>
      <c r="CK19" s="200"/>
      <c r="CL19" s="201"/>
      <c r="CM19" s="200"/>
      <c r="CN19" s="201"/>
      <c r="CO19" s="200"/>
      <c r="CP19" s="201"/>
      <c r="CQ19" s="200"/>
      <c r="CR19" s="201"/>
    </row>
    <row r="20" spans="2:96" x14ac:dyDescent="0.25">
      <c r="B20" s="191"/>
      <c r="C20" s="224">
        <v>2019</v>
      </c>
      <c r="D20" s="102" t="s">
        <v>1638</v>
      </c>
      <c r="E20" s="225" t="s">
        <v>1639</v>
      </c>
      <c r="F20" s="226">
        <v>43594</v>
      </c>
      <c r="G20" s="227" t="s">
        <v>190</v>
      </c>
      <c r="H20" s="228">
        <v>0.15</v>
      </c>
      <c r="I20" s="228">
        <f t="shared" si="82"/>
        <v>0.18</v>
      </c>
      <c r="J20" s="229">
        <v>1500000</v>
      </c>
      <c r="K20" s="230">
        <f t="shared" si="83"/>
        <v>0.03</v>
      </c>
      <c r="L20" s="231"/>
      <c r="M20" s="232">
        <f t="shared" si="84"/>
        <v>4</v>
      </c>
      <c r="N20" s="233" t="s">
        <v>93</v>
      </c>
      <c r="O20" s="232">
        <v>2</v>
      </c>
      <c r="P20" s="233" t="s">
        <v>458</v>
      </c>
      <c r="Q20" s="233"/>
      <c r="R20" s="15"/>
      <c r="S20" s="24"/>
      <c r="T20" s="62"/>
      <c r="U20" s="202">
        <f>+AV20</f>
        <v>18</v>
      </c>
      <c r="V20" s="202">
        <f>+AX20</f>
        <v>23.5</v>
      </c>
      <c r="W20" s="202">
        <f>+AZ20</f>
        <v>33.9</v>
      </c>
      <c r="X20" s="202">
        <f>+BB20</f>
        <v>50</v>
      </c>
      <c r="Y20" s="202">
        <f>+BD20</f>
        <v>0</v>
      </c>
      <c r="Z20" s="202">
        <f>+BF20</f>
        <v>0</v>
      </c>
      <c r="AA20" s="202">
        <f>+BH20</f>
        <v>0</v>
      </c>
      <c r="AB20" s="202">
        <f>+BJ20</f>
        <v>0</v>
      </c>
      <c r="AC20" s="202">
        <f>+BL20</f>
        <v>0</v>
      </c>
      <c r="AD20" s="202">
        <f>+BN20</f>
        <v>0</v>
      </c>
      <c r="AE20" s="202">
        <f>+BP20</f>
        <v>0</v>
      </c>
      <c r="AF20" s="202">
        <f>+BR20</f>
        <v>0</v>
      </c>
      <c r="AG20" s="202">
        <f>+BT20</f>
        <v>0</v>
      </c>
      <c r="AH20" s="202">
        <f>+BV20</f>
        <v>0</v>
      </c>
      <c r="AI20" s="202">
        <f>+BX20</f>
        <v>0</v>
      </c>
      <c r="AJ20" s="202">
        <f>+BZ20</f>
        <v>0</v>
      </c>
      <c r="AK20" s="202">
        <f>+CB20</f>
        <v>0</v>
      </c>
      <c r="AL20" s="202">
        <f>+CD20</f>
        <v>0</v>
      </c>
      <c r="AM20" s="202">
        <f>+CF20</f>
        <v>0</v>
      </c>
      <c r="AN20" s="202">
        <f>+CH20</f>
        <v>0</v>
      </c>
      <c r="AO20" s="202">
        <f>+CJ20</f>
        <v>0</v>
      </c>
      <c r="AP20" s="202">
        <f>+CL20</f>
        <v>0</v>
      </c>
      <c r="AQ20" s="202">
        <f>+CN20</f>
        <v>0</v>
      </c>
      <c r="AR20" s="202">
        <f>+CP20</f>
        <v>0</v>
      </c>
      <c r="AS20" s="202">
        <f>+CR20</f>
        <v>0</v>
      </c>
      <c r="AU20" s="200" t="s">
        <v>541</v>
      </c>
      <c r="AV20" s="201">
        <v>18</v>
      </c>
      <c r="AW20" s="200" t="s">
        <v>1017</v>
      </c>
      <c r="AX20" s="201">
        <v>23.5</v>
      </c>
      <c r="AY20" s="200" t="s">
        <v>1548</v>
      </c>
      <c r="AZ20" s="201">
        <v>33.9</v>
      </c>
      <c r="BA20" s="200" t="s">
        <v>1131</v>
      </c>
      <c r="BB20" s="201">
        <v>50</v>
      </c>
      <c r="BC20" s="200"/>
      <c r="BD20" s="201"/>
      <c r="BE20" s="200"/>
      <c r="BF20" s="201"/>
      <c r="BG20" s="200"/>
      <c r="BH20" s="201"/>
      <c r="BI20" s="200"/>
      <c r="BJ20" s="201"/>
      <c r="BK20" s="200"/>
      <c r="BL20" s="201"/>
      <c r="BM20" s="200"/>
      <c r="BN20" s="201"/>
      <c r="BO20" s="200"/>
      <c r="BP20" s="201"/>
      <c r="BQ20" s="200"/>
      <c r="BR20" s="201"/>
      <c r="BS20" s="200"/>
      <c r="BT20" s="201"/>
      <c r="BU20" s="200"/>
      <c r="BV20" s="201"/>
      <c r="BW20" s="200"/>
      <c r="BX20" s="201"/>
      <c r="BY20" s="200"/>
      <c r="BZ20" s="201"/>
      <c r="CA20" s="200"/>
      <c r="CB20" s="201"/>
      <c r="CC20" s="200"/>
      <c r="CD20" s="201"/>
      <c r="CE20" s="200"/>
      <c r="CF20" s="201"/>
      <c r="CG20" s="200"/>
      <c r="CH20" s="201"/>
      <c r="CI20" s="200"/>
      <c r="CJ20" s="201"/>
      <c r="CK20" s="200"/>
      <c r="CL20" s="201"/>
      <c r="CM20" s="200"/>
      <c r="CN20" s="201"/>
      <c r="CO20" s="200"/>
      <c r="CP20" s="201"/>
      <c r="CQ20" s="200"/>
      <c r="CR20" s="201"/>
    </row>
    <row r="21" spans="2:96" x14ac:dyDescent="0.25">
      <c r="B21" s="191"/>
      <c r="C21" s="224">
        <v>2019</v>
      </c>
      <c r="D21" s="102" t="s">
        <v>1633</v>
      </c>
      <c r="E21" s="225" t="s">
        <v>1634</v>
      </c>
      <c r="F21" s="226">
        <v>43593</v>
      </c>
      <c r="G21" s="227" t="s">
        <v>34</v>
      </c>
      <c r="H21" s="228">
        <v>0.2</v>
      </c>
      <c r="I21" s="228">
        <f t="shared" si="82"/>
        <v>0.18</v>
      </c>
      <c r="J21" s="229">
        <v>3000000</v>
      </c>
      <c r="K21" s="230">
        <f t="shared" si="83"/>
        <v>-2.0000000000000018E-2</v>
      </c>
      <c r="L21" s="231"/>
      <c r="M21" s="232">
        <f t="shared" si="84"/>
        <v>3</v>
      </c>
      <c r="N21" s="233" t="s">
        <v>25</v>
      </c>
      <c r="O21" s="232">
        <v>2</v>
      </c>
      <c r="P21" s="233" t="s">
        <v>458</v>
      </c>
      <c r="Q21" s="233"/>
      <c r="R21" s="15"/>
      <c r="S21" s="24"/>
      <c r="T21" s="62"/>
      <c r="U21" s="202">
        <f t="shared" si="1"/>
        <v>18</v>
      </c>
      <c r="V21" s="202">
        <f t="shared" si="2"/>
        <v>20</v>
      </c>
      <c r="W21" s="202">
        <f t="shared" si="3"/>
        <v>43</v>
      </c>
      <c r="X21" s="202">
        <f t="shared" si="4"/>
        <v>0</v>
      </c>
      <c r="Y21" s="202">
        <f t="shared" si="5"/>
        <v>0</v>
      </c>
      <c r="Z21" s="202">
        <f t="shared" si="6"/>
        <v>0</v>
      </c>
      <c r="AA21" s="202">
        <f t="shared" si="7"/>
        <v>0</v>
      </c>
      <c r="AB21" s="202">
        <f t="shared" si="8"/>
        <v>0</v>
      </c>
      <c r="AC21" s="202">
        <f t="shared" si="9"/>
        <v>0</v>
      </c>
      <c r="AD21" s="202">
        <f t="shared" si="10"/>
        <v>0</v>
      </c>
      <c r="AE21" s="202">
        <f t="shared" si="11"/>
        <v>0</v>
      </c>
      <c r="AF21" s="202">
        <f t="shared" si="12"/>
        <v>0</v>
      </c>
      <c r="AG21" s="202">
        <f t="shared" si="13"/>
        <v>0</v>
      </c>
      <c r="AH21" s="202">
        <f t="shared" si="14"/>
        <v>0</v>
      </c>
      <c r="AI21" s="202">
        <f t="shared" si="15"/>
        <v>0</v>
      </c>
      <c r="AJ21" s="202">
        <f t="shared" si="16"/>
        <v>0</v>
      </c>
      <c r="AK21" s="202">
        <f t="shared" si="17"/>
        <v>0</v>
      </c>
      <c r="AL21" s="202">
        <f t="shared" si="18"/>
        <v>0</v>
      </c>
      <c r="AM21" s="202">
        <f t="shared" si="19"/>
        <v>0</v>
      </c>
      <c r="AN21" s="202">
        <f t="shared" si="20"/>
        <v>0</v>
      </c>
      <c r="AO21" s="202">
        <f t="shared" si="21"/>
        <v>0</v>
      </c>
      <c r="AP21" s="202">
        <f t="shared" si="22"/>
        <v>0</v>
      </c>
      <c r="AQ21" s="202">
        <f t="shared" si="23"/>
        <v>0</v>
      </c>
      <c r="AR21" s="202">
        <f t="shared" si="24"/>
        <v>0</v>
      </c>
      <c r="AS21" s="202">
        <f t="shared" si="25"/>
        <v>0</v>
      </c>
      <c r="AU21" s="200" t="s">
        <v>1635</v>
      </c>
      <c r="AV21" s="201">
        <v>18</v>
      </c>
      <c r="AW21" s="200" t="s">
        <v>1636</v>
      </c>
      <c r="AX21" s="201">
        <v>20</v>
      </c>
      <c r="AY21" s="200" t="s">
        <v>1637</v>
      </c>
      <c r="AZ21" s="201">
        <v>43</v>
      </c>
      <c r="BA21" s="200"/>
      <c r="BB21" s="201"/>
      <c r="BC21" s="200"/>
      <c r="BD21" s="201"/>
      <c r="BE21" s="200"/>
      <c r="BF21" s="201"/>
      <c r="BG21" s="200"/>
      <c r="BH21" s="201"/>
      <c r="BI21" s="200"/>
      <c r="BJ21" s="201"/>
      <c r="BK21" s="200"/>
      <c r="BL21" s="201"/>
      <c r="BM21" s="200"/>
      <c r="BN21" s="201"/>
      <c r="BO21" s="200"/>
      <c r="BP21" s="201"/>
      <c r="BQ21" s="200"/>
      <c r="BR21" s="201"/>
      <c r="BS21" s="200"/>
      <c r="BT21" s="201"/>
      <c r="BU21" s="200"/>
      <c r="BV21" s="201"/>
      <c r="BW21" s="200"/>
      <c r="BX21" s="201"/>
      <c r="BY21" s="200"/>
      <c r="BZ21" s="201"/>
      <c r="CA21" s="200"/>
      <c r="CB21" s="201"/>
      <c r="CC21" s="200"/>
      <c r="CD21" s="201"/>
      <c r="CE21" s="200"/>
      <c r="CF21" s="201"/>
      <c r="CG21" s="200"/>
      <c r="CH21" s="201"/>
      <c r="CI21" s="200"/>
      <c r="CJ21" s="201"/>
      <c r="CK21" s="200"/>
      <c r="CL21" s="201"/>
      <c r="CM21" s="200"/>
      <c r="CN21" s="201"/>
      <c r="CO21" s="200"/>
      <c r="CP21" s="201"/>
      <c r="CQ21" s="200"/>
      <c r="CR21" s="201"/>
    </row>
    <row r="22" spans="2:96" x14ac:dyDescent="0.25">
      <c r="B22" s="191"/>
      <c r="C22" s="224">
        <v>2019</v>
      </c>
      <c r="D22" s="102" t="s">
        <v>1617</v>
      </c>
      <c r="E22" s="225" t="s">
        <v>1618</v>
      </c>
      <c r="F22" s="226">
        <v>43573</v>
      </c>
      <c r="G22" s="227" t="s">
        <v>34</v>
      </c>
      <c r="H22" s="228">
        <v>0.1</v>
      </c>
      <c r="I22" s="228">
        <f t="shared" si="82"/>
        <v>2.8999999999999998E-2</v>
      </c>
      <c r="J22" s="229">
        <v>20000000</v>
      </c>
      <c r="K22" s="230">
        <f t="shared" si="83"/>
        <v>-7.1000000000000008E-2</v>
      </c>
      <c r="L22" s="231"/>
      <c r="M22" s="232">
        <f t="shared" si="84"/>
        <v>9</v>
      </c>
      <c r="N22" s="233" t="s">
        <v>25</v>
      </c>
      <c r="O22" s="232">
        <v>2</v>
      </c>
      <c r="P22" s="233" t="s">
        <v>458</v>
      </c>
      <c r="Q22" s="233"/>
      <c r="R22" s="15"/>
      <c r="S22" s="24"/>
      <c r="T22" s="62"/>
      <c r="U22" s="202">
        <f>+AV22</f>
        <v>3.48</v>
      </c>
      <c r="V22" s="202">
        <f>+AX22</f>
        <v>3.99</v>
      </c>
      <c r="W22" s="202">
        <f>+AZ22</f>
        <v>13.86</v>
      </c>
      <c r="X22" s="202">
        <f>+BB22</f>
        <v>2.9</v>
      </c>
      <c r="Y22" s="202">
        <f>+BD22</f>
        <v>8.86</v>
      </c>
      <c r="Z22" s="202">
        <f>+BF22</f>
        <v>22.85</v>
      </c>
      <c r="AA22" s="202">
        <f>+BH22</f>
        <v>19</v>
      </c>
      <c r="AB22" s="202">
        <f>+BJ22</f>
        <v>24.5</v>
      </c>
      <c r="AC22" s="202">
        <f>+BL22</f>
        <v>23.7</v>
      </c>
      <c r="AD22" s="202">
        <f>+BN22</f>
        <v>0</v>
      </c>
      <c r="AE22" s="202">
        <f>+BP22</f>
        <v>0</v>
      </c>
      <c r="AF22" s="202">
        <f>+BR22</f>
        <v>0</v>
      </c>
      <c r="AG22" s="202">
        <f>+BT22</f>
        <v>0</v>
      </c>
      <c r="AH22" s="202">
        <f>+BV22</f>
        <v>0</v>
      </c>
      <c r="AI22" s="202">
        <f>+BX22</f>
        <v>0</v>
      </c>
      <c r="AJ22" s="202">
        <f>+BZ22</f>
        <v>0</v>
      </c>
      <c r="AK22" s="202">
        <f>+CB22</f>
        <v>0</v>
      </c>
      <c r="AL22" s="202">
        <f>+CD22</f>
        <v>0</v>
      </c>
      <c r="AM22" s="202">
        <f>+CF22</f>
        <v>0</v>
      </c>
      <c r="AN22" s="202">
        <f>+CH22</f>
        <v>0</v>
      </c>
      <c r="AO22" s="202">
        <f>+CJ22</f>
        <v>0</v>
      </c>
      <c r="AP22" s="202">
        <f>+CL22</f>
        <v>0</v>
      </c>
      <c r="AQ22" s="202">
        <f>+CN22</f>
        <v>0</v>
      </c>
      <c r="AR22" s="202">
        <f>+CP22</f>
        <v>0</v>
      </c>
      <c r="AS22" s="202">
        <f>+CR22</f>
        <v>0</v>
      </c>
      <c r="AU22" s="200" t="s">
        <v>440</v>
      </c>
      <c r="AV22" s="201">
        <v>3.48</v>
      </c>
      <c r="AW22" s="200" t="s">
        <v>491</v>
      </c>
      <c r="AX22" s="201">
        <v>3.99</v>
      </c>
      <c r="AY22" s="200" t="s">
        <v>1439</v>
      </c>
      <c r="AZ22" s="201">
        <v>13.86</v>
      </c>
      <c r="BA22" s="200" t="s">
        <v>507</v>
      </c>
      <c r="BB22" s="201">
        <v>2.9</v>
      </c>
      <c r="BC22" s="200" t="s">
        <v>788</v>
      </c>
      <c r="BD22" s="201">
        <v>8.86</v>
      </c>
      <c r="BE22" s="200" t="s">
        <v>1604</v>
      </c>
      <c r="BF22" s="201">
        <v>22.85</v>
      </c>
      <c r="BG22" s="200" t="s">
        <v>605</v>
      </c>
      <c r="BH22" s="201">
        <v>19</v>
      </c>
      <c r="BI22" s="200" t="s">
        <v>561</v>
      </c>
      <c r="BJ22" s="201">
        <v>24.5</v>
      </c>
      <c r="BK22" s="200" t="s">
        <v>554</v>
      </c>
      <c r="BL22" s="201">
        <v>23.7</v>
      </c>
      <c r="BM22" s="200"/>
      <c r="BN22" s="201"/>
      <c r="BO22" s="200"/>
      <c r="BP22" s="201"/>
      <c r="BQ22" s="200"/>
      <c r="BR22" s="201"/>
      <c r="BS22" s="200"/>
      <c r="BT22" s="201"/>
      <c r="BU22" s="200"/>
      <c r="BV22" s="201"/>
      <c r="BW22" s="200"/>
      <c r="BX22" s="201"/>
      <c r="BY22" s="200"/>
      <c r="BZ22" s="201"/>
      <c r="CA22" s="200"/>
      <c r="CB22" s="201"/>
      <c r="CC22" s="200"/>
      <c r="CD22" s="201"/>
      <c r="CE22" s="200"/>
      <c r="CF22" s="201"/>
      <c r="CG22" s="200"/>
      <c r="CH22" s="201"/>
      <c r="CI22" s="200"/>
      <c r="CJ22" s="201"/>
      <c r="CK22" s="200"/>
      <c r="CL22" s="201"/>
      <c r="CM22" s="200"/>
      <c r="CN22" s="201"/>
      <c r="CO22" s="200"/>
      <c r="CP22" s="201"/>
      <c r="CQ22" s="200"/>
      <c r="CR22" s="201"/>
    </row>
    <row r="23" spans="2:96" x14ac:dyDescent="0.25">
      <c r="B23" s="191"/>
      <c r="C23" s="224">
        <v>2019</v>
      </c>
      <c r="D23" s="102" t="s">
        <v>1601</v>
      </c>
      <c r="E23" s="225" t="s">
        <v>1602</v>
      </c>
      <c r="F23" s="226">
        <v>43557</v>
      </c>
      <c r="G23" s="227" t="s">
        <v>34</v>
      </c>
      <c r="H23" s="228">
        <v>0.15</v>
      </c>
      <c r="I23" s="228">
        <f t="shared" si="82"/>
        <v>0.06</v>
      </c>
      <c r="J23" s="229">
        <v>6000000</v>
      </c>
      <c r="K23" s="230">
        <f t="shared" si="83"/>
        <v>-0.09</v>
      </c>
      <c r="L23" s="231"/>
      <c r="M23" s="232">
        <f t="shared" si="84"/>
        <v>10</v>
      </c>
      <c r="N23" s="233" t="s">
        <v>25</v>
      </c>
      <c r="O23" s="232">
        <v>2</v>
      </c>
      <c r="P23" s="233" t="s">
        <v>458</v>
      </c>
      <c r="Q23" s="233"/>
      <c r="R23" s="15"/>
      <c r="S23" s="24"/>
      <c r="T23" s="62"/>
      <c r="U23" s="202">
        <f t="shared" si="1"/>
        <v>6</v>
      </c>
      <c r="V23" s="202">
        <f t="shared" si="2"/>
        <v>8.85</v>
      </c>
      <c r="W23" s="202">
        <f t="shared" si="3"/>
        <v>19.5</v>
      </c>
      <c r="X23" s="202">
        <f t="shared" si="4"/>
        <v>6.6</v>
      </c>
      <c r="Y23" s="202">
        <f t="shared" si="5"/>
        <v>9</v>
      </c>
      <c r="Z23" s="202">
        <f t="shared" si="6"/>
        <v>22.875</v>
      </c>
      <c r="AA23" s="202">
        <f t="shared" si="7"/>
        <v>23.99</v>
      </c>
      <c r="AB23" s="202">
        <f t="shared" si="8"/>
        <v>37.82</v>
      </c>
      <c r="AC23" s="202">
        <f t="shared" si="9"/>
        <v>26.5</v>
      </c>
      <c r="AD23" s="202">
        <f t="shared" si="10"/>
        <v>24.84</v>
      </c>
      <c r="AE23" s="202">
        <f t="shared" si="11"/>
        <v>0</v>
      </c>
      <c r="AF23" s="202">
        <f t="shared" si="12"/>
        <v>0</v>
      </c>
      <c r="AG23" s="202">
        <f t="shared" si="13"/>
        <v>0</v>
      </c>
      <c r="AH23" s="202">
        <f t="shared" si="14"/>
        <v>0</v>
      </c>
      <c r="AI23" s="202">
        <f t="shared" si="15"/>
        <v>0</v>
      </c>
      <c r="AJ23" s="202">
        <f t="shared" si="16"/>
        <v>0</v>
      </c>
      <c r="AK23" s="202">
        <f t="shared" si="17"/>
        <v>0</v>
      </c>
      <c r="AL23" s="202">
        <f t="shared" si="18"/>
        <v>0</v>
      </c>
      <c r="AM23" s="202">
        <f t="shared" si="19"/>
        <v>0</v>
      </c>
      <c r="AN23" s="202">
        <f t="shared" si="20"/>
        <v>0</v>
      </c>
      <c r="AO23" s="202">
        <f t="shared" si="21"/>
        <v>0</v>
      </c>
      <c r="AP23" s="202">
        <f t="shared" si="22"/>
        <v>0</v>
      </c>
      <c r="AQ23" s="202">
        <f t="shared" si="23"/>
        <v>0</v>
      </c>
      <c r="AR23" s="202">
        <f t="shared" si="24"/>
        <v>0</v>
      </c>
      <c r="AS23" s="202">
        <f t="shared" si="25"/>
        <v>0</v>
      </c>
      <c r="AU23" s="200" t="s">
        <v>605</v>
      </c>
      <c r="AV23" s="201">
        <v>6</v>
      </c>
      <c r="AW23" s="200" t="s">
        <v>440</v>
      </c>
      <c r="AX23" s="201">
        <v>8.85</v>
      </c>
      <c r="AY23" s="200" t="s">
        <v>1485</v>
      </c>
      <c r="AZ23" s="201">
        <v>19.5</v>
      </c>
      <c r="BA23" s="200" t="s">
        <v>491</v>
      </c>
      <c r="BB23" s="201">
        <v>6.6</v>
      </c>
      <c r="BC23" s="200" t="s">
        <v>1603</v>
      </c>
      <c r="BD23" s="201">
        <v>9</v>
      </c>
      <c r="BE23" s="200" t="s">
        <v>1604</v>
      </c>
      <c r="BF23" s="201">
        <v>22.875</v>
      </c>
      <c r="BG23" s="200" t="s">
        <v>1605</v>
      </c>
      <c r="BH23" s="201">
        <v>23.99</v>
      </c>
      <c r="BI23" s="200" t="s">
        <v>740</v>
      </c>
      <c r="BJ23" s="201">
        <v>37.82</v>
      </c>
      <c r="BK23" s="200" t="s">
        <v>561</v>
      </c>
      <c r="BL23" s="201">
        <v>26.5</v>
      </c>
      <c r="BM23" s="200" t="s">
        <v>1131</v>
      </c>
      <c r="BN23" s="201">
        <v>24.84</v>
      </c>
      <c r="BO23" s="200"/>
      <c r="BP23" s="201"/>
      <c r="BQ23" s="200"/>
      <c r="BR23" s="201"/>
      <c r="BS23" s="200"/>
      <c r="BT23" s="201"/>
      <c r="BU23" s="200"/>
      <c r="BV23" s="201"/>
      <c r="BW23" s="200"/>
      <c r="BX23" s="201"/>
      <c r="BY23" s="200"/>
      <c r="BZ23" s="201"/>
      <c r="CA23" s="200"/>
      <c r="CB23" s="201"/>
      <c r="CC23" s="200"/>
      <c r="CD23" s="201"/>
      <c r="CE23" s="200"/>
      <c r="CF23" s="201"/>
      <c r="CG23" s="200"/>
      <c r="CH23" s="201"/>
      <c r="CI23" s="200"/>
      <c r="CJ23" s="201"/>
      <c r="CK23" s="200"/>
      <c r="CL23" s="201"/>
      <c r="CM23" s="200"/>
      <c r="CN23" s="201"/>
      <c r="CO23" s="200"/>
      <c r="CP23" s="201"/>
      <c r="CQ23" s="200"/>
      <c r="CR23" s="201"/>
    </row>
    <row r="24" spans="2:96" x14ac:dyDescent="0.25">
      <c r="B24" s="191"/>
      <c r="C24" s="224">
        <v>2019</v>
      </c>
      <c r="D24" s="102" t="s">
        <v>1599</v>
      </c>
      <c r="E24" s="225" t="s">
        <v>1600</v>
      </c>
      <c r="F24" s="226">
        <v>43545</v>
      </c>
      <c r="G24" s="227" t="s">
        <v>1341</v>
      </c>
      <c r="H24" s="228">
        <v>0.27</v>
      </c>
      <c r="I24" s="228">
        <f t="shared" si="82"/>
        <v>0.28999999999999998</v>
      </c>
      <c r="J24" s="229">
        <v>2400000</v>
      </c>
      <c r="K24" s="230">
        <f t="shared" si="83"/>
        <v>1.9999999999999962E-2</v>
      </c>
      <c r="L24" s="231"/>
      <c r="M24" s="232">
        <f t="shared" si="84"/>
        <v>3</v>
      </c>
      <c r="N24" s="233" t="s">
        <v>93</v>
      </c>
      <c r="O24" s="232">
        <v>1</v>
      </c>
      <c r="P24" s="233" t="s">
        <v>1529</v>
      </c>
      <c r="Q24" s="233"/>
      <c r="R24" s="15"/>
      <c r="S24" s="24"/>
      <c r="T24" s="62"/>
      <c r="U24" s="202">
        <f>+AV24</f>
        <v>42</v>
      </c>
      <c r="V24" s="202">
        <f>+AX24</f>
        <v>29</v>
      </c>
      <c r="W24" s="202">
        <f>+AZ24</f>
        <v>48</v>
      </c>
      <c r="X24" s="202">
        <f>+BB24</f>
        <v>0</v>
      </c>
      <c r="Y24" s="202">
        <f>+BD24</f>
        <v>0</v>
      </c>
      <c r="Z24" s="202">
        <f>+BF24</f>
        <v>0</v>
      </c>
      <c r="AA24" s="202">
        <f>+BH24</f>
        <v>0</v>
      </c>
      <c r="AB24" s="202">
        <f>+BJ24</f>
        <v>0</v>
      </c>
      <c r="AC24" s="202">
        <f>+BL24</f>
        <v>0</v>
      </c>
      <c r="AD24" s="202">
        <f>+BN24</f>
        <v>0</v>
      </c>
      <c r="AE24" s="202">
        <f>+BP24</f>
        <v>0</v>
      </c>
      <c r="AF24" s="202">
        <f>+BR24</f>
        <v>0</v>
      </c>
      <c r="AG24" s="202">
        <f>+BT24</f>
        <v>0</v>
      </c>
      <c r="AH24" s="202">
        <f>+BV24</f>
        <v>0</v>
      </c>
      <c r="AI24" s="202">
        <f>+BX24</f>
        <v>0</v>
      </c>
      <c r="AJ24" s="202">
        <f>+BZ24</f>
        <v>0</v>
      </c>
      <c r="AK24" s="202">
        <f>+CB24</f>
        <v>0</v>
      </c>
      <c r="AL24" s="202">
        <f>+CD24</f>
        <v>0</v>
      </c>
      <c r="AM24" s="202">
        <f>+CF24</f>
        <v>0</v>
      </c>
      <c r="AN24" s="202">
        <f>+CH24</f>
        <v>0</v>
      </c>
      <c r="AO24" s="202">
        <f>+CJ24</f>
        <v>0</v>
      </c>
      <c r="AP24" s="202">
        <f>+CL24</f>
        <v>0</v>
      </c>
      <c r="AQ24" s="202">
        <f>+CN24</f>
        <v>0</v>
      </c>
      <c r="AR24" s="202">
        <f>+CP24</f>
        <v>0</v>
      </c>
      <c r="AS24" s="202">
        <f>+CR24</f>
        <v>0</v>
      </c>
      <c r="AU24" s="200" t="s">
        <v>1054</v>
      </c>
      <c r="AV24" s="201">
        <v>42</v>
      </c>
      <c r="AW24" s="200" t="s">
        <v>1593</v>
      </c>
      <c r="AX24" s="201">
        <v>29</v>
      </c>
      <c r="AY24" s="200" t="s">
        <v>725</v>
      </c>
      <c r="AZ24" s="201">
        <v>48</v>
      </c>
      <c r="BA24" s="200"/>
      <c r="BB24" s="201"/>
      <c r="BC24" s="200"/>
      <c r="BD24" s="201"/>
      <c r="BE24" s="200"/>
      <c r="BF24" s="201"/>
      <c r="BG24" s="200"/>
      <c r="BH24" s="201"/>
      <c r="BI24" s="200"/>
      <c r="BJ24" s="201"/>
      <c r="BK24" s="200"/>
      <c r="BL24" s="201"/>
      <c r="BM24" s="200"/>
      <c r="BN24" s="201"/>
      <c r="BO24" s="200"/>
      <c r="BP24" s="201"/>
      <c r="BQ24" s="200"/>
      <c r="BR24" s="201"/>
      <c r="BS24" s="200"/>
      <c r="BT24" s="201"/>
      <c r="BU24" s="200"/>
      <c r="BV24" s="201"/>
      <c r="BW24" s="200"/>
      <c r="BX24" s="201"/>
      <c r="BY24" s="200"/>
      <c r="BZ24" s="201"/>
      <c r="CA24" s="200"/>
      <c r="CB24" s="201"/>
      <c r="CC24" s="200"/>
      <c r="CD24" s="201"/>
      <c r="CE24" s="200"/>
      <c r="CF24" s="201"/>
      <c r="CG24" s="200"/>
      <c r="CH24" s="201"/>
      <c r="CI24" s="200"/>
      <c r="CJ24" s="201"/>
      <c r="CK24" s="200"/>
      <c r="CL24" s="201"/>
      <c r="CM24" s="200"/>
      <c r="CN24" s="201"/>
      <c r="CO24" s="200"/>
      <c r="CP24" s="201"/>
      <c r="CQ24" s="200"/>
      <c r="CR24" s="201"/>
    </row>
    <row r="25" spans="2:96" x14ac:dyDescent="0.25">
      <c r="B25" s="191"/>
      <c r="C25" s="210">
        <v>2019</v>
      </c>
      <c r="D25" s="211" t="s">
        <v>1591</v>
      </c>
      <c r="E25" s="212" t="s">
        <v>1592</v>
      </c>
      <c r="F25" s="213">
        <v>43531</v>
      </c>
      <c r="G25" s="214" t="s">
        <v>1341</v>
      </c>
      <c r="H25" s="215">
        <v>0.3</v>
      </c>
      <c r="I25" s="215">
        <f t="shared" si="82"/>
        <v>0.1925</v>
      </c>
      <c r="J25" s="216">
        <v>2400000</v>
      </c>
      <c r="K25" s="217">
        <f t="shared" si="83"/>
        <v>-0.10749999999999998</v>
      </c>
      <c r="L25" s="13"/>
      <c r="M25" s="28">
        <f t="shared" si="84"/>
        <v>4</v>
      </c>
      <c r="N25" s="34" t="s">
        <v>226</v>
      </c>
      <c r="O25" s="28">
        <v>1</v>
      </c>
      <c r="P25" s="34" t="s">
        <v>457</v>
      </c>
      <c r="Q25" s="34"/>
      <c r="R25" s="15"/>
      <c r="S25" s="24"/>
      <c r="T25" s="62"/>
      <c r="U25" s="202">
        <f t="shared" si="1"/>
        <v>19.25</v>
      </c>
      <c r="V25" s="202">
        <f t="shared" si="2"/>
        <v>20</v>
      </c>
      <c r="W25" s="202">
        <f t="shared" si="3"/>
        <v>45</v>
      </c>
      <c r="X25" s="202">
        <f t="shared" si="4"/>
        <v>75</v>
      </c>
      <c r="Y25" s="202">
        <f t="shared" si="5"/>
        <v>0</v>
      </c>
      <c r="Z25" s="202">
        <f t="shared" si="6"/>
        <v>0</v>
      </c>
      <c r="AA25" s="202">
        <f t="shared" si="7"/>
        <v>0</v>
      </c>
      <c r="AB25" s="202">
        <f t="shared" si="8"/>
        <v>0</v>
      </c>
      <c r="AC25" s="202">
        <f t="shared" si="9"/>
        <v>0</v>
      </c>
      <c r="AD25" s="202">
        <f t="shared" si="10"/>
        <v>0</v>
      </c>
      <c r="AE25" s="202">
        <f t="shared" si="11"/>
        <v>0</v>
      </c>
      <c r="AF25" s="202">
        <f t="shared" si="12"/>
        <v>0</v>
      </c>
      <c r="AG25" s="202">
        <f t="shared" si="13"/>
        <v>0</v>
      </c>
      <c r="AH25" s="202">
        <f t="shared" si="14"/>
        <v>0</v>
      </c>
      <c r="AI25" s="202">
        <f t="shared" si="15"/>
        <v>0</v>
      </c>
      <c r="AJ25" s="202">
        <f t="shared" si="16"/>
        <v>0</v>
      </c>
      <c r="AK25" s="202">
        <f t="shared" si="17"/>
        <v>0</v>
      </c>
      <c r="AL25" s="202">
        <f t="shared" si="18"/>
        <v>0</v>
      </c>
      <c r="AM25" s="202">
        <f t="shared" si="19"/>
        <v>0</v>
      </c>
      <c r="AN25" s="202">
        <f t="shared" si="20"/>
        <v>0</v>
      </c>
      <c r="AO25" s="202">
        <f t="shared" si="21"/>
        <v>0</v>
      </c>
      <c r="AP25" s="202">
        <f t="shared" si="22"/>
        <v>0</v>
      </c>
      <c r="AQ25" s="202">
        <f t="shared" si="23"/>
        <v>0</v>
      </c>
      <c r="AR25" s="202">
        <f t="shared" si="24"/>
        <v>0</v>
      </c>
      <c r="AS25" s="202">
        <f t="shared" si="25"/>
        <v>0</v>
      </c>
      <c r="AU25" s="200" t="s">
        <v>605</v>
      </c>
      <c r="AV25" s="201">
        <v>19.25</v>
      </c>
      <c r="AW25" s="200" t="s">
        <v>1593</v>
      </c>
      <c r="AX25" s="201">
        <v>20</v>
      </c>
      <c r="AY25" s="200" t="s">
        <v>725</v>
      </c>
      <c r="AZ25" s="201">
        <v>45</v>
      </c>
      <c r="BA25" s="200" t="s">
        <v>1054</v>
      </c>
      <c r="BB25" s="201">
        <v>75</v>
      </c>
      <c r="BC25" s="200"/>
      <c r="BD25" s="201"/>
      <c r="BE25" s="200"/>
      <c r="BF25" s="201"/>
      <c r="BG25" s="200"/>
      <c r="BH25" s="201"/>
      <c r="BI25" s="200"/>
      <c r="BJ25" s="201"/>
      <c r="BK25" s="200"/>
      <c r="BL25" s="201"/>
      <c r="BM25" s="200"/>
      <c r="BN25" s="201"/>
      <c r="BO25" s="200"/>
      <c r="BP25" s="201"/>
      <c r="BQ25" s="200"/>
      <c r="BR25" s="201"/>
      <c r="BS25" s="200"/>
      <c r="BT25" s="201"/>
      <c r="BU25" s="200"/>
      <c r="BV25" s="201"/>
      <c r="BW25" s="200"/>
      <c r="BX25" s="201"/>
      <c r="BY25" s="200"/>
      <c r="BZ25" s="201"/>
      <c r="CA25" s="200"/>
      <c r="CB25" s="201"/>
      <c r="CC25" s="200"/>
      <c r="CD25" s="201"/>
      <c r="CE25" s="200"/>
      <c r="CF25" s="201"/>
      <c r="CG25" s="200"/>
      <c r="CH25" s="201"/>
      <c r="CI25" s="200"/>
      <c r="CJ25" s="201"/>
      <c r="CK25" s="200"/>
      <c r="CL25" s="201"/>
      <c r="CM25" s="200"/>
      <c r="CN25" s="201"/>
      <c r="CO25" s="200"/>
      <c r="CP25" s="201"/>
      <c r="CQ25" s="200"/>
      <c r="CR25" s="201"/>
    </row>
    <row r="26" spans="2:96" x14ac:dyDescent="0.25">
      <c r="B26" s="191"/>
      <c r="C26" s="206">
        <v>2019</v>
      </c>
      <c r="D26" s="207" t="s">
        <v>1552</v>
      </c>
      <c r="E26" s="208"/>
      <c r="F26" s="218">
        <f>COUNTA(F7:F25)</f>
        <v>18</v>
      </c>
      <c r="G26" s="218"/>
      <c r="H26" s="219"/>
      <c r="I26" s="219"/>
      <c r="J26" s="219">
        <f>SUM(J7:J25)</f>
        <v>243410000</v>
      </c>
      <c r="K26" s="220"/>
      <c r="L26" s="218"/>
      <c r="M26" s="221">
        <f>SUM(M7:M25)/F26</f>
        <v>5.833333333333333</v>
      </c>
      <c r="N26" s="222"/>
      <c r="O26" s="218"/>
      <c r="P26" s="223"/>
      <c r="Q26" s="218"/>
      <c r="T26" s="62"/>
    </row>
    <row r="27" spans="2:96" x14ac:dyDescent="0.25">
      <c r="B27" s="191"/>
      <c r="C27" s="39"/>
      <c r="D27" s="62"/>
      <c r="E27" s="63"/>
      <c r="F27" s="64"/>
      <c r="G27" s="65"/>
      <c r="H27" s="94"/>
      <c r="I27" s="94"/>
      <c r="J27" s="94"/>
      <c r="K27" s="148"/>
      <c r="L27" s="11"/>
      <c r="M27" s="15"/>
      <c r="N27" s="35"/>
      <c r="O27" s="15"/>
      <c r="P27" s="35"/>
      <c r="Q27" s="35"/>
      <c r="R27" s="15"/>
      <c r="S27" s="24"/>
      <c r="T27" s="62"/>
    </row>
    <row r="28" spans="2:96" x14ac:dyDescent="0.25">
      <c r="F28" s="209" t="s">
        <v>1553</v>
      </c>
      <c r="G28" s="15"/>
      <c r="J28" s="94">
        <f>+J25+J24+J17+J11+J8</f>
        <v>10300000</v>
      </c>
    </row>
    <row r="31" spans="2:96" ht="7.5" customHeight="1" x14ac:dyDescent="0.25">
      <c r="C31" s="39"/>
      <c r="G31" s="45"/>
      <c r="Q31" s="11"/>
    </row>
    <row r="32" spans="2:96" x14ac:dyDescent="0.25">
      <c r="B32" s="191"/>
      <c r="C32" s="205">
        <v>2018</v>
      </c>
      <c r="D32" s="62" t="s">
        <v>1549</v>
      </c>
      <c r="E32" s="63" t="s">
        <v>1550</v>
      </c>
      <c r="F32" s="64">
        <v>43461</v>
      </c>
      <c r="G32" s="65" t="s">
        <v>1341</v>
      </c>
      <c r="H32" s="165">
        <v>0.5</v>
      </c>
      <c r="I32" s="165">
        <f t="shared" ref="I32:I39" si="85">(SMALL(U32:AT32,COUNTIF(U32:AT32,0)+1)/100)</f>
        <v>0.13500000000000001</v>
      </c>
      <c r="J32" s="94">
        <v>2400000</v>
      </c>
      <c r="K32" s="148">
        <f t="shared" ref="K32:K39" si="86">+I32-H32</f>
        <v>-0.36499999999999999</v>
      </c>
      <c r="L32" s="11"/>
      <c r="M32" s="15">
        <f t="shared" ref="M32:M39" si="87">COUNTIF(U32:AT32,"&gt;0")</f>
        <v>2</v>
      </c>
      <c r="N32" s="35" t="s">
        <v>226</v>
      </c>
      <c r="O32" s="15">
        <v>4</v>
      </c>
      <c r="P32" s="35" t="s">
        <v>459</v>
      </c>
      <c r="Q32" s="35"/>
      <c r="R32" s="15"/>
      <c r="S32" s="24"/>
      <c r="T32" s="62"/>
      <c r="U32" s="202">
        <f t="shared" ref="U32:U39" si="88">+AV32</f>
        <v>13.5</v>
      </c>
      <c r="V32" s="202">
        <f t="shared" ref="V32:V39" si="89">+AX32</f>
        <v>29.65</v>
      </c>
      <c r="W32" s="202">
        <f t="shared" ref="W32:W39" si="90">+AZ32</f>
        <v>0</v>
      </c>
      <c r="X32" s="202">
        <f t="shared" ref="X32:X39" si="91">+BB32</f>
        <v>0</v>
      </c>
      <c r="Y32" s="202">
        <f t="shared" ref="Y32:Y39" si="92">+BD32</f>
        <v>0</v>
      </c>
      <c r="Z32" s="202">
        <f t="shared" ref="Z32:Z39" si="93">+BF32</f>
        <v>0</v>
      </c>
      <c r="AA32" s="202">
        <f t="shared" ref="AA32:AA39" si="94">+BH32</f>
        <v>0</v>
      </c>
      <c r="AB32" s="202">
        <f t="shared" ref="AB32:AB39" si="95">+BJ32</f>
        <v>0</v>
      </c>
      <c r="AC32" s="202">
        <f t="shared" ref="AC32:AC39" si="96">+BL32</f>
        <v>0</v>
      </c>
      <c r="AD32" s="202">
        <f t="shared" ref="AD32:AD39" si="97">+BN32</f>
        <v>0</v>
      </c>
      <c r="AE32" s="202">
        <f t="shared" ref="AE32:AE39" si="98">+BP32</f>
        <v>0</v>
      </c>
      <c r="AF32" s="202">
        <f t="shared" ref="AF32:AF39" si="99">+BR32</f>
        <v>0</v>
      </c>
      <c r="AG32" s="202">
        <f t="shared" ref="AG32:AG39" si="100">+BT32</f>
        <v>0</v>
      </c>
      <c r="AH32" s="202">
        <f t="shared" ref="AH32:AH39" si="101">+BV32</f>
        <v>0</v>
      </c>
      <c r="AI32" s="202">
        <f t="shared" ref="AI32:AI39" si="102">+BX32</f>
        <v>0</v>
      </c>
      <c r="AJ32" s="202">
        <f t="shared" ref="AJ32:AJ39" si="103">+BZ32</f>
        <v>0</v>
      </c>
      <c r="AK32" s="202">
        <f t="shared" ref="AK32:AK39" si="104">+CB32</f>
        <v>0</v>
      </c>
      <c r="AL32" s="202">
        <f t="shared" ref="AL32:AL39" si="105">+CD32</f>
        <v>0</v>
      </c>
      <c r="AM32" s="202">
        <f t="shared" ref="AM32:AM39" si="106">+CF32</f>
        <v>0</v>
      </c>
      <c r="AN32" s="202">
        <f t="shared" ref="AN32:AN39" si="107">+CH32</f>
        <v>0</v>
      </c>
      <c r="AO32" s="202">
        <f t="shared" ref="AO32:AO39" si="108">+CJ32</f>
        <v>0</v>
      </c>
      <c r="AP32" s="202">
        <f t="shared" ref="AP32:AP39" si="109">+CL32</f>
        <v>0</v>
      </c>
      <c r="AQ32" s="202">
        <f t="shared" ref="AQ32:AQ39" si="110">+CN32</f>
        <v>0</v>
      </c>
      <c r="AR32" s="202">
        <f t="shared" ref="AR32:AR39" si="111">+CP32</f>
        <v>0</v>
      </c>
      <c r="AS32" s="202">
        <f t="shared" ref="AS32:AS39" si="112">+CR32</f>
        <v>0</v>
      </c>
      <c r="AU32" s="200" t="s">
        <v>1551</v>
      </c>
      <c r="AV32" s="201">
        <v>13.5</v>
      </c>
      <c r="AW32" s="200" t="s">
        <v>676</v>
      </c>
      <c r="AX32" s="201">
        <v>29.65</v>
      </c>
      <c r="AY32" s="200"/>
      <c r="AZ32" s="201"/>
      <c r="BA32" s="200"/>
      <c r="BB32" s="201"/>
      <c r="BC32" s="200"/>
      <c r="BD32" s="201"/>
      <c r="BE32" s="203"/>
      <c r="BF32" s="204"/>
      <c r="BG32" s="203"/>
      <c r="BH32" s="204"/>
      <c r="BI32" s="203"/>
      <c r="BJ32" s="204"/>
      <c r="BK32" s="203"/>
      <c r="BL32" s="204"/>
      <c r="BM32" s="203"/>
      <c r="BN32" s="204"/>
      <c r="BO32" s="203"/>
      <c r="BP32" s="204"/>
      <c r="BQ32" s="203"/>
      <c r="BR32" s="204"/>
      <c r="BS32" s="203"/>
      <c r="BT32" s="204"/>
      <c r="BU32" s="203"/>
      <c r="BV32" s="204"/>
      <c r="BW32" s="203"/>
      <c r="BX32" s="204"/>
      <c r="BY32" s="203"/>
      <c r="BZ32" s="204"/>
      <c r="CA32" s="203"/>
      <c r="CB32" s="204"/>
      <c r="CC32" s="203"/>
      <c r="CD32" s="204"/>
      <c r="CE32" s="203"/>
      <c r="CF32" s="204"/>
      <c r="CG32" s="203"/>
      <c r="CH32" s="204"/>
      <c r="CI32" s="203"/>
      <c r="CJ32" s="204"/>
      <c r="CK32" s="203"/>
      <c r="CL32" s="204"/>
      <c r="CM32" s="203"/>
      <c r="CN32" s="204"/>
      <c r="CO32" s="203"/>
      <c r="CP32" s="204"/>
      <c r="CQ32" s="203"/>
      <c r="CR32" s="204"/>
    </row>
    <row r="33" spans="2:96" x14ac:dyDescent="0.25">
      <c r="B33" s="191"/>
      <c r="C33" s="205">
        <v>2018</v>
      </c>
      <c r="D33" s="62" t="s">
        <v>1482</v>
      </c>
      <c r="E33" s="63" t="s">
        <v>1483</v>
      </c>
      <c r="F33" s="64">
        <v>43447</v>
      </c>
      <c r="G33" s="65" t="str">
        <f>+'TEB-144.055'!$G$7</f>
        <v>Public</v>
      </c>
      <c r="H33" s="165">
        <v>0.15</v>
      </c>
      <c r="I33" s="165">
        <f t="shared" si="85"/>
        <v>0.11939999999999999</v>
      </c>
      <c r="J33" s="94">
        <v>5000000</v>
      </c>
      <c r="K33" s="148">
        <f t="shared" si="86"/>
        <v>-3.0600000000000002E-2</v>
      </c>
      <c r="L33" s="11"/>
      <c r="M33" s="15">
        <f t="shared" si="87"/>
        <v>5</v>
      </c>
      <c r="N33" s="35" t="s">
        <v>226</v>
      </c>
      <c r="O33" s="15">
        <v>4</v>
      </c>
      <c r="P33" s="35" t="s">
        <v>459</v>
      </c>
      <c r="Q33" s="35"/>
      <c r="R33" s="15"/>
      <c r="S33" s="24"/>
      <c r="T33" s="62"/>
      <c r="U33" s="202">
        <f t="shared" si="88"/>
        <v>11.94</v>
      </c>
      <c r="V33" s="202">
        <f t="shared" si="89"/>
        <v>13.9</v>
      </c>
      <c r="W33" s="202">
        <f t="shared" si="90"/>
        <v>14.75</v>
      </c>
      <c r="X33" s="202">
        <f t="shared" si="91"/>
        <v>17.7</v>
      </c>
      <c r="Y33" s="202">
        <f t="shared" si="92"/>
        <v>29.1</v>
      </c>
      <c r="Z33" s="202">
        <f t="shared" si="93"/>
        <v>0</v>
      </c>
      <c r="AA33" s="202">
        <f t="shared" si="94"/>
        <v>0</v>
      </c>
      <c r="AB33" s="202">
        <f t="shared" si="95"/>
        <v>0</v>
      </c>
      <c r="AC33" s="202">
        <f t="shared" si="96"/>
        <v>0</v>
      </c>
      <c r="AD33" s="202">
        <f t="shared" si="97"/>
        <v>0</v>
      </c>
      <c r="AE33" s="202">
        <f t="shared" si="98"/>
        <v>0</v>
      </c>
      <c r="AF33" s="202">
        <f t="shared" si="99"/>
        <v>0</v>
      </c>
      <c r="AG33" s="202">
        <f t="shared" si="100"/>
        <v>0</v>
      </c>
      <c r="AH33" s="202">
        <f t="shared" si="101"/>
        <v>0</v>
      </c>
      <c r="AI33" s="202">
        <f t="shared" si="102"/>
        <v>0</v>
      </c>
      <c r="AJ33" s="202">
        <f t="shared" si="103"/>
        <v>0</v>
      </c>
      <c r="AK33" s="202">
        <f t="shared" si="104"/>
        <v>0</v>
      </c>
      <c r="AL33" s="202">
        <f t="shared" si="105"/>
        <v>0</v>
      </c>
      <c r="AM33" s="202">
        <f t="shared" si="106"/>
        <v>0</v>
      </c>
      <c r="AN33" s="202">
        <f t="shared" si="107"/>
        <v>0</v>
      </c>
      <c r="AO33" s="202">
        <f t="shared" si="108"/>
        <v>0</v>
      </c>
      <c r="AP33" s="202">
        <f t="shared" si="109"/>
        <v>0</v>
      </c>
      <c r="AQ33" s="202">
        <f t="shared" si="110"/>
        <v>0</v>
      </c>
      <c r="AR33" s="202">
        <f t="shared" si="111"/>
        <v>0</v>
      </c>
      <c r="AS33" s="202">
        <f t="shared" si="112"/>
        <v>0</v>
      </c>
      <c r="AU33" s="200" t="s">
        <v>440</v>
      </c>
      <c r="AV33" s="201">
        <v>11.94</v>
      </c>
      <c r="AW33" s="200" t="s">
        <v>487</v>
      </c>
      <c r="AX33" s="201">
        <v>13.9</v>
      </c>
      <c r="AY33" s="200" t="s">
        <v>605</v>
      </c>
      <c r="AZ33" s="201">
        <v>14.75</v>
      </c>
      <c r="BA33" s="200" t="s">
        <v>1485</v>
      </c>
      <c r="BB33" s="201">
        <v>17.7</v>
      </c>
      <c r="BC33" s="200" t="s">
        <v>1439</v>
      </c>
      <c r="BD33" s="201">
        <v>29.1</v>
      </c>
      <c r="BE33" s="203"/>
      <c r="BF33" s="204"/>
      <c r="BG33" s="203"/>
      <c r="BH33" s="204"/>
      <c r="BI33" s="203"/>
      <c r="BJ33" s="204"/>
      <c r="BK33" s="203"/>
      <c r="BL33" s="204"/>
      <c r="BM33" s="203"/>
      <c r="BN33" s="204"/>
      <c r="BO33" s="203"/>
      <c r="BP33" s="204"/>
      <c r="BQ33" s="203"/>
      <c r="BR33" s="204"/>
      <c r="BS33" s="203"/>
      <c r="BT33" s="204"/>
      <c r="BU33" s="203"/>
      <c r="BV33" s="204"/>
      <c r="BW33" s="203"/>
      <c r="BX33" s="204"/>
      <c r="BY33" s="203"/>
      <c r="BZ33" s="204"/>
      <c r="CA33" s="203"/>
      <c r="CB33" s="204"/>
      <c r="CC33" s="203"/>
      <c r="CD33" s="204"/>
      <c r="CE33" s="203"/>
      <c r="CF33" s="204"/>
      <c r="CG33" s="203"/>
      <c r="CH33" s="204"/>
      <c r="CI33" s="203"/>
      <c r="CJ33" s="204"/>
      <c r="CK33" s="203"/>
      <c r="CL33" s="204"/>
      <c r="CM33" s="203"/>
      <c r="CN33" s="204"/>
      <c r="CO33" s="203"/>
      <c r="CP33" s="204"/>
      <c r="CQ33" s="203"/>
      <c r="CR33" s="204"/>
    </row>
    <row r="34" spans="2:96" x14ac:dyDescent="0.25">
      <c r="B34" s="191"/>
      <c r="C34" s="205">
        <v>2018</v>
      </c>
      <c r="D34" s="62" t="s">
        <v>1511</v>
      </c>
      <c r="E34" s="63" t="s">
        <v>1512</v>
      </c>
      <c r="F34" s="64">
        <v>43434</v>
      </c>
      <c r="G34" s="65" t="s">
        <v>1341</v>
      </c>
      <c r="H34" s="165">
        <v>0.15</v>
      </c>
      <c r="I34" s="165">
        <f t="shared" si="85"/>
        <v>0.36</v>
      </c>
      <c r="J34" s="94">
        <v>2400000</v>
      </c>
      <c r="K34" s="148">
        <f t="shared" si="86"/>
        <v>0.21</v>
      </c>
      <c r="L34" s="11"/>
      <c r="M34" s="15">
        <f t="shared" si="87"/>
        <v>2</v>
      </c>
      <c r="N34" s="35" t="s">
        <v>93</v>
      </c>
      <c r="O34" s="15">
        <v>4</v>
      </c>
      <c r="P34" s="35" t="s">
        <v>457</v>
      </c>
      <c r="Q34" s="35"/>
      <c r="R34" s="15"/>
      <c r="S34" s="24"/>
      <c r="T34" s="62"/>
      <c r="U34" s="202">
        <f t="shared" si="88"/>
        <v>36</v>
      </c>
      <c r="V34" s="202">
        <f t="shared" si="89"/>
        <v>39</v>
      </c>
      <c r="W34" s="202">
        <f t="shared" si="90"/>
        <v>0</v>
      </c>
      <c r="X34" s="202">
        <f t="shared" si="91"/>
        <v>0</v>
      </c>
      <c r="Y34" s="202">
        <f t="shared" si="92"/>
        <v>0</v>
      </c>
      <c r="Z34" s="202">
        <f t="shared" si="93"/>
        <v>0</v>
      </c>
      <c r="AA34" s="202">
        <f t="shared" si="94"/>
        <v>0</v>
      </c>
      <c r="AB34" s="202">
        <f t="shared" si="95"/>
        <v>0</v>
      </c>
      <c r="AC34" s="202">
        <f t="shared" si="96"/>
        <v>0</v>
      </c>
      <c r="AD34" s="202">
        <f t="shared" si="97"/>
        <v>0</v>
      </c>
      <c r="AE34" s="202">
        <f t="shared" si="98"/>
        <v>0</v>
      </c>
      <c r="AF34" s="202">
        <f t="shared" si="99"/>
        <v>0</v>
      </c>
      <c r="AG34" s="202">
        <f t="shared" si="100"/>
        <v>0</v>
      </c>
      <c r="AH34" s="202">
        <f t="shared" si="101"/>
        <v>0</v>
      </c>
      <c r="AI34" s="202">
        <f t="shared" si="102"/>
        <v>0</v>
      </c>
      <c r="AJ34" s="202">
        <f t="shared" si="103"/>
        <v>0</v>
      </c>
      <c r="AK34" s="202">
        <f t="shared" si="104"/>
        <v>0</v>
      </c>
      <c r="AL34" s="202">
        <f t="shared" si="105"/>
        <v>0</v>
      </c>
      <c r="AM34" s="202">
        <f t="shared" si="106"/>
        <v>0</v>
      </c>
      <c r="AN34" s="202">
        <f t="shared" si="107"/>
        <v>0</v>
      </c>
      <c r="AO34" s="202">
        <f t="shared" si="108"/>
        <v>0</v>
      </c>
      <c r="AP34" s="202">
        <f t="shared" si="109"/>
        <v>0</v>
      </c>
      <c r="AQ34" s="202">
        <f t="shared" si="110"/>
        <v>0</v>
      </c>
      <c r="AR34" s="202">
        <f t="shared" si="111"/>
        <v>0</v>
      </c>
      <c r="AS34" s="202">
        <f t="shared" si="112"/>
        <v>0</v>
      </c>
      <c r="AU34" s="200" t="s">
        <v>1054</v>
      </c>
      <c r="AV34" s="201">
        <v>36</v>
      </c>
      <c r="AW34" s="200" t="s">
        <v>725</v>
      </c>
      <c r="AX34" s="201">
        <v>39</v>
      </c>
      <c r="AY34" s="200"/>
      <c r="AZ34" s="201"/>
      <c r="BA34" s="200"/>
      <c r="BB34" s="201"/>
      <c r="BC34" s="200"/>
      <c r="BD34" s="201"/>
      <c r="BE34" s="200"/>
      <c r="BF34" s="201"/>
      <c r="BG34" s="200"/>
      <c r="BH34" s="201"/>
      <c r="BI34" s="200"/>
      <c r="BJ34" s="201"/>
      <c r="BK34" s="200"/>
      <c r="BL34" s="201"/>
      <c r="BM34" s="200"/>
      <c r="BN34" s="201"/>
      <c r="BO34" s="200"/>
      <c r="BP34" s="201"/>
      <c r="BQ34" s="200"/>
      <c r="BR34" s="201"/>
      <c r="BS34" s="200"/>
      <c r="BT34" s="201"/>
      <c r="BU34" s="200"/>
      <c r="BV34" s="201"/>
      <c r="BW34" s="200"/>
      <c r="BX34" s="201"/>
      <c r="BY34" s="200"/>
      <c r="BZ34" s="201"/>
      <c r="CA34" s="200"/>
      <c r="CB34" s="201"/>
      <c r="CC34" s="200"/>
      <c r="CD34" s="201"/>
      <c r="CE34" s="200"/>
      <c r="CF34" s="201"/>
      <c r="CG34" s="200"/>
      <c r="CH34" s="201"/>
      <c r="CI34" s="200"/>
      <c r="CJ34" s="201"/>
      <c r="CK34" s="200"/>
      <c r="CL34" s="201"/>
      <c r="CM34" s="200"/>
      <c r="CN34" s="201"/>
      <c r="CO34" s="200"/>
      <c r="CP34" s="201"/>
      <c r="CQ34" s="200"/>
      <c r="CR34" s="201"/>
    </row>
    <row r="35" spans="2:96" x14ac:dyDescent="0.25">
      <c r="B35" s="191"/>
      <c r="C35" s="205">
        <v>2018</v>
      </c>
      <c r="D35" s="62" t="s">
        <v>1513</v>
      </c>
      <c r="E35" s="63" t="s">
        <v>1514</v>
      </c>
      <c r="F35" s="64">
        <v>43434</v>
      </c>
      <c r="G35" s="65" t="s">
        <v>1341</v>
      </c>
      <c r="H35" s="165">
        <v>0.21</v>
      </c>
      <c r="I35" s="165">
        <f t="shared" si="85"/>
        <v>0.33</v>
      </c>
      <c r="J35" s="94">
        <v>1500000</v>
      </c>
      <c r="K35" s="148">
        <f t="shared" si="86"/>
        <v>0.12000000000000002</v>
      </c>
      <c r="L35" s="11"/>
      <c r="M35" s="15">
        <f t="shared" si="87"/>
        <v>3</v>
      </c>
      <c r="N35" s="35" t="s">
        <v>93</v>
      </c>
      <c r="O35" s="15">
        <v>4</v>
      </c>
      <c r="P35" s="35" t="s">
        <v>457</v>
      </c>
      <c r="Q35" s="35"/>
      <c r="R35" s="15"/>
      <c r="S35" s="24"/>
      <c r="T35" s="62"/>
      <c r="U35" s="202">
        <f t="shared" si="88"/>
        <v>36</v>
      </c>
      <c r="V35" s="202">
        <f t="shared" si="89"/>
        <v>37</v>
      </c>
      <c r="W35" s="202">
        <f t="shared" si="90"/>
        <v>33</v>
      </c>
      <c r="X35" s="202">
        <f t="shared" si="91"/>
        <v>0</v>
      </c>
      <c r="Y35" s="202">
        <f t="shared" si="92"/>
        <v>0</v>
      </c>
      <c r="Z35" s="202">
        <f t="shared" si="93"/>
        <v>0</v>
      </c>
      <c r="AA35" s="202">
        <f t="shared" si="94"/>
        <v>0</v>
      </c>
      <c r="AB35" s="202">
        <f t="shared" si="95"/>
        <v>0</v>
      </c>
      <c r="AC35" s="202">
        <f t="shared" si="96"/>
        <v>0</v>
      </c>
      <c r="AD35" s="202">
        <f t="shared" si="97"/>
        <v>0</v>
      </c>
      <c r="AE35" s="202">
        <f t="shared" si="98"/>
        <v>0</v>
      </c>
      <c r="AF35" s="202">
        <f t="shared" si="99"/>
        <v>0</v>
      </c>
      <c r="AG35" s="202">
        <f t="shared" si="100"/>
        <v>0</v>
      </c>
      <c r="AH35" s="202">
        <f t="shared" si="101"/>
        <v>0</v>
      </c>
      <c r="AI35" s="202">
        <f t="shared" si="102"/>
        <v>0</v>
      </c>
      <c r="AJ35" s="202">
        <f t="shared" si="103"/>
        <v>0</v>
      </c>
      <c r="AK35" s="202">
        <f t="shared" si="104"/>
        <v>0</v>
      </c>
      <c r="AL35" s="202">
        <f t="shared" si="105"/>
        <v>0</v>
      </c>
      <c r="AM35" s="202">
        <f t="shared" si="106"/>
        <v>0</v>
      </c>
      <c r="AN35" s="202">
        <f t="shared" si="107"/>
        <v>0</v>
      </c>
      <c r="AO35" s="202">
        <f t="shared" si="108"/>
        <v>0</v>
      </c>
      <c r="AP35" s="202">
        <f t="shared" si="109"/>
        <v>0</v>
      </c>
      <c r="AQ35" s="202">
        <f t="shared" si="110"/>
        <v>0</v>
      </c>
      <c r="AR35" s="202">
        <f t="shared" si="111"/>
        <v>0</v>
      </c>
      <c r="AS35" s="202">
        <f t="shared" si="112"/>
        <v>0</v>
      </c>
      <c r="AU35" s="200" t="s">
        <v>1054</v>
      </c>
      <c r="AV35" s="201">
        <v>36</v>
      </c>
      <c r="AW35" s="200" t="s">
        <v>725</v>
      </c>
      <c r="AX35" s="201">
        <v>37</v>
      </c>
      <c r="AY35" s="200" t="s">
        <v>631</v>
      </c>
      <c r="AZ35" s="201">
        <v>33</v>
      </c>
      <c r="BA35" s="200"/>
      <c r="BB35" s="201"/>
      <c r="BC35" s="200"/>
      <c r="BD35" s="201"/>
      <c r="BE35" s="200"/>
      <c r="BF35" s="201"/>
      <c r="BG35" s="200"/>
      <c r="BH35" s="201"/>
      <c r="BI35" s="200"/>
      <c r="BJ35" s="201"/>
      <c r="BK35" s="200"/>
      <c r="BL35" s="201"/>
      <c r="BM35" s="200"/>
      <c r="BN35" s="201"/>
      <c r="BO35" s="200"/>
      <c r="BP35" s="201"/>
      <c r="BQ35" s="200"/>
      <c r="BR35" s="201"/>
      <c r="BS35" s="200"/>
      <c r="BT35" s="201"/>
      <c r="BU35" s="200"/>
      <c r="BV35" s="201"/>
      <c r="BW35" s="200"/>
      <c r="BX35" s="201"/>
      <c r="BY35" s="200"/>
      <c r="BZ35" s="201"/>
      <c r="CA35" s="200"/>
      <c r="CB35" s="201"/>
      <c r="CC35" s="200"/>
      <c r="CD35" s="201"/>
      <c r="CE35" s="200"/>
      <c r="CF35" s="201"/>
      <c r="CG35" s="200"/>
      <c r="CH35" s="201"/>
      <c r="CI35" s="200"/>
      <c r="CJ35" s="201"/>
      <c r="CK35" s="200"/>
      <c r="CL35" s="201"/>
      <c r="CM35" s="200"/>
      <c r="CN35" s="201"/>
      <c r="CO35" s="200"/>
      <c r="CP35" s="201"/>
      <c r="CQ35" s="200"/>
      <c r="CR35" s="201"/>
    </row>
    <row r="36" spans="2:96" x14ac:dyDescent="0.25">
      <c r="B36" s="191"/>
      <c r="C36" s="205">
        <v>2018</v>
      </c>
      <c r="D36" s="62" t="s">
        <v>1515</v>
      </c>
      <c r="E36" s="63" t="s">
        <v>1516</v>
      </c>
      <c r="F36" s="64">
        <v>43424</v>
      </c>
      <c r="G36" s="65" t="s">
        <v>1341</v>
      </c>
      <c r="H36" s="165">
        <v>0.21</v>
      </c>
      <c r="I36" s="165">
        <f t="shared" si="85"/>
        <v>0.38150000000000001</v>
      </c>
      <c r="J36" s="94">
        <v>2000000</v>
      </c>
      <c r="K36" s="148">
        <f t="shared" si="86"/>
        <v>0.17150000000000001</v>
      </c>
      <c r="L36" s="11"/>
      <c r="M36" s="15">
        <f t="shared" si="87"/>
        <v>1</v>
      </c>
      <c r="N36" s="35" t="s">
        <v>25</v>
      </c>
      <c r="O36" s="15">
        <v>4</v>
      </c>
      <c r="P36" s="35" t="s">
        <v>458</v>
      </c>
      <c r="Q36" s="35"/>
      <c r="R36" s="15"/>
      <c r="S36" s="24"/>
      <c r="T36" s="62"/>
      <c r="U36" s="202">
        <f t="shared" si="88"/>
        <v>38.15</v>
      </c>
      <c r="V36" s="202">
        <f t="shared" si="89"/>
        <v>0</v>
      </c>
      <c r="W36" s="202">
        <f t="shared" si="90"/>
        <v>0</v>
      </c>
      <c r="X36" s="202">
        <f t="shared" si="91"/>
        <v>0</v>
      </c>
      <c r="Y36" s="202">
        <f t="shared" si="92"/>
        <v>0</v>
      </c>
      <c r="Z36" s="202">
        <f t="shared" si="93"/>
        <v>0</v>
      </c>
      <c r="AA36" s="202">
        <f t="shared" si="94"/>
        <v>0</v>
      </c>
      <c r="AB36" s="202">
        <f t="shared" si="95"/>
        <v>0</v>
      </c>
      <c r="AC36" s="202">
        <f t="shared" si="96"/>
        <v>0</v>
      </c>
      <c r="AD36" s="202">
        <f t="shared" si="97"/>
        <v>0</v>
      </c>
      <c r="AE36" s="202">
        <f t="shared" si="98"/>
        <v>0</v>
      </c>
      <c r="AF36" s="202">
        <f t="shared" si="99"/>
        <v>0</v>
      </c>
      <c r="AG36" s="202">
        <f t="shared" si="100"/>
        <v>0</v>
      </c>
      <c r="AH36" s="202">
        <f t="shared" si="101"/>
        <v>0</v>
      </c>
      <c r="AI36" s="202">
        <f t="shared" si="102"/>
        <v>0</v>
      </c>
      <c r="AJ36" s="202">
        <f t="shared" si="103"/>
        <v>0</v>
      </c>
      <c r="AK36" s="202">
        <f t="shared" si="104"/>
        <v>0</v>
      </c>
      <c r="AL36" s="202">
        <f t="shared" si="105"/>
        <v>0</v>
      </c>
      <c r="AM36" s="202">
        <f t="shared" si="106"/>
        <v>0</v>
      </c>
      <c r="AN36" s="202">
        <f t="shared" si="107"/>
        <v>0</v>
      </c>
      <c r="AO36" s="202">
        <f t="shared" si="108"/>
        <v>0</v>
      </c>
      <c r="AP36" s="202">
        <f t="shared" si="109"/>
        <v>0</v>
      </c>
      <c r="AQ36" s="202">
        <f t="shared" si="110"/>
        <v>0</v>
      </c>
      <c r="AR36" s="202">
        <f t="shared" si="111"/>
        <v>0</v>
      </c>
      <c r="AS36" s="202">
        <f t="shared" si="112"/>
        <v>0</v>
      </c>
      <c r="AU36" s="200" t="s">
        <v>676</v>
      </c>
      <c r="AV36" s="201">
        <v>38.15</v>
      </c>
      <c r="AW36" s="200"/>
      <c r="AX36" s="201"/>
      <c r="AY36" s="200"/>
      <c r="AZ36" s="201"/>
      <c r="BA36" s="200"/>
      <c r="BB36" s="201"/>
      <c r="BC36" s="200"/>
      <c r="BD36" s="201"/>
      <c r="BE36" s="200"/>
      <c r="BF36" s="201"/>
      <c r="BG36" s="200"/>
      <c r="BH36" s="201"/>
      <c r="BI36" s="200"/>
      <c r="BJ36" s="201"/>
      <c r="BK36" s="200"/>
      <c r="BL36" s="201"/>
      <c r="BM36" s="200"/>
      <c r="BN36" s="201"/>
      <c r="BO36" s="200"/>
      <c r="BP36" s="201"/>
      <c r="BQ36" s="200"/>
      <c r="BR36" s="201"/>
      <c r="BS36" s="200"/>
      <c r="BT36" s="201"/>
      <c r="BU36" s="200"/>
      <c r="BV36" s="201"/>
      <c r="BW36" s="200"/>
      <c r="BX36" s="201"/>
      <c r="BY36" s="200"/>
      <c r="BZ36" s="201"/>
      <c r="CA36" s="200"/>
      <c r="CB36" s="201"/>
      <c r="CC36" s="200"/>
      <c r="CD36" s="201"/>
      <c r="CE36" s="200"/>
      <c r="CF36" s="201"/>
      <c r="CG36" s="200"/>
      <c r="CH36" s="201"/>
      <c r="CI36" s="200"/>
      <c r="CJ36" s="201"/>
      <c r="CK36" s="200"/>
      <c r="CL36" s="201"/>
      <c r="CM36" s="200"/>
      <c r="CN36" s="201"/>
      <c r="CO36" s="200"/>
      <c r="CP36" s="201"/>
      <c r="CQ36" s="200"/>
      <c r="CR36" s="201"/>
    </row>
    <row r="37" spans="2:96" x14ac:dyDescent="0.25">
      <c r="B37" s="191"/>
      <c r="C37" s="205">
        <v>2018</v>
      </c>
      <c r="D37" s="62" t="s">
        <v>1517</v>
      </c>
      <c r="E37" s="63" t="s">
        <v>1518</v>
      </c>
      <c r="F37" s="64">
        <v>43418</v>
      </c>
      <c r="G37" s="65" t="s">
        <v>1341</v>
      </c>
      <c r="H37" s="165">
        <v>0.15</v>
      </c>
      <c r="I37" s="165">
        <f t="shared" si="85"/>
        <v>0.27</v>
      </c>
      <c r="J37" s="94">
        <v>1500000</v>
      </c>
      <c r="K37" s="148">
        <f t="shared" si="86"/>
        <v>0.12000000000000002</v>
      </c>
      <c r="L37" s="11"/>
      <c r="M37" s="15">
        <f t="shared" si="87"/>
        <v>1</v>
      </c>
      <c r="N37" s="35" t="s">
        <v>93</v>
      </c>
      <c r="O37" s="15">
        <v>4</v>
      </c>
      <c r="P37" s="35" t="s">
        <v>1529</v>
      </c>
      <c r="Q37" s="35"/>
      <c r="R37" s="15"/>
      <c r="S37" s="24"/>
      <c r="T37" s="62"/>
      <c r="U37" s="202">
        <f t="shared" si="88"/>
        <v>27</v>
      </c>
      <c r="V37" s="202">
        <f t="shared" si="89"/>
        <v>0</v>
      </c>
      <c r="W37" s="202">
        <f t="shared" si="90"/>
        <v>0</v>
      </c>
      <c r="X37" s="202">
        <f t="shared" si="91"/>
        <v>0</v>
      </c>
      <c r="Y37" s="202">
        <f t="shared" si="92"/>
        <v>0</v>
      </c>
      <c r="Z37" s="202">
        <f t="shared" si="93"/>
        <v>0</v>
      </c>
      <c r="AA37" s="202">
        <f t="shared" si="94"/>
        <v>0</v>
      </c>
      <c r="AB37" s="202">
        <f t="shared" si="95"/>
        <v>0</v>
      </c>
      <c r="AC37" s="202">
        <f t="shared" si="96"/>
        <v>0</v>
      </c>
      <c r="AD37" s="202">
        <f t="shared" si="97"/>
        <v>0</v>
      </c>
      <c r="AE37" s="202">
        <f t="shared" si="98"/>
        <v>0</v>
      </c>
      <c r="AF37" s="202">
        <f t="shared" si="99"/>
        <v>0</v>
      </c>
      <c r="AG37" s="202">
        <f t="shared" si="100"/>
        <v>0</v>
      </c>
      <c r="AH37" s="202">
        <f t="shared" si="101"/>
        <v>0</v>
      </c>
      <c r="AI37" s="202">
        <f t="shared" si="102"/>
        <v>0</v>
      </c>
      <c r="AJ37" s="202">
        <f t="shared" si="103"/>
        <v>0</v>
      </c>
      <c r="AK37" s="202">
        <f t="shared" si="104"/>
        <v>0</v>
      </c>
      <c r="AL37" s="202">
        <f t="shared" si="105"/>
        <v>0</v>
      </c>
      <c r="AM37" s="202">
        <f t="shared" si="106"/>
        <v>0</v>
      </c>
      <c r="AN37" s="202">
        <f t="shared" si="107"/>
        <v>0</v>
      </c>
      <c r="AO37" s="202">
        <f t="shared" si="108"/>
        <v>0</v>
      </c>
      <c r="AP37" s="202">
        <f t="shared" si="109"/>
        <v>0</v>
      </c>
      <c r="AQ37" s="202">
        <f t="shared" si="110"/>
        <v>0</v>
      </c>
      <c r="AR37" s="202">
        <f t="shared" si="111"/>
        <v>0</v>
      </c>
      <c r="AS37" s="202">
        <f t="shared" si="112"/>
        <v>0</v>
      </c>
      <c r="AU37" s="200" t="s">
        <v>1519</v>
      </c>
      <c r="AV37" s="201">
        <v>27</v>
      </c>
      <c r="AW37" s="200"/>
      <c r="AX37" s="201"/>
      <c r="AY37" s="200"/>
      <c r="AZ37" s="201"/>
      <c r="BA37" s="200"/>
      <c r="BB37" s="201"/>
      <c r="BC37" s="200"/>
      <c r="BD37" s="201"/>
      <c r="BE37" s="200"/>
      <c r="BF37" s="201"/>
      <c r="BG37" s="200"/>
      <c r="BH37" s="201"/>
      <c r="BI37" s="200"/>
      <c r="BJ37" s="201"/>
      <c r="BK37" s="200"/>
      <c r="BL37" s="201"/>
      <c r="BM37" s="200"/>
      <c r="BN37" s="201"/>
      <c r="BO37" s="200"/>
      <c r="BP37" s="201"/>
      <c r="BQ37" s="200"/>
      <c r="BR37" s="201"/>
      <c r="BS37" s="200"/>
      <c r="BT37" s="201"/>
      <c r="BU37" s="200"/>
      <c r="BV37" s="201"/>
      <c r="BW37" s="200"/>
      <c r="BX37" s="201"/>
      <c r="BY37" s="200"/>
      <c r="BZ37" s="201"/>
      <c r="CA37" s="200"/>
      <c r="CB37" s="201"/>
      <c r="CC37" s="200"/>
      <c r="CD37" s="201"/>
      <c r="CE37" s="200"/>
      <c r="CF37" s="201"/>
      <c r="CG37" s="200"/>
      <c r="CH37" s="201"/>
      <c r="CI37" s="200"/>
      <c r="CJ37" s="201"/>
      <c r="CK37" s="200"/>
      <c r="CL37" s="201"/>
      <c r="CM37" s="200"/>
      <c r="CN37" s="201"/>
      <c r="CO37" s="200"/>
      <c r="CP37" s="201"/>
      <c r="CQ37" s="200"/>
      <c r="CR37" s="201"/>
    </row>
    <row r="38" spans="2:96" x14ac:dyDescent="0.25">
      <c r="B38" s="191"/>
      <c r="C38" s="205">
        <v>2018</v>
      </c>
      <c r="D38" s="62" t="s">
        <v>1520</v>
      </c>
      <c r="E38" s="63" t="s">
        <v>1521</v>
      </c>
      <c r="F38" s="64">
        <v>43412</v>
      </c>
      <c r="G38" s="65" t="s">
        <v>1341</v>
      </c>
      <c r="H38" s="165">
        <v>0.15</v>
      </c>
      <c r="I38" s="165">
        <f t="shared" si="85"/>
        <v>0.21</v>
      </c>
      <c r="J38" s="94">
        <v>1100000</v>
      </c>
      <c r="K38" s="148">
        <f t="shared" si="86"/>
        <v>0.06</v>
      </c>
      <c r="L38" s="11"/>
      <c r="M38" s="15">
        <f t="shared" si="87"/>
        <v>1</v>
      </c>
      <c r="N38" s="35" t="s">
        <v>25</v>
      </c>
      <c r="O38" s="15">
        <v>4</v>
      </c>
      <c r="P38" s="35" t="s">
        <v>458</v>
      </c>
      <c r="Q38" s="35"/>
      <c r="R38" s="15"/>
      <c r="S38" s="24"/>
      <c r="T38" s="62"/>
      <c r="U38" s="202">
        <f t="shared" si="88"/>
        <v>21</v>
      </c>
      <c r="V38" s="202">
        <f t="shared" si="89"/>
        <v>0</v>
      </c>
      <c r="W38" s="202">
        <f t="shared" si="90"/>
        <v>0</v>
      </c>
      <c r="X38" s="202">
        <f t="shared" si="91"/>
        <v>0</v>
      </c>
      <c r="Y38" s="202">
        <f t="shared" si="92"/>
        <v>0</v>
      </c>
      <c r="Z38" s="202">
        <f t="shared" si="93"/>
        <v>0</v>
      </c>
      <c r="AA38" s="202">
        <f t="shared" si="94"/>
        <v>0</v>
      </c>
      <c r="AB38" s="202">
        <f t="shared" si="95"/>
        <v>0</v>
      </c>
      <c r="AC38" s="202">
        <f t="shared" si="96"/>
        <v>0</v>
      </c>
      <c r="AD38" s="202">
        <f t="shared" si="97"/>
        <v>0</v>
      </c>
      <c r="AE38" s="202">
        <f t="shared" si="98"/>
        <v>0</v>
      </c>
      <c r="AF38" s="202">
        <f t="shared" si="99"/>
        <v>0</v>
      </c>
      <c r="AG38" s="202">
        <f t="shared" si="100"/>
        <v>0</v>
      </c>
      <c r="AH38" s="202">
        <f t="shared" si="101"/>
        <v>0</v>
      </c>
      <c r="AI38" s="202">
        <f t="shared" si="102"/>
        <v>0</v>
      </c>
      <c r="AJ38" s="202">
        <f t="shared" si="103"/>
        <v>0</v>
      </c>
      <c r="AK38" s="202">
        <f t="shared" si="104"/>
        <v>0</v>
      </c>
      <c r="AL38" s="202">
        <f t="shared" si="105"/>
        <v>0</v>
      </c>
      <c r="AM38" s="202">
        <f t="shared" si="106"/>
        <v>0</v>
      </c>
      <c r="AN38" s="202">
        <f t="shared" si="107"/>
        <v>0</v>
      </c>
      <c r="AO38" s="202">
        <f t="shared" si="108"/>
        <v>0</v>
      </c>
      <c r="AP38" s="202">
        <f t="shared" si="109"/>
        <v>0</v>
      </c>
      <c r="AQ38" s="202">
        <f t="shared" si="110"/>
        <v>0</v>
      </c>
      <c r="AR38" s="202">
        <f t="shared" si="111"/>
        <v>0</v>
      </c>
      <c r="AS38" s="202">
        <f t="shared" si="112"/>
        <v>0</v>
      </c>
      <c r="AU38" s="200" t="s">
        <v>824</v>
      </c>
      <c r="AV38" s="201">
        <v>21</v>
      </c>
      <c r="AW38" s="200"/>
      <c r="AX38" s="201"/>
      <c r="AY38" s="200"/>
      <c r="AZ38" s="201"/>
      <c r="BA38" s="200"/>
      <c r="BB38" s="201"/>
      <c r="BC38" s="200"/>
      <c r="BD38" s="201"/>
      <c r="BE38" s="200"/>
      <c r="BF38" s="201"/>
      <c r="BG38" s="200"/>
      <c r="BH38" s="201"/>
      <c r="BI38" s="200"/>
      <c r="BJ38" s="201"/>
      <c r="BK38" s="200"/>
      <c r="BL38" s="201"/>
      <c r="BM38" s="200"/>
      <c r="BN38" s="201"/>
      <c r="BO38" s="200"/>
      <c r="BP38" s="201"/>
      <c r="BQ38" s="200"/>
      <c r="BR38" s="201"/>
      <c r="BS38" s="200"/>
      <c r="BT38" s="201"/>
      <c r="BU38" s="200"/>
      <c r="BV38" s="201"/>
      <c r="BW38" s="200"/>
      <c r="BX38" s="201"/>
      <c r="BY38" s="200"/>
      <c r="BZ38" s="201"/>
      <c r="CA38" s="200"/>
      <c r="CB38" s="201"/>
      <c r="CC38" s="200"/>
      <c r="CD38" s="201"/>
      <c r="CE38" s="200"/>
      <c r="CF38" s="201"/>
      <c r="CG38" s="200"/>
      <c r="CH38" s="201"/>
      <c r="CI38" s="200"/>
      <c r="CJ38" s="201"/>
      <c r="CK38" s="200"/>
      <c r="CL38" s="201"/>
      <c r="CM38" s="200"/>
      <c r="CN38" s="201"/>
      <c r="CO38" s="200"/>
      <c r="CP38" s="201"/>
      <c r="CQ38" s="200"/>
      <c r="CR38" s="201"/>
    </row>
    <row r="39" spans="2:96" x14ac:dyDescent="0.25">
      <c r="B39" s="191"/>
      <c r="C39" s="205">
        <v>2018</v>
      </c>
      <c r="D39" s="62" t="s">
        <v>1522</v>
      </c>
      <c r="E39" s="63" t="s">
        <v>1523</v>
      </c>
      <c r="F39" s="64">
        <v>43390</v>
      </c>
      <c r="G39" s="65" t="s">
        <v>34</v>
      </c>
      <c r="H39" s="165">
        <v>0.18</v>
      </c>
      <c r="I39" s="165">
        <f t="shared" si="85"/>
        <v>0.22</v>
      </c>
      <c r="J39" s="94">
        <v>2400000</v>
      </c>
      <c r="K39" s="148">
        <f t="shared" si="86"/>
        <v>4.0000000000000008E-2</v>
      </c>
      <c r="L39" s="11"/>
      <c r="M39" s="15">
        <f t="shared" si="87"/>
        <v>2</v>
      </c>
      <c r="N39" s="35" t="s">
        <v>93</v>
      </c>
      <c r="O39" s="15">
        <v>4</v>
      </c>
      <c r="P39" s="35" t="s">
        <v>1529</v>
      </c>
      <c r="Q39" s="35"/>
      <c r="R39" s="15"/>
      <c r="S39" s="24"/>
      <c r="T39" s="62"/>
      <c r="U39" s="202">
        <f t="shared" si="88"/>
        <v>44</v>
      </c>
      <c r="V39" s="202">
        <f t="shared" si="89"/>
        <v>22</v>
      </c>
      <c r="W39" s="202">
        <f t="shared" si="90"/>
        <v>0</v>
      </c>
      <c r="X39" s="202">
        <f t="shared" si="91"/>
        <v>0</v>
      </c>
      <c r="Y39" s="202">
        <f t="shared" si="92"/>
        <v>0</v>
      </c>
      <c r="Z39" s="202">
        <f t="shared" si="93"/>
        <v>0</v>
      </c>
      <c r="AA39" s="202">
        <f t="shared" si="94"/>
        <v>0</v>
      </c>
      <c r="AB39" s="202">
        <f t="shared" si="95"/>
        <v>0</v>
      </c>
      <c r="AC39" s="202">
        <f t="shared" si="96"/>
        <v>0</v>
      </c>
      <c r="AD39" s="202">
        <f t="shared" si="97"/>
        <v>0</v>
      </c>
      <c r="AE39" s="202">
        <f t="shared" si="98"/>
        <v>0</v>
      </c>
      <c r="AF39" s="202">
        <f t="shared" si="99"/>
        <v>0</v>
      </c>
      <c r="AG39" s="202">
        <f t="shared" si="100"/>
        <v>0</v>
      </c>
      <c r="AH39" s="202">
        <f t="shared" si="101"/>
        <v>0</v>
      </c>
      <c r="AI39" s="202">
        <f t="shared" si="102"/>
        <v>0</v>
      </c>
      <c r="AJ39" s="202">
        <f t="shared" si="103"/>
        <v>0</v>
      </c>
      <c r="AK39" s="202">
        <f t="shared" si="104"/>
        <v>0</v>
      </c>
      <c r="AL39" s="202">
        <f t="shared" si="105"/>
        <v>0</v>
      </c>
      <c r="AM39" s="202">
        <f t="shared" si="106"/>
        <v>0</v>
      </c>
      <c r="AN39" s="202">
        <f t="shared" si="107"/>
        <v>0</v>
      </c>
      <c r="AO39" s="202">
        <f t="shared" si="108"/>
        <v>0</v>
      </c>
      <c r="AP39" s="202">
        <f t="shared" si="109"/>
        <v>0</v>
      </c>
      <c r="AQ39" s="202">
        <f t="shared" si="110"/>
        <v>0</v>
      </c>
      <c r="AR39" s="202">
        <f t="shared" si="111"/>
        <v>0</v>
      </c>
      <c r="AS39" s="202">
        <f t="shared" si="112"/>
        <v>0</v>
      </c>
      <c r="AU39" s="200" t="s">
        <v>491</v>
      </c>
      <c r="AV39" s="201">
        <v>44</v>
      </c>
      <c r="AW39" s="200" t="s">
        <v>1485</v>
      </c>
      <c r="AX39" s="201">
        <v>22</v>
      </c>
      <c r="AY39" s="200"/>
      <c r="AZ39" s="201"/>
      <c r="BA39" s="200"/>
      <c r="BB39" s="201"/>
      <c r="BC39" s="200"/>
      <c r="BD39" s="201"/>
      <c r="BE39" s="200"/>
      <c r="BF39" s="201"/>
      <c r="BG39" s="200"/>
      <c r="BH39" s="201"/>
      <c r="BI39" s="200"/>
      <c r="BJ39" s="201"/>
      <c r="BK39" s="200"/>
      <c r="BL39" s="201"/>
      <c r="BM39" s="200"/>
      <c r="BN39" s="201"/>
      <c r="BO39" s="200"/>
      <c r="BP39" s="201"/>
      <c r="BQ39" s="200"/>
      <c r="BR39" s="201"/>
      <c r="BS39" s="200"/>
      <c r="BT39" s="201"/>
      <c r="BU39" s="200"/>
      <c r="BV39" s="201"/>
      <c r="BW39" s="200"/>
      <c r="BX39" s="201"/>
      <c r="BY39" s="200"/>
      <c r="BZ39" s="201"/>
      <c r="CA39" s="200"/>
      <c r="CB39" s="201"/>
      <c r="CC39" s="200"/>
      <c r="CD39" s="201"/>
      <c r="CE39" s="200"/>
      <c r="CF39" s="201"/>
      <c r="CG39" s="200"/>
      <c r="CH39" s="201"/>
      <c r="CI39" s="200"/>
      <c r="CJ39" s="201"/>
      <c r="CK39" s="200"/>
      <c r="CL39" s="201"/>
      <c r="CM39" s="200"/>
      <c r="CN39" s="201"/>
      <c r="CO39" s="200"/>
      <c r="CP39" s="201"/>
      <c r="CQ39" s="200"/>
      <c r="CR39" s="201"/>
    </row>
    <row r="40" spans="2:96" x14ac:dyDescent="0.25">
      <c r="B40" s="191"/>
      <c r="C40" s="205">
        <v>2018</v>
      </c>
      <c r="D40" s="62" t="s">
        <v>1524</v>
      </c>
      <c r="E40" s="63" t="s">
        <v>1525</v>
      </c>
      <c r="F40" s="64">
        <v>43390</v>
      </c>
      <c r="G40" s="65" t="s">
        <v>34</v>
      </c>
      <c r="H40" s="165">
        <v>0.18</v>
      </c>
      <c r="I40" s="165">
        <f t="shared" ref="I40:I45" si="113">(SMALL(U40:AT40,COUNTIF(U40:AT40,0)+1)/100)</f>
        <v>0.19500000000000001</v>
      </c>
      <c r="J40" s="94">
        <v>2400000</v>
      </c>
      <c r="K40" s="148">
        <f t="shared" ref="K40:K45" si="114">+I40-H40</f>
        <v>1.5000000000000013E-2</v>
      </c>
      <c r="L40" s="11"/>
      <c r="M40" s="15">
        <f t="shared" ref="M40:M45" si="115">COUNTIF(U40:AT40,"&gt;0")</f>
        <v>2</v>
      </c>
      <c r="N40" s="35" t="s">
        <v>93</v>
      </c>
      <c r="O40" s="15">
        <v>4</v>
      </c>
      <c r="P40" s="35" t="s">
        <v>1529</v>
      </c>
      <c r="Q40" s="35"/>
      <c r="R40" s="15"/>
      <c r="S40" s="24"/>
      <c r="T40" s="62"/>
      <c r="U40" s="202">
        <f t="shared" ref="U40:U45" si="116">+AV40</f>
        <v>44</v>
      </c>
      <c r="V40" s="202">
        <f t="shared" ref="V40:V45" si="117">+AX40</f>
        <v>19.5</v>
      </c>
      <c r="W40" s="202">
        <f t="shared" ref="W40:W45" si="118">+AZ40</f>
        <v>0</v>
      </c>
      <c r="X40" s="202">
        <f t="shared" ref="X40:X45" si="119">+BB40</f>
        <v>0</v>
      </c>
      <c r="Y40" s="202">
        <f t="shared" ref="Y40:Y45" si="120">+BD40</f>
        <v>0</v>
      </c>
      <c r="Z40" s="202">
        <f t="shared" ref="Z40:Z45" si="121">+BF40</f>
        <v>0</v>
      </c>
      <c r="AA40" s="202">
        <f t="shared" ref="AA40:AA45" si="122">+BH40</f>
        <v>0</v>
      </c>
      <c r="AB40" s="202">
        <f t="shared" ref="AB40:AB45" si="123">+BJ40</f>
        <v>0</v>
      </c>
      <c r="AC40" s="202">
        <f t="shared" ref="AC40:AC45" si="124">+BL40</f>
        <v>0</v>
      </c>
      <c r="AD40" s="202">
        <f t="shared" ref="AD40:AD45" si="125">+BN40</f>
        <v>0</v>
      </c>
      <c r="AE40" s="202">
        <f t="shared" ref="AE40:AE45" si="126">+BP40</f>
        <v>0</v>
      </c>
      <c r="AF40" s="202">
        <f t="shared" ref="AF40:AF45" si="127">+BR40</f>
        <v>0</v>
      </c>
      <c r="AG40" s="202">
        <f t="shared" ref="AG40:AG45" si="128">+BT40</f>
        <v>0</v>
      </c>
      <c r="AH40" s="202">
        <f t="shared" ref="AH40:AH45" si="129">+BV40</f>
        <v>0</v>
      </c>
      <c r="AI40" s="202">
        <f t="shared" ref="AI40:AI45" si="130">+BX40</f>
        <v>0</v>
      </c>
      <c r="AJ40" s="202">
        <f t="shared" ref="AJ40:AJ45" si="131">+BZ40</f>
        <v>0</v>
      </c>
      <c r="AK40" s="202">
        <f t="shared" ref="AK40:AK45" si="132">+CB40</f>
        <v>0</v>
      </c>
      <c r="AL40" s="202">
        <f t="shared" ref="AL40:AL45" si="133">+CD40</f>
        <v>0</v>
      </c>
      <c r="AM40" s="202">
        <f t="shared" ref="AM40:AM45" si="134">+CF40</f>
        <v>0</v>
      </c>
      <c r="AN40" s="202">
        <f t="shared" ref="AN40:AN45" si="135">+CH40</f>
        <v>0</v>
      </c>
      <c r="AO40" s="202">
        <f t="shared" ref="AO40:AO45" si="136">+CJ40</f>
        <v>0</v>
      </c>
      <c r="AP40" s="202">
        <f t="shared" ref="AP40:AP45" si="137">+CL40</f>
        <v>0</v>
      </c>
      <c r="AQ40" s="202">
        <f t="shared" ref="AQ40:AQ45" si="138">+CN40</f>
        <v>0</v>
      </c>
      <c r="AR40" s="202">
        <f t="shared" ref="AR40:AR45" si="139">+CP40</f>
        <v>0</v>
      </c>
      <c r="AS40" s="202">
        <f t="shared" ref="AS40:AS45" si="140">+CR40</f>
        <v>0</v>
      </c>
      <c r="AU40" s="200" t="s">
        <v>491</v>
      </c>
      <c r="AV40" s="201">
        <v>44</v>
      </c>
      <c r="AW40" s="200" t="s">
        <v>1485</v>
      </c>
      <c r="AX40" s="201">
        <v>19.5</v>
      </c>
      <c r="AY40" s="200"/>
      <c r="AZ40" s="201"/>
      <c r="BA40" s="200"/>
      <c r="BB40" s="201"/>
      <c r="BC40" s="200"/>
      <c r="BD40" s="201"/>
      <c r="BE40" s="200"/>
      <c r="BF40" s="201"/>
      <c r="BG40" s="200"/>
      <c r="BH40" s="201"/>
      <c r="BI40" s="200"/>
      <c r="BJ40" s="201"/>
      <c r="BK40" s="200"/>
      <c r="BL40" s="201"/>
      <c r="BM40" s="200"/>
      <c r="BN40" s="201"/>
      <c r="BO40" s="200"/>
      <c r="BP40" s="201"/>
      <c r="BQ40" s="200"/>
      <c r="BR40" s="201"/>
      <c r="BS40" s="200"/>
      <c r="BT40" s="201"/>
      <c r="BU40" s="200"/>
      <c r="BV40" s="201"/>
      <c r="BW40" s="200"/>
      <c r="BX40" s="201"/>
      <c r="BY40" s="200"/>
      <c r="BZ40" s="201"/>
      <c r="CA40" s="200"/>
      <c r="CB40" s="201"/>
      <c r="CC40" s="200"/>
      <c r="CD40" s="201"/>
      <c r="CE40" s="200"/>
      <c r="CF40" s="201"/>
      <c r="CG40" s="200"/>
      <c r="CH40" s="201"/>
      <c r="CI40" s="200"/>
      <c r="CJ40" s="201"/>
      <c r="CK40" s="200"/>
      <c r="CL40" s="201"/>
      <c r="CM40" s="200"/>
      <c r="CN40" s="201"/>
      <c r="CO40" s="200"/>
      <c r="CP40" s="201"/>
      <c r="CQ40" s="200"/>
      <c r="CR40" s="201"/>
    </row>
    <row r="41" spans="2:96" x14ac:dyDescent="0.25">
      <c r="B41" s="191"/>
      <c r="C41" s="205">
        <v>2018</v>
      </c>
      <c r="D41" s="62" t="s">
        <v>1527</v>
      </c>
      <c r="E41" s="63" t="s">
        <v>1528</v>
      </c>
      <c r="F41" s="64">
        <v>43385</v>
      </c>
      <c r="G41" s="65" t="s">
        <v>34</v>
      </c>
      <c r="H41" s="165">
        <v>0.15</v>
      </c>
      <c r="I41" s="165">
        <f t="shared" si="113"/>
        <v>5.0000000000000001E-3</v>
      </c>
      <c r="J41" s="94">
        <v>10000000</v>
      </c>
      <c r="K41" s="148">
        <f t="shared" si="114"/>
        <v>-0.14499999999999999</v>
      </c>
      <c r="L41" s="11"/>
      <c r="M41" s="15">
        <f t="shared" si="115"/>
        <v>14</v>
      </c>
      <c r="N41" s="35" t="s">
        <v>25</v>
      </c>
      <c r="O41" s="15">
        <v>4</v>
      </c>
      <c r="P41" s="35" t="s">
        <v>458</v>
      </c>
      <c r="Q41" s="35"/>
      <c r="R41" s="15"/>
      <c r="S41" s="24"/>
      <c r="T41" s="62"/>
      <c r="U41" s="202">
        <f t="shared" si="116"/>
        <v>0.5</v>
      </c>
      <c r="V41" s="202">
        <f t="shared" si="117"/>
        <v>3.99</v>
      </c>
      <c r="W41" s="202">
        <f t="shared" si="118"/>
        <v>7.74</v>
      </c>
      <c r="X41" s="202">
        <f t="shared" si="119"/>
        <v>8.0399999999999991</v>
      </c>
      <c r="Y41" s="202">
        <f t="shared" si="120"/>
        <v>9.09</v>
      </c>
      <c r="Z41" s="202">
        <f t="shared" si="121"/>
        <v>10.75</v>
      </c>
      <c r="AA41" s="202">
        <f t="shared" si="122"/>
        <v>13.5</v>
      </c>
      <c r="AB41" s="202">
        <f t="shared" si="123"/>
        <v>15</v>
      </c>
      <c r="AC41" s="202">
        <f t="shared" si="124"/>
        <v>15.75</v>
      </c>
      <c r="AD41" s="202">
        <f t="shared" si="125"/>
        <v>17.7</v>
      </c>
      <c r="AE41" s="202">
        <f t="shared" si="126"/>
        <v>19.8</v>
      </c>
      <c r="AF41" s="202">
        <f t="shared" si="127"/>
        <v>24.12</v>
      </c>
      <c r="AG41" s="202">
        <f t="shared" si="128"/>
        <v>38.25</v>
      </c>
      <c r="AH41" s="202">
        <f t="shared" si="129"/>
        <v>40</v>
      </c>
      <c r="AI41" s="202">
        <f t="shared" si="130"/>
        <v>0</v>
      </c>
      <c r="AJ41" s="202">
        <f t="shared" si="131"/>
        <v>0</v>
      </c>
      <c r="AK41" s="202">
        <f t="shared" si="132"/>
        <v>0</v>
      </c>
      <c r="AL41" s="202">
        <f t="shared" si="133"/>
        <v>0</v>
      </c>
      <c r="AM41" s="202">
        <f t="shared" si="134"/>
        <v>0</v>
      </c>
      <c r="AN41" s="202">
        <f t="shared" si="135"/>
        <v>0</v>
      </c>
      <c r="AO41" s="202">
        <f t="shared" si="136"/>
        <v>0</v>
      </c>
      <c r="AP41" s="202">
        <f t="shared" si="137"/>
        <v>0</v>
      </c>
      <c r="AQ41" s="202">
        <f t="shared" si="138"/>
        <v>0</v>
      </c>
      <c r="AR41" s="202">
        <f t="shared" si="139"/>
        <v>0</v>
      </c>
      <c r="AS41" s="202">
        <f t="shared" si="140"/>
        <v>0</v>
      </c>
      <c r="AU41" s="200" t="s">
        <v>561</v>
      </c>
      <c r="AV41" s="201">
        <v>0.5</v>
      </c>
      <c r="AW41" s="200" t="s">
        <v>491</v>
      </c>
      <c r="AX41" s="201">
        <v>3.99</v>
      </c>
      <c r="AY41" s="200" t="s">
        <v>1439</v>
      </c>
      <c r="AZ41" s="201">
        <v>7.74</v>
      </c>
      <c r="BA41" s="200" t="s">
        <v>487</v>
      </c>
      <c r="BB41" s="201">
        <v>8.0399999999999991</v>
      </c>
      <c r="BC41" s="200" t="s">
        <v>1530</v>
      </c>
      <c r="BD41" s="201">
        <v>9.09</v>
      </c>
      <c r="BE41" s="200" t="s">
        <v>605</v>
      </c>
      <c r="BF41" s="201">
        <v>10.75</v>
      </c>
      <c r="BG41" s="200" t="s">
        <v>908</v>
      </c>
      <c r="BH41" s="201">
        <v>13.5</v>
      </c>
      <c r="BI41" s="200" t="s">
        <v>733</v>
      </c>
      <c r="BJ41" s="201">
        <v>15</v>
      </c>
      <c r="BK41" s="200" t="s">
        <v>440</v>
      </c>
      <c r="BL41" s="201">
        <v>15.75</v>
      </c>
      <c r="BM41" s="200" t="s">
        <v>1017</v>
      </c>
      <c r="BN41" s="201">
        <v>17.7</v>
      </c>
      <c r="BO41" s="200" t="s">
        <v>740</v>
      </c>
      <c r="BP41" s="201">
        <v>19.8</v>
      </c>
      <c r="BQ41" s="200" t="s">
        <v>1531</v>
      </c>
      <c r="BR41" s="201">
        <v>24.12</v>
      </c>
      <c r="BS41" s="200" t="s">
        <v>554</v>
      </c>
      <c r="BT41" s="201">
        <v>38.25</v>
      </c>
      <c r="BU41" s="200" t="s">
        <v>1114</v>
      </c>
      <c r="BV41" s="201">
        <v>40</v>
      </c>
      <c r="BW41" s="200"/>
      <c r="BX41" s="201"/>
      <c r="BY41" s="200"/>
      <c r="BZ41" s="201"/>
      <c r="CA41" s="200"/>
      <c r="CB41" s="201"/>
      <c r="CC41" s="200"/>
      <c r="CD41" s="201"/>
      <c r="CE41" s="200"/>
      <c r="CF41" s="201"/>
      <c r="CG41" s="200"/>
      <c r="CH41" s="201"/>
      <c r="CI41" s="200"/>
      <c r="CJ41" s="201"/>
      <c r="CK41" s="200"/>
      <c r="CL41" s="201"/>
      <c r="CM41" s="200"/>
      <c r="CN41" s="201"/>
      <c r="CO41" s="200"/>
      <c r="CP41" s="201"/>
      <c r="CQ41" s="200"/>
      <c r="CR41" s="201"/>
    </row>
    <row r="42" spans="2:96" x14ac:dyDescent="0.25">
      <c r="B42" s="191"/>
      <c r="C42" s="205">
        <v>2018</v>
      </c>
      <c r="D42" s="62" t="s">
        <v>1532</v>
      </c>
      <c r="E42" s="63" t="s">
        <v>1533</v>
      </c>
      <c r="F42" s="64">
        <v>43370</v>
      </c>
      <c r="G42" s="65" t="s">
        <v>190</v>
      </c>
      <c r="H42" s="165">
        <v>0.15</v>
      </c>
      <c r="I42" s="165">
        <f t="shared" si="113"/>
        <v>0.13875000000000001</v>
      </c>
      <c r="J42" s="94">
        <v>2500000</v>
      </c>
      <c r="K42" s="148">
        <f t="shared" si="114"/>
        <v>-1.1249999999999982E-2</v>
      </c>
      <c r="L42" s="11"/>
      <c r="M42" s="15">
        <f t="shared" si="115"/>
        <v>2</v>
      </c>
      <c r="N42" s="35" t="s">
        <v>226</v>
      </c>
      <c r="O42" s="15">
        <v>3</v>
      </c>
      <c r="P42" s="35" t="s">
        <v>457</v>
      </c>
      <c r="Q42" s="35"/>
      <c r="R42" s="15"/>
      <c r="S42" s="24"/>
      <c r="T42" s="62"/>
      <c r="U42" s="202">
        <f t="shared" si="116"/>
        <v>13.875</v>
      </c>
      <c r="V42" s="202">
        <f t="shared" si="117"/>
        <v>34.9</v>
      </c>
      <c r="W42" s="202">
        <f t="shared" si="118"/>
        <v>0</v>
      </c>
      <c r="X42" s="202">
        <f t="shared" si="119"/>
        <v>0</v>
      </c>
      <c r="Y42" s="202">
        <f t="shared" si="120"/>
        <v>0</v>
      </c>
      <c r="Z42" s="202">
        <f t="shared" si="121"/>
        <v>0</v>
      </c>
      <c r="AA42" s="202">
        <f t="shared" si="122"/>
        <v>0</v>
      </c>
      <c r="AB42" s="202">
        <f t="shared" si="123"/>
        <v>0</v>
      </c>
      <c r="AC42" s="202">
        <f t="shared" si="124"/>
        <v>0</v>
      </c>
      <c r="AD42" s="202">
        <f t="shared" si="125"/>
        <v>0</v>
      </c>
      <c r="AE42" s="202">
        <f t="shared" si="126"/>
        <v>0</v>
      </c>
      <c r="AF42" s="202">
        <f t="shared" si="127"/>
        <v>0</v>
      </c>
      <c r="AG42" s="202">
        <f t="shared" si="128"/>
        <v>0</v>
      </c>
      <c r="AH42" s="202">
        <f t="shared" si="129"/>
        <v>0</v>
      </c>
      <c r="AI42" s="202">
        <f t="shared" si="130"/>
        <v>0</v>
      </c>
      <c r="AJ42" s="202">
        <f t="shared" si="131"/>
        <v>0</v>
      </c>
      <c r="AK42" s="202">
        <f t="shared" si="132"/>
        <v>0</v>
      </c>
      <c r="AL42" s="202">
        <f t="shared" si="133"/>
        <v>0</v>
      </c>
      <c r="AM42" s="202">
        <f t="shared" si="134"/>
        <v>0</v>
      </c>
      <c r="AN42" s="202">
        <f t="shared" si="135"/>
        <v>0</v>
      </c>
      <c r="AO42" s="202">
        <f t="shared" si="136"/>
        <v>0</v>
      </c>
      <c r="AP42" s="202">
        <f t="shared" si="137"/>
        <v>0</v>
      </c>
      <c r="AQ42" s="202">
        <f t="shared" si="138"/>
        <v>0</v>
      </c>
      <c r="AR42" s="202">
        <f t="shared" si="139"/>
        <v>0</v>
      </c>
      <c r="AS42" s="202">
        <f t="shared" si="140"/>
        <v>0</v>
      </c>
      <c r="AU42" s="200" t="s">
        <v>908</v>
      </c>
      <c r="AV42" s="201">
        <v>13.875</v>
      </c>
      <c r="AW42" s="200" t="s">
        <v>1439</v>
      </c>
      <c r="AX42" s="201">
        <v>34.9</v>
      </c>
      <c r="AY42" s="200"/>
      <c r="AZ42" s="201"/>
      <c r="BA42" s="200"/>
      <c r="BB42" s="201"/>
      <c r="BC42" s="200"/>
      <c r="BD42" s="201"/>
      <c r="BE42" s="200"/>
      <c r="BF42" s="201"/>
      <c r="BG42" s="200"/>
      <c r="BH42" s="201"/>
      <c r="BI42" s="200"/>
      <c r="BJ42" s="201"/>
      <c r="BK42" s="200"/>
      <c r="BL42" s="201"/>
      <c r="BM42" s="200"/>
      <c r="BN42" s="201"/>
      <c r="BO42" s="200"/>
      <c r="BP42" s="201"/>
      <c r="BQ42" s="200"/>
      <c r="BR42" s="201"/>
      <c r="BS42" s="200"/>
      <c r="BT42" s="201"/>
      <c r="BU42" s="200"/>
      <c r="BV42" s="201"/>
      <c r="BW42" s="200"/>
      <c r="BX42" s="201"/>
      <c r="BY42" s="200"/>
      <c r="BZ42" s="201"/>
      <c r="CA42" s="200"/>
      <c r="CB42" s="201"/>
      <c r="CC42" s="200"/>
      <c r="CD42" s="201"/>
      <c r="CE42" s="200"/>
      <c r="CF42" s="201"/>
      <c r="CG42" s="200"/>
      <c r="CH42" s="201"/>
      <c r="CI42" s="200"/>
      <c r="CJ42" s="201"/>
      <c r="CK42" s="200"/>
      <c r="CL42" s="201"/>
      <c r="CM42" s="200"/>
      <c r="CN42" s="201"/>
      <c r="CO42" s="200"/>
      <c r="CP42" s="201"/>
      <c r="CQ42" s="200"/>
      <c r="CR42" s="201"/>
    </row>
    <row r="43" spans="2:96" x14ac:dyDescent="0.25">
      <c r="B43" s="191"/>
      <c r="C43" s="205">
        <v>2018</v>
      </c>
      <c r="D43" s="62" t="s">
        <v>1534</v>
      </c>
      <c r="E43" s="63" t="s">
        <v>1535</v>
      </c>
      <c r="F43" s="64">
        <v>43335</v>
      </c>
      <c r="G43" s="65" t="s">
        <v>34</v>
      </c>
      <c r="H43" s="165">
        <v>0.16</v>
      </c>
      <c r="I43" s="165">
        <f t="shared" si="113"/>
        <v>8.7499999999999994E-2</v>
      </c>
      <c r="J43" s="94">
        <v>13000000</v>
      </c>
      <c r="K43" s="148">
        <f t="shared" si="114"/>
        <v>-7.2500000000000009E-2</v>
      </c>
      <c r="L43" s="11"/>
      <c r="M43" s="15">
        <f t="shared" si="115"/>
        <v>2</v>
      </c>
      <c r="N43" s="35" t="s">
        <v>93</v>
      </c>
      <c r="O43" s="15">
        <v>3</v>
      </c>
      <c r="P43" s="35" t="s">
        <v>1529</v>
      </c>
      <c r="Q43" s="35"/>
      <c r="R43" s="15"/>
      <c r="S43" s="24"/>
      <c r="T43" s="62"/>
      <c r="U43" s="202">
        <f t="shared" si="116"/>
        <v>8.75</v>
      </c>
      <c r="V43" s="202">
        <f t="shared" si="117"/>
        <v>13.8</v>
      </c>
      <c r="W43" s="202">
        <f t="shared" si="118"/>
        <v>0</v>
      </c>
      <c r="X43" s="202">
        <f t="shared" si="119"/>
        <v>0</v>
      </c>
      <c r="Y43" s="202">
        <f t="shared" si="120"/>
        <v>0</v>
      </c>
      <c r="Z43" s="202">
        <f t="shared" si="121"/>
        <v>0</v>
      </c>
      <c r="AA43" s="202">
        <f t="shared" si="122"/>
        <v>0</v>
      </c>
      <c r="AB43" s="202">
        <f t="shared" si="123"/>
        <v>0</v>
      </c>
      <c r="AC43" s="202">
        <f t="shared" si="124"/>
        <v>0</v>
      </c>
      <c r="AD43" s="202">
        <f t="shared" si="125"/>
        <v>0</v>
      </c>
      <c r="AE43" s="202">
        <f t="shared" si="126"/>
        <v>0</v>
      </c>
      <c r="AF43" s="202">
        <f t="shared" si="127"/>
        <v>0</v>
      </c>
      <c r="AG43" s="202">
        <f t="shared" si="128"/>
        <v>0</v>
      </c>
      <c r="AH43" s="202">
        <f t="shared" si="129"/>
        <v>0</v>
      </c>
      <c r="AI43" s="202">
        <f t="shared" si="130"/>
        <v>0</v>
      </c>
      <c r="AJ43" s="202">
        <f t="shared" si="131"/>
        <v>0</v>
      </c>
      <c r="AK43" s="202">
        <f t="shared" si="132"/>
        <v>0</v>
      </c>
      <c r="AL43" s="202">
        <f t="shared" si="133"/>
        <v>0</v>
      </c>
      <c r="AM43" s="202">
        <f t="shared" si="134"/>
        <v>0</v>
      </c>
      <c r="AN43" s="202">
        <f t="shared" si="135"/>
        <v>0</v>
      </c>
      <c r="AO43" s="202">
        <f t="shared" si="136"/>
        <v>0</v>
      </c>
      <c r="AP43" s="202">
        <f t="shared" si="137"/>
        <v>0</v>
      </c>
      <c r="AQ43" s="202">
        <f t="shared" si="138"/>
        <v>0</v>
      </c>
      <c r="AR43" s="202">
        <f t="shared" si="139"/>
        <v>0</v>
      </c>
      <c r="AS43" s="202">
        <f t="shared" si="140"/>
        <v>0</v>
      </c>
      <c r="AU43" s="200" t="s">
        <v>450</v>
      </c>
      <c r="AV43" s="201">
        <v>8.75</v>
      </c>
      <c r="AW43" s="200" t="s">
        <v>491</v>
      </c>
      <c r="AX43" s="201">
        <v>13.8</v>
      </c>
      <c r="AY43" s="200"/>
      <c r="AZ43" s="201"/>
      <c r="BA43" s="200"/>
      <c r="BB43" s="201"/>
      <c r="BC43" s="200"/>
      <c r="BD43" s="201"/>
      <c r="BE43" s="200"/>
      <c r="BF43" s="201"/>
      <c r="BG43" s="200"/>
      <c r="BH43" s="201"/>
      <c r="BI43" s="200"/>
      <c r="BJ43" s="201"/>
      <c r="BK43" s="200"/>
      <c r="BL43" s="201"/>
      <c r="BM43" s="200"/>
      <c r="BN43" s="201"/>
      <c r="BO43" s="200"/>
      <c r="BP43" s="201"/>
      <c r="BQ43" s="200"/>
      <c r="BR43" s="201"/>
      <c r="BS43" s="200"/>
      <c r="BT43" s="201"/>
      <c r="BU43" s="200"/>
      <c r="BV43" s="201"/>
      <c r="BW43" s="200"/>
      <c r="BX43" s="201"/>
      <c r="BY43" s="200"/>
      <c r="BZ43" s="201"/>
      <c r="CA43" s="200"/>
      <c r="CB43" s="201"/>
      <c r="CC43" s="200"/>
      <c r="CD43" s="201"/>
      <c r="CE43" s="200"/>
      <c r="CF43" s="201"/>
      <c r="CG43" s="200"/>
      <c r="CH43" s="201"/>
      <c r="CI43" s="200"/>
      <c r="CJ43" s="201"/>
      <c r="CK43" s="200"/>
      <c r="CL43" s="201"/>
      <c r="CM43" s="200"/>
      <c r="CN43" s="201"/>
      <c r="CO43" s="200"/>
      <c r="CP43" s="201"/>
      <c r="CQ43" s="200"/>
      <c r="CR43" s="201"/>
    </row>
    <row r="44" spans="2:96" x14ac:dyDescent="0.25">
      <c r="B44" s="191"/>
      <c r="C44" s="205">
        <v>2018</v>
      </c>
      <c r="D44" s="62" t="s">
        <v>1536</v>
      </c>
      <c r="E44" s="63" t="s">
        <v>1537</v>
      </c>
      <c r="F44" s="64">
        <v>43306</v>
      </c>
      <c r="G44" s="65" t="s">
        <v>34</v>
      </c>
      <c r="H44" s="165">
        <v>0.12</v>
      </c>
      <c r="I44" s="165">
        <f t="shared" si="113"/>
        <v>4.1100000000000005E-2</v>
      </c>
      <c r="J44" s="94">
        <v>27900000</v>
      </c>
      <c r="K44" s="148">
        <f t="shared" si="114"/>
        <v>-7.8899999999999998E-2</v>
      </c>
      <c r="L44" s="11"/>
      <c r="M44" s="15">
        <f t="shared" si="115"/>
        <v>11</v>
      </c>
      <c r="N44" s="35" t="s">
        <v>226</v>
      </c>
      <c r="O44" s="15">
        <v>3</v>
      </c>
      <c r="P44" s="35" t="s">
        <v>457</v>
      </c>
      <c r="Q44" s="35"/>
      <c r="R44" s="15"/>
      <c r="S44" s="24"/>
      <c r="T44" s="62"/>
      <c r="U44" s="202">
        <f t="shared" si="116"/>
        <v>33.799999999999997</v>
      </c>
      <c r="V44" s="202">
        <f t="shared" si="117"/>
        <v>7.9</v>
      </c>
      <c r="W44" s="202">
        <f t="shared" si="118"/>
        <v>9.85</v>
      </c>
      <c r="X44" s="202">
        <f t="shared" si="119"/>
        <v>14.89</v>
      </c>
      <c r="Y44" s="202">
        <f t="shared" si="120"/>
        <v>4.1100000000000003</v>
      </c>
      <c r="Z44" s="202">
        <f t="shared" si="121"/>
        <v>9.85</v>
      </c>
      <c r="AA44" s="202">
        <f t="shared" si="122"/>
        <v>18</v>
      </c>
      <c r="AB44" s="202">
        <f t="shared" si="123"/>
        <v>18.59</v>
      </c>
      <c r="AC44" s="202">
        <f t="shared" si="124"/>
        <v>23.97</v>
      </c>
      <c r="AD44" s="202">
        <f t="shared" si="125"/>
        <v>24.8</v>
      </c>
      <c r="AE44" s="202">
        <f t="shared" si="126"/>
        <v>28</v>
      </c>
      <c r="AF44" s="202">
        <f t="shared" si="127"/>
        <v>0</v>
      </c>
      <c r="AG44" s="202">
        <f t="shared" si="128"/>
        <v>0</v>
      </c>
      <c r="AH44" s="202">
        <f t="shared" si="129"/>
        <v>0</v>
      </c>
      <c r="AI44" s="202">
        <f t="shared" si="130"/>
        <v>0</v>
      </c>
      <c r="AJ44" s="202">
        <f t="shared" si="131"/>
        <v>0</v>
      </c>
      <c r="AK44" s="202">
        <f t="shared" si="132"/>
        <v>0</v>
      </c>
      <c r="AL44" s="202">
        <f t="shared" si="133"/>
        <v>0</v>
      </c>
      <c r="AM44" s="202">
        <f t="shared" si="134"/>
        <v>0</v>
      </c>
      <c r="AN44" s="202">
        <f t="shared" si="135"/>
        <v>0</v>
      </c>
      <c r="AO44" s="202">
        <f t="shared" si="136"/>
        <v>0</v>
      </c>
      <c r="AP44" s="202">
        <f t="shared" si="137"/>
        <v>0</v>
      </c>
      <c r="AQ44" s="202">
        <f t="shared" si="138"/>
        <v>0</v>
      </c>
      <c r="AR44" s="202">
        <f t="shared" si="139"/>
        <v>0</v>
      </c>
      <c r="AS44" s="202">
        <f t="shared" si="140"/>
        <v>0</v>
      </c>
      <c r="AU44" s="200" t="s">
        <v>1114</v>
      </c>
      <c r="AV44" s="201">
        <v>33.799999999999997</v>
      </c>
      <c r="AW44" s="200" t="s">
        <v>517</v>
      </c>
      <c r="AX44" s="201">
        <v>7.9</v>
      </c>
      <c r="AY44" s="200" t="s">
        <v>1538</v>
      </c>
      <c r="AZ44" s="201">
        <v>9.85</v>
      </c>
      <c r="BA44" s="200" t="s">
        <v>665</v>
      </c>
      <c r="BB44" s="201">
        <v>14.89</v>
      </c>
      <c r="BC44" s="200" t="s">
        <v>1539</v>
      </c>
      <c r="BD44" s="201">
        <v>4.1100000000000003</v>
      </c>
      <c r="BE44" s="200" t="s">
        <v>438</v>
      </c>
      <c r="BF44" s="201">
        <v>9.85</v>
      </c>
      <c r="BG44" s="200" t="s">
        <v>1017</v>
      </c>
      <c r="BH44" s="201">
        <v>18</v>
      </c>
      <c r="BI44" s="200" t="s">
        <v>676</v>
      </c>
      <c r="BJ44" s="201">
        <v>18.59</v>
      </c>
      <c r="BK44" s="200" t="s">
        <v>1439</v>
      </c>
      <c r="BL44" s="201">
        <v>23.97</v>
      </c>
      <c r="BM44" s="200" t="s">
        <v>487</v>
      </c>
      <c r="BN44" s="201">
        <v>24.8</v>
      </c>
      <c r="BO44" s="200" t="s">
        <v>1540</v>
      </c>
      <c r="BP44" s="201">
        <v>28</v>
      </c>
      <c r="BQ44" s="200"/>
      <c r="BR44" s="201"/>
      <c r="BS44" s="200"/>
      <c r="BT44" s="201"/>
      <c r="BU44" s="200"/>
      <c r="BV44" s="201"/>
      <c r="BW44" s="200"/>
      <c r="BX44" s="201"/>
      <c r="BY44" s="200"/>
      <c r="BZ44" s="201"/>
      <c r="CA44" s="200"/>
      <c r="CB44" s="201"/>
      <c r="CC44" s="200"/>
      <c r="CD44" s="201"/>
      <c r="CE44" s="200"/>
      <c r="CF44" s="201"/>
      <c r="CG44" s="200"/>
      <c r="CH44" s="201"/>
      <c r="CI44" s="200"/>
      <c r="CJ44" s="201"/>
      <c r="CK44" s="200"/>
      <c r="CL44" s="201"/>
      <c r="CM44" s="200"/>
      <c r="CN44" s="201"/>
      <c r="CO44" s="200"/>
      <c r="CP44" s="201"/>
      <c r="CQ44" s="200"/>
      <c r="CR44" s="201"/>
    </row>
    <row r="45" spans="2:96" x14ac:dyDescent="0.25">
      <c r="B45" s="191"/>
      <c r="C45" s="205">
        <v>2018</v>
      </c>
      <c r="D45" s="62" t="s">
        <v>1541</v>
      </c>
      <c r="E45" s="63" t="s">
        <v>1525</v>
      </c>
      <c r="F45" s="64">
        <v>43258</v>
      </c>
      <c r="G45" s="65" t="s">
        <v>1341</v>
      </c>
      <c r="H45" s="165">
        <v>0.1</v>
      </c>
      <c r="I45" s="165">
        <f t="shared" si="113"/>
        <v>0.105</v>
      </c>
      <c r="J45" s="94">
        <v>2400000</v>
      </c>
      <c r="K45" s="148">
        <f t="shared" si="114"/>
        <v>4.9999999999999906E-3</v>
      </c>
      <c r="L45" s="11"/>
      <c r="M45" s="15">
        <f t="shared" si="115"/>
        <v>4</v>
      </c>
      <c r="N45" s="35" t="s">
        <v>226</v>
      </c>
      <c r="O45" s="15">
        <v>2</v>
      </c>
      <c r="P45" s="35" t="s">
        <v>458</v>
      </c>
      <c r="Q45" s="35"/>
      <c r="R45" s="15"/>
      <c r="S45" s="24"/>
      <c r="T45" s="62"/>
      <c r="U45" s="202">
        <f t="shared" si="116"/>
        <v>10.5</v>
      </c>
      <c r="V45" s="202">
        <f t="shared" si="117"/>
        <v>31</v>
      </c>
      <c r="W45" s="202">
        <f t="shared" si="118"/>
        <v>39</v>
      </c>
      <c r="X45" s="202">
        <f t="shared" si="119"/>
        <v>31</v>
      </c>
      <c r="Y45" s="202">
        <f t="shared" si="120"/>
        <v>0</v>
      </c>
      <c r="Z45" s="202">
        <f t="shared" si="121"/>
        <v>0</v>
      </c>
      <c r="AA45" s="202">
        <f t="shared" si="122"/>
        <v>0</v>
      </c>
      <c r="AB45" s="202">
        <f t="shared" si="123"/>
        <v>0</v>
      </c>
      <c r="AC45" s="202">
        <f t="shared" si="124"/>
        <v>0</v>
      </c>
      <c r="AD45" s="202">
        <f t="shared" si="125"/>
        <v>0</v>
      </c>
      <c r="AE45" s="202">
        <f t="shared" si="126"/>
        <v>0</v>
      </c>
      <c r="AF45" s="202">
        <f t="shared" si="127"/>
        <v>0</v>
      </c>
      <c r="AG45" s="202">
        <f t="shared" si="128"/>
        <v>0</v>
      </c>
      <c r="AH45" s="202">
        <f t="shared" si="129"/>
        <v>0</v>
      </c>
      <c r="AI45" s="202">
        <f t="shared" si="130"/>
        <v>0</v>
      </c>
      <c r="AJ45" s="202">
        <f t="shared" si="131"/>
        <v>0</v>
      </c>
      <c r="AK45" s="202">
        <f t="shared" si="132"/>
        <v>0</v>
      </c>
      <c r="AL45" s="202">
        <f t="shared" si="133"/>
        <v>0</v>
      </c>
      <c r="AM45" s="202">
        <f t="shared" si="134"/>
        <v>0</v>
      </c>
      <c r="AN45" s="202">
        <f t="shared" si="135"/>
        <v>0</v>
      </c>
      <c r="AO45" s="202">
        <f t="shared" si="136"/>
        <v>0</v>
      </c>
      <c r="AP45" s="202">
        <f t="shared" si="137"/>
        <v>0</v>
      </c>
      <c r="AQ45" s="202">
        <f t="shared" si="138"/>
        <v>0</v>
      </c>
      <c r="AR45" s="202">
        <f t="shared" si="139"/>
        <v>0</v>
      </c>
      <c r="AS45" s="202">
        <f t="shared" si="140"/>
        <v>0</v>
      </c>
      <c r="AU45" s="200" t="s">
        <v>605</v>
      </c>
      <c r="AV45" s="201">
        <v>10.5</v>
      </c>
      <c r="AW45" s="200" t="s">
        <v>824</v>
      </c>
      <c r="AX45" s="201">
        <v>31</v>
      </c>
      <c r="AY45" s="200" t="s">
        <v>725</v>
      </c>
      <c r="AZ45" s="201">
        <v>39</v>
      </c>
      <c r="BA45" s="200" t="s">
        <v>1054</v>
      </c>
      <c r="BB45" s="201">
        <v>31</v>
      </c>
      <c r="BC45" s="200"/>
      <c r="BD45" s="201"/>
      <c r="BE45" s="200"/>
      <c r="BF45" s="201"/>
      <c r="BG45" s="200"/>
      <c r="BH45" s="201"/>
      <c r="BI45" s="200"/>
      <c r="BJ45" s="201"/>
      <c r="BK45" s="200"/>
      <c r="BL45" s="201"/>
      <c r="BM45" s="200"/>
      <c r="BN45" s="201"/>
      <c r="BO45" s="200"/>
      <c r="BP45" s="201"/>
      <c r="BQ45" s="200"/>
      <c r="BR45" s="201"/>
      <c r="BS45" s="200"/>
      <c r="BT45" s="201"/>
      <c r="BU45" s="200"/>
      <c r="BV45" s="201"/>
      <c r="BW45" s="200"/>
      <c r="BX45" s="201"/>
      <c r="BY45" s="200"/>
      <c r="BZ45" s="201"/>
      <c r="CA45" s="200"/>
      <c r="CB45" s="201"/>
      <c r="CC45" s="200"/>
      <c r="CD45" s="201"/>
      <c r="CE45" s="200"/>
      <c r="CF45" s="201"/>
      <c r="CG45" s="200"/>
      <c r="CH45" s="201"/>
      <c r="CI45" s="200"/>
      <c r="CJ45" s="201"/>
      <c r="CK45" s="200"/>
      <c r="CL45" s="201"/>
      <c r="CM45" s="200"/>
      <c r="CN45" s="201"/>
      <c r="CO45" s="200"/>
      <c r="CP45" s="201"/>
      <c r="CQ45" s="200"/>
      <c r="CR45" s="201"/>
    </row>
    <row r="46" spans="2:96" x14ac:dyDescent="0.25">
      <c r="B46" s="191"/>
      <c r="C46" s="205">
        <v>2018</v>
      </c>
      <c r="D46" s="62" t="s">
        <v>1542</v>
      </c>
      <c r="E46" s="63" t="s">
        <v>1543</v>
      </c>
      <c r="F46" s="64">
        <v>43243</v>
      </c>
      <c r="G46" s="65" t="s">
        <v>1341</v>
      </c>
      <c r="H46" s="165">
        <v>0.12</v>
      </c>
      <c r="I46" s="165">
        <f>(SMALL(U46:AT46,COUNTIF(U46:AT46,0)+1)/100)</f>
        <v>0.21</v>
      </c>
      <c r="J46" s="94">
        <v>2000000</v>
      </c>
      <c r="K46" s="148">
        <f>+I46-H46</f>
        <v>0.09</v>
      </c>
      <c r="L46" s="11"/>
      <c r="M46" s="15">
        <f>COUNTIF(U46:AT46,"&gt;0")</f>
        <v>5</v>
      </c>
      <c r="N46" s="35" t="s">
        <v>25</v>
      </c>
      <c r="O46" s="15">
        <v>2</v>
      </c>
      <c r="P46" s="35" t="s">
        <v>458</v>
      </c>
      <c r="Q46" s="35"/>
      <c r="R46" s="15"/>
      <c r="S46" s="24"/>
      <c r="T46" s="62"/>
      <c r="U46" s="202">
        <f>+AV46</f>
        <v>21</v>
      </c>
      <c r="V46" s="202">
        <f>+AX46</f>
        <v>45</v>
      </c>
      <c r="W46" s="202">
        <f>+AZ46</f>
        <v>36</v>
      </c>
      <c r="X46" s="202">
        <f>+BB46</f>
        <v>35.450000000000003</v>
      </c>
      <c r="Y46" s="202">
        <f>+BD46</f>
        <v>27.73</v>
      </c>
      <c r="Z46" s="202">
        <f>+BF46</f>
        <v>0</v>
      </c>
      <c r="AA46" s="202">
        <f>+BH46</f>
        <v>0</v>
      </c>
      <c r="AB46" s="202">
        <f>+BJ46</f>
        <v>0</v>
      </c>
      <c r="AC46" s="202">
        <f>+BL46</f>
        <v>0</v>
      </c>
      <c r="AD46" s="202">
        <f>+BN46</f>
        <v>0</v>
      </c>
      <c r="AE46" s="202">
        <f>+BP46</f>
        <v>0</v>
      </c>
      <c r="AF46" s="202">
        <f>+BR46</f>
        <v>0</v>
      </c>
      <c r="AG46" s="202">
        <f>+BT46</f>
        <v>0</v>
      </c>
      <c r="AH46" s="202">
        <f>+BV46</f>
        <v>0</v>
      </c>
      <c r="AI46" s="202">
        <f>+BX46</f>
        <v>0</v>
      </c>
      <c r="AJ46" s="202">
        <f>+BZ46</f>
        <v>0</v>
      </c>
      <c r="AK46" s="202">
        <f>+CB46</f>
        <v>0</v>
      </c>
      <c r="AL46" s="202">
        <f>+CD46</f>
        <v>0</v>
      </c>
      <c r="AM46" s="202">
        <f>+CF46</f>
        <v>0</v>
      </c>
      <c r="AN46" s="202">
        <f>+CH46</f>
        <v>0</v>
      </c>
      <c r="AO46" s="202">
        <f>+CJ46</f>
        <v>0</v>
      </c>
      <c r="AP46" s="202">
        <f>+CL46</f>
        <v>0</v>
      </c>
      <c r="AQ46" s="202">
        <f>+CN46</f>
        <v>0</v>
      </c>
      <c r="AR46" s="202">
        <f>+CP46</f>
        <v>0</v>
      </c>
      <c r="AS46" s="202">
        <f>+CR46</f>
        <v>0</v>
      </c>
      <c r="AU46" s="200" t="s">
        <v>722</v>
      </c>
      <c r="AV46" s="201">
        <v>21</v>
      </c>
      <c r="AW46" s="200" t="s">
        <v>725</v>
      </c>
      <c r="AX46" s="201">
        <v>45</v>
      </c>
      <c r="AY46" s="200" t="s">
        <v>1544</v>
      </c>
      <c r="AZ46" s="201">
        <v>36</v>
      </c>
      <c r="BA46" s="200" t="s">
        <v>1054</v>
      </c>
      <c r="BB46" s="201">
        <v>35.450000000000003</v>
      </c>
      <c r="BC46" s="200" t="s">
        <v>676</v>
      </c>
      <c r="BD46" s="201">
        <v>27.73</v>
      </c>
      <c r="BE46" s="200"/>
      <c r="BF46" s="201"/>
      <c r="BG46" s="200"/>
      <c r="BH46" s="201"/>
      <c r="BI46" s="200"/>
      <c r="BJ46" s="201"/>
      <c r="BK46" s="200"/>
      <c r="BL46" s="201"/>
      <c r="BM46" s="200"/>
      <c r="BN46" s="201"/>
      <c r="BO46" s="200"/>
      <c r="BP46" s="201"/>
      <c r="BQ46" s="200"/>
      <c r="BR46" s="201"/>
      <c r="BS46" s="200"/>
      <c r="BT46" s="201"/>
      <c r="BU46" s="200"/>
      <c r="BV46" s="201"/>
      <c r="BW46" s="200"/>
      <c r="BX46" s="201"/>
      <c r="BY46" s="200"/>
      <c r="BZ46" s="201"/>
      <c r="CA46" s="200"/>
      <c r="CB46" s="201"/>
      <c r="CC46" s="200"/>
      <c r="CD46" s="201"/>
      <c r="CE46" s="200"/>
      <c r="CF46" s="201"/>
      <c r="CG46" s="200"/>
      <c r="CH46" s="201"/>
      <c r="CI46" s="200"/>
      <c r="CJ46" s="201"/>
      <c r="CK46" s="200"/>
      <c r="CL46" s="201"/>
      <c r="CM46" s="200"/>
      <c r="CN46" s="201"/>
      <c r="CO46" s="200"/>
      <c r="CP46" s="201"/>
      <c r="CQ46" s="200"/>
      <c r="CR46" s="201"/>
    </row>
    <row r="47" spans="2:96" x14ac:dyDescent="0.25">
      <c r="B47" s="191"/>
      <c r="C47" s="205">
        <v>2018</v>
      </c>
      <c r="D47" s="62" t="s">
        <v>1545</v>
      </c>
      <c r="E47" s="63" t="s">
        <v>1525</v>
      </c>
      <c r="F47" s="64">
        <v>43237</v>
      </c>
      <c r="G47" s="65" t="s">
        <v>1341</v>
      </c>
      <c r="H47" s="165">
        <v>0.12</v>
      </c>
      <c r="I47" s="165">
        <f>(SMALL(U47:AT47,COUNTIF(U47:AT47,0)+1)/100)</f>
        <v>0.1245</v>
      </c>
      <c r="J47" s="94">
        <v>2400000</v>
      </c>
      <c r="K47" s="148">
        <f>+I47-H47</f>
        <v>4.500000000000004E-3</v>
      </c>
      <c r="L47" s="11"/>
      <c r="M47" s="15">
        <f>COUNTIF(U47:AT47,"&gt;0")</f>
        <v>4</v>
      </c>
      <c r="N47" s="35" t="s">
        <v>226</v>
      </c>
      <c r="O47" s="15">
        <v>2</v>
      </c>
      <c r="P47" s="35" t="s">
        <v>459</v>
      </c>
      <c r="Q47" s="35"/>
      <c r="R47" s="15"/>
      <c r="S47" s="24"/>
      <c r="T47" s="62"/>
      <c r="U47" s="202">
        <f>+AV47</f>
        <v>12.45</v>
      </c>
      <c r="V47" s="202">
        <f>+AX47</f>
        <v>27.93</v>
      </c>
      <c r="W47" s="202">
        <f>+AZ47</f>
        <v>45</v>
      </c>
      <c r="X47" s="202">
        <f>+BB47</f>
        <v>39</v>
      </c>
      <c r="Y47" s="202">
        <f>+BD47</f>
        <v>0</v>
      </c>
      <c r="Z47" s="202">
        <f>+BF47</f>
        <v>0</v>
      </c>
      <c r="AA47" s="202">
        <f>+BH47</f>
        <v>0</v>
      </c>
      <c r="AB47" s="202">
        <f>+BJ47</f>
        <v>0</v>
      </c>
      <c r="AC47" s="202">
        <f>+BL47</f>
        <v>0</v>
      </c>
      <c r="AD47" s="202">
        <f>+BN47</f>
        <v>0</v>
      </c>
      <c r="AE47" s="202">
        <f>+BP47</f>
        <v>0</v>
      </c>
      <c r="AF47" s="202">
        <f>+BR47</f>
        <v>0</v>
      </c>
      <c r="AG47" s="202">
        <f>+BT47</f>
        <v>0</v>
      </c>
      <c r="AH47" s="202">
        <f>+BV47</f>
        <v>0</v>
      </c>
      <c r="AI47" s="202">
        <f>+BX47</f>
        <v>0</v>
      </c>
      <c r="AJ47" s="202">
        <f>+BZ47</f>
        <v>0</v>
      </c>
      <c r="AK47" s="202">
        <f>+CB47</f>
        <v>0</v>
      </c>
      <c r="AL47" s="202">
        <f>+CD47</f>
        <v>0</v>
      </c>
      <c r="AM47" s="202">
        <f>+CF47</f>
        <v>0</v>
      </c>
      <c r="AN47" s="202">
        <f>+CH47</f>
        <v>0</v>
      </c>
      <c r="AO47" s="202">
        <f>+CJ47</f>
        <v>0</v>
      </c>
      <c r="AP47" s="202">
        <f>+CL47</f>
        <v>0</v>
      </c>
      <c r="AQ47" s="202">
        <f>+CN47</f>
        <v>0</v>
      </c>
      <c r="AR47" s="202">
        <f>+CP47</f>
        <v>0</v>
      </c>
      <c r="AS47" s="202">
        <f>+CR47</f>
        <v>0</v>
      </c>
      <c r="AU47" s="200" t="s">
        <v>1054</v>
      </c>
      <c r="AV47" s="201">
        <v>12.45</v>
      </c>
      <c r="AW47" s="200" t="s">
        <v>676</v>
      </c>
      <c r="AX47" s="201">
        <v>27.93</v>
      </c>
      <c r="AY47" s="200" t="s">
        <v>725</v>
      </c>
      <c r="AZ47" s="201">
        <v>45</v>
      </c>
      <c r="BA47" s="200" t="s">
        <v>1544</v>
      </c>
      <c r="BB47" s="201">
        <v>39</v>
      </c>
      <c r="BC47" s="200"/>
      <c r="BD47" s="201"/>
      <c r="BE47" s="200"/>
      <c r="BF47" s="201"/>
      <c r="BG47" s="200"/>
      <c r="BH47" s="201"/>
      <c r="BI47" s="200"/>
      <c r="BJ47" s="201"/>
      <c r="BK47" s="200"/>
      <c r="BL47" s="201"/>
      <c r="BM47" s="200"/>
      <c r="BN47" s="201"/>
      <c r="BO47" s="200"/>
      <c r="BP47" s="201"/>
      <c r="BQ47" s="200"/>
      <c r="BR47" s="201"/>
      <c r="BS47" s="200"/>
      <c r="BT47" s="201"/>
      <c r="BU47" s="200"/>
      <c r="BV47" s="201"/>
      <c r="BW47" s="200"/>
      <c r="BX47" s="201"/>
      <c r="BY47" s="200"/>
      <c r="BZ47" s="201"/>
      <c r="CA47" s="200"/>
      <c r="CB47" s="201"/>
      <c r="CC47" s="200"/>
      <c r="CD47" s="201"/>
      <c r="CE47" s="200"/>
      <c r="CF47" s="201"/>
      <c r="CG47" s="200"/>
      <c r="CH47" s="201"/>
      <c r="CI47" s="200"/>
      <c r="CJ47" s="201"/>
      <c r="CK47" s="200"/>
      <c r="CL47" s="201"/>
      <c r="CM47" s="200"/>
      <c r="CN47" s="201"/>
      <c r="CO47" s="200"/>
      <c r="CP47" s="201"/>
      <c r="CQ47" s="200"/>
      <c r="CR47" s="201"/>
    </row>
    <row r="48" spans="2:96" x14ac:dyDescent="0.25">
      <c r="B48" s="191"/>
      <c r="C48" s="210">
        <v>2018</v>
      </c>
      <c r="D48" s="211" t="s">
        <v>1546</v>
      </c>
      <c r="E48" s="212" t="s">
        <v>1547</v>
      </c>
      <c r="F48" s="213">
        <v>43118</v>
      </c>
      <c r="G48" s="214" t="s">
        <v>190</v>
      </c>
      <c r="H48" s="215">
        <v>0.15</v>
      </c>
      <c r="I48" s="215">
        <f>(SMALL(U48:AT48,COUNTIF(U48:AT48,0)+1)/100)</f>
        <v>0.12330000000000001</v>
      </c>
      <c r="J48" s="216">
        <v>2500000</v>
      </c>
      <c r="K48" s="217">
        <f>+I48-H48</f>
        <v>-2.6699999999999988E-2</v>
      </c>
      <c r="L48" s="13"/>
      <c r="M48" s="28">
        <f>COUNTIF(U48:AT48,"&gt;0")</f>
        <v>3</v>
      </c>
      <c r="N48" s="34" t="s">
        <v>226</v>
      </c>
      <c r="O48" s="28">
        <v>1</v>
      </c>
      <c r="P48" s="34" t="s">
        <v>457</v>
      </c>
      <c r="Q48" s="34"/>
      <c r="R48" s="15"/>
      <c r="S48" s="24"/>
      <c r="T48" s="62"/>
      <c r="U48" s="202">
        <f>+AV48</f>
        <v>12.33</v>
      </c>
      <c r="V48" s="202">
        <f>+AX48</f>
        <v>14.25</v>
      </c>
      <c r="W48" s="202">
        <f>+AZ48</f>
        <v>14.91</v>
      </c>
      <c r="X48" s="202">
        <f>+BB48</f>
        <v>0</v>
      </c>
      <c r="Y48" s="202">
        <f>+BD48</f>
        <v>0</v>
      </c>
      <c r="Z48" s="202">
        <f>+BF48</f>
        <v>0</v>
      </c>
      <c r="AA48" s="202">
        <f>+BH48</f>
        <v>0</v>
      </c>
      <c r="AB48" s="202">
        <f>+BJ48</f>
        <v>0</v>
      </c>
      <c r="AC48" s="202">
        <f>+BL48</f>
        <v>0</v>
      </c>
      <c r="AD48" s="202">
        <f>+BN48</f>
        <v>0</v>
      </c>
      <c r="AE48" s="202">
        <f>+BP48</f>
        <v>0</v>
      </c>
      <c r="AF48" s="202">
        <f>+BR48</f>
        <v>0</v>
      </c>
      <c r="AG48" s="202">
        <f>+BT48</f>
        <v>0</v>
      </c>
      <c r="AH48" s="202">
        <f>+BV48</f>
        <v>0</v>
      </c>
      <c r="AI48" s="202">
        <f>+BX48</f>
        <v>0</v>
      </c>
      <c r="AJ48" s="202">
        <f>+BZ48</f>
        <v>0</v>
      </c>
      <c r="AK48" s="202">
        <f>+CB48</f>
        <v>0</v>
      </c>
      <c r="AL48" s="202">
        <f>+CD48</f>
        <v>0</v>
      </c>
      <c r="AM48" s="202">
        <f>+CF48</f>
        <v>0</v>
      </c>
      <c r="AN48" s="202">
        <f>+CH48</f>
        <v>0</v>
      </c>
      <c r="AO48" s="202">
        <f>+CJ48</f>
        <v>0</v>
      </c>
      <c r="AP48" s="202">
        <f>+CL48</f>
        <v>0</v>
      </c>
      <c r="AQ48" s="202">
        <f>+CN48</f>
        <v>0</v>
      </c>
      <c r="AR48" s="202">
        <f>+CP48</f>
        <v>0</v>
      </c>
      <c r="AS48" s="202">
        <f>+CR48</f>
        <v>0</v>
      </c>
      <c r="AU48" s="200" t="s">
        <v>1548</v>
      </c>
      <c r="AV48" s="201">
        <v>12.33</v>
      </c>
      <c r="AW48" s="200" t="s">
        <v>993</v>
      </c>
      <c r="AX48" s="201">
        <v>14.25</v>
      </c>
      <c r="AY48" s="200" t="s">
        <v>1439</v>
      </c>
      <c r="AZ48" s="201">
        <v>14.91</v>
      </c>
      <c r="BA48" s="200"/>
      <c r="BB48" s="201"/>
      <c r="BC48" s="200"/>
      <c r="BD48" s="201"/>
      <c r="BE48" s="200"/>
      <c r="BF48" s="201"/>
      <c r="BG48" s="200"/>
      <c r="BH48" s="201"/>
      <c r="BI48" s="200"/>
      <c r="BJ48" s="201"/>
      <c r="BK48" s="200"/>
      <c r="BL48" s="201"/>
      <c r="BM48" s="200"/>
      <c r="BN48" s="201"/>
      <c r="BO48" s="200"/>
      <c r="BP48" s="201"/>
      <c r="BQ48" s="200"/>
      <c r="BR48" s="201"/>
      <c r="BS48" s="200"/>
      <c r="BT48" s="201"/>
      <c r="BU48" s="200"/>
      <c r="BV48" s="201"/>
      <c r="BW48" s="200"/>
      <c r="BX48" s="201"/>
      <c r="BY48" s="200"/>
      <c r="BZ48" s="201"/>
      <c r="CA48" s="200"/>
      <c r="CB48" s="201"/>
      <c r="CC48" s="200"/>
      <c r="CD48" s="201"/>
      <c r="CE48" s="200"/>
      <c r="CF48" s="201"/>
      <c r="CG48" s="200"/>
      <c r="CH48" s="201"/>
      <c r="CI48" s="200"/>
      <c r="CJ48" s="201"/>
      <c r="CK48" s="200"/>
      <c r="CL48" s="201"/>
      <c r="CM48" s="200"/>
      <c r="CN48" s="201"/>
      <c r="CO48" s="200"/>
      <c r="CP48" s="201"/>
      <c r="CQ48" s="200"/>
      <c r="CR48" s="201"/>
    </row>
    <row r="49" spans="2:20" x14ac:dyDescent="0.25">
      <c r="B49" s="191"/>
      <c r="C49" s="206">
        <v>2018</v>
      </c>
      <c r="D49" s="207" t="s">
        <v>1552</v>
      </c>
      <c r="E49" s="208"/>
      <c r="F49" s="218">
        <f>COUNTA(F31:F48)</f>
        <v>17</v>
      </c>
      <c r="G49" s="218"/>
      <c r="H49" s="219"/>
      <c r="I49" s="219"/>
      <c r="J49" s="219">
        <f>SUM(J32:J48)</f>
        <v>83400000</v>
      </c>
      <c r="K49" s="220"/>
      <c r="L49" s="218"/>
      <c r="M49" s="221">
        <f>SUM(M31:M48)/F49</f>
        <v>3.7647058823529411</v>
      </c>
      <c r="N49" s="222"/>
      <c r="O49" s="218"/>
      <c r="P49" s="223"/>
      <c r="Q49" s="218"/>
      <c r="T49" s="62"/>
    </row>
    <row r="50" spans="2:20" x14ac:dyDescent="0.25">
      <c r="B50" s="191"/>
      <c r="C50" s="39"/>
      <c r="D50" s="62"/>
      <c r="E50" s="63"/>
      <c r="F50" s="64"/>
      <c r="G50" s="65"/>
      <c r="H50" s="94"/>
      <c r="I50" s="94"/>
      <c r="J50" s="94"/>
      <c r="K50" s="148"/>
      <c r="L50" s="11"/>
      <c r="M50" s="15"/>
      <c r="N50" s="35"/>
      <c r="O50" s="15"/>
      <c r="P50" s="35"/>
      <c r="Q50" s="35"/>
      <c r="R50" s="15"/>
      <c r="S50" s="24"/>
      <c r="T50" s="62"/>
    </row>
    <row r="51" spans="2:20" x14ac:dyDescent="0.25">
      <c r="F51" s="209" t="s">
        <v>1553</v>
      </c>
      <c r="G51" s="15">
        <v>9</v>
      </c>
      <c r="J51" s="94">
        <v>17700000</v>
      </c>
    </row>
  </sheetData>
  <autoFilter ref="D2:D50" xr:uid="{00000000-0009-0000-0000-000009000000}"/>
  <conditionalFormatting sqref="L50">
    <cfRule type="containsText" dxfId="5272" priority="202" operator="containsText" text="FAIL">
      <formula>NOT(ISERROR(SEARCH("FAIL",L50)))</formula>
    </cfRule>
  </conditionalFormatting>
  <conditionalFormatting sqref="L50">
    <cfRule type="containsText" dxfId="5271" priority="201" operator="containsText" text="GOOD">
      <formula>NOT(ISERROR(SEARCH("GOOD",L50)))</formula>
    </cfRule>
  </conditionalFormatting>
  <conditionalFormatting sqref="B50">
    <cfRule type="containsText" dxfId="5270" priority="198" operator="containsText" text="FAIL">
      <formula>NOT(ISERROR(SEARCH("FAIL",B50)))</formula>
    </cfRule>
  </conditionalFormatting>
  <conditionalFormatting sqref="B50">
    <cfRule type="containsText" dxfId="5269" priority="197" operator="containsText" text="GOOD">
      <formula>NOT(ISERROR(SEARCH("GOOD",B50)))</formula>
    </cfRule>
  </conditionalFormatting>
  <conditionalFormatting sqref="B49">
    <cfRule type="containsText" dxfId="5268" priority="190" operator="containsText" text="FAIL">
      <formula>NOT(ISERROR(SEARCH("FAIL",B49)))</formula>
    </cfRule>
  </conditionalFormatting>
  <conditionalFormatting sqref="B49">
    <cfRule type="containsText" dxfId="5267" priority="189" operator="containsText" text="GOOD">
      <formula>NOT(ISERROR(SEARCH("GOOD",B49)))</formula>
    </cfRule>
  </conditionalFormatting>
  <conditionalFormatting sqref="L33">
    <cfRule type="containsText" dxfId="5266" priority="114" operator="containsText" text="FAIL">
      <formula>NOT(ISERROR(SEARCH("FAIL",L33)))</formula>
    </cfRule>
  </conditionalFormatting>
  <conditionalFormatting sqref="L33">
    <cfRule type="containsText" dxfId="5265" priority="113" operator="containsText" text="GOOD">
      <formula>NOT(ISERROR(SEARCH("GOOD",L33)))</formula>
    </cfRule>
  </conditionalFormatting>
  <conditionalFormatting sqref="B33">
    <cfRule type="containsText" dxfId="5264" priority="110" operator="containsText" text="FAIL">
      <formula>NOT(ISERROR(SEARCH("FAIL",B33)))</formula>
    </cfRule>
  </conditionalFormatting>
  <conditionalFormatting sqref="B33">
    <cfRule type="containsText" dxfId="5263" priority="109" operator="containsText" text="GOOD">
      <formula>NOT(ISERROR(SEARCH("GOOD",B33)))</formula>
    </cfRule>
  </conditionalFormatting>
  <conditionalFormatting sqref="L34">
    <cfRule type="containsText" dxfId="5262" priority="94" operator="containsText" text="FAIL">
      <formula>NOT(ISERROR(SEARCH("FAIL",L34)))</formula>
    </cfRule>
  </conditionalFormatting>
  <conditionalFormatting sqref="L34">
    <cfRule type="containsText" dxfId="5261" priority="93" operator="containsText" text="GOOD">
      <formula>NOT(ISERROR(SEARCH("GOOD",L34)))</formula>
    </cfRule>
  </conditionalFormatting>
  <conditionalFormatting sqref="B34">
    <cfRule type="containsText" dxfId="5260" priority="92" operator="containsText" text="FAIL">
      <formula>NOT(ISERROR(SEARCH("FAIL",B34)))</formula>
    </cfRule>
  </conditionalFormatting>
  <conditionalFormatting sqref="B34">
    <cfRule type="containsText" dxfId="5259" priority="91" operator="containsText" text="GOOD">
      <formula>NOT(ISERROR(SEARCH("GOOD",B34)))</formula>
    </cfRule>
  </conditionalFormatting>
  <conditionalFormatting sqref="L35:L39">
    <cfRule type="containsText" dxfId="5258" priority="90" operator="containsText" text="FAIL">
      <formula>NOT(ISERROR(SEARCH("FAIL",L35)))</formula>
    </cfRule>
  </conditionalFormatting>
  <conditionalFormatting sqref="L35:L39">
    <cfRule type="containsText" dxfId="5257" priority="89" operator="containsText" text="GOOD">
      <formula>NOT(ISERROR(SEARCH("GOOD",L35)))</formula>
    </cfRule>
  </conditionalFormatting>
  <conditionalFormatting sqref="B35:B39">
    <cfRule type="containsText" dxfId="5256" priority="88" operator="containsText" text="FAIL">
      <formula>NOT(ISERROR(SEARCH("FAIL",B35)))</formula>
    </cfRule>
  </conditionalFormatting>
  <conditionalFormatting sqref="B35:B39">
    <cfRule type="containsText" dxfId="5255" priority="87" operator="containsText" text="GOOD">
      <formula>NOT(ISERROR(SEARCH("GOOD",B35)))</formula>
    </cfRule>
  </conditionalFormatting>
  <conditionalFormatting sqref="L40:L45">
    <cfRule type="containsText" dxfId="5254" priority="86" operator="containsText" text="FAIL">
      <formula>NOT(ISERROR(SEARCH("FAIL",L40)))</formula>
    </cfRule>
  </conditionalFormatting>
  <conditionalFormatting sqref="L40:L45">
    <cfRule type="containsText" dxfId="5253" priority="85" operator="containsText" text="GOOD">
      <formula>NOT(ISERROR(SEARCH("GOOD",L40)))</formula>
    </cfRule>
  </conditionalFormatting>
  <conditionalFormatting sqref="B40:B45">
    <cfRule type="containsText" dxfId="5252" priority="84" operator="containsText" text="FAIL">
      <formula>NOT(ISERROR(SEARCH("FAIL",B40)))</formula>
    </cfRule>
  </conditionalFormatting>
  <conditionalFormatting sqref="B40:B45">
    <cfRule type="containsText" dxfId="5251" priority="83" operator="containsText" text="GOOD">
      <formula>NOT(ISERROR(SEARCH("GOOD",B40)))</formula>
    </cfRule>
  </conditionalFormatting>
  <conditionalFormatting sqref="L46:L48">
    <cfRule type="containsText" dxfId="5250" priority="82" operator="containsText" text="FAIL">
      <formula>NOT(ISERROR(SEARCH("FAIL",L46)))</formula>
    </cfRule>
  </conditionalFormatting>
  <conditionalFormatting sqref="L46:L48">
    <cfRule type="containsText" dxfId="5249" priority="81" operator="containsText" text="GOOD">
      <formula>NOT(ISERROR(SEARCH("GOOD",L46)))</formula>
    </cfRule>
  </conditionalFormatting>
  <conditionalFormatting sqref="B46:B48">
    <cfRule type="containsText" dxfId="5248" priority="80" operator="containsText" text="FAIL">
      <formula>NOT(ISERROR(SEARCH("FAIL",B46)))</formula>
    </cfRule>
  </conditionalFormatting>
  <conditionalFormatting sqref="B46:B48">
    <cfRule type="containsText" dxfId="5247" priority="79" operator="containsText" text="GOOD">
      <formula>NOT(ISERROR(SEARCH("GOOD",B46)))</formula>
    </cfRule>
  </conditionalFormatting>
  <conditionalFormatting sqref="L32">
    <cfRule type="containsText" dxfId="5246" priority="78" operator="containsText" text="FAIL">
      <formula>NOT(ISERROR(SEARCH("FAIL",L32)))</formula>
    </cfRule>
  </conditionalFormatting>
  <conditionalFormatting sqref="L32">
    <cfRule type="containsText" dxfId="5245" priority="77" operator="containsText" text="GOOD">
      <formula>NOT(ISERROR(SEARCH("GOOD",L32)))</formula>
    </cfRule>
  </conditionalFormatting>
  <conditionalFormatting sqref="B32">
    <cfRule type="containsText" dxfId="5244" priority="76" operator="containsText" text="FAIL">
      <formula>NOT(ISERROR(SEARCH("FAIL",B32)))</formula>
    </cfRule>
  </conditionalFormatting>
  <conditionalFormatting sqref="B32">
    <cfRule type="containsText" dxfId="5243" priority="75" operator="containsText" text="GOOD">
      <formula>NOT(ISERROR(SEARCH("GOOD",B32)))</formula>
    </cfRule>
  </conditionalFormatting>
  <conditionalFormatting sqref="L27">
    <cfRule type="containsText" dxfId="5242" priority="74" operator="containsText" text="FAIL">
      <formula>NOT(ISERROR(SEARCH("FAIL",L27)))</formula>
    </cfRule>
  </conditionalFormatting>
  <conditionalFormatting sqref="L27">
    <cfRule type="containsText" dxfId="5241" priority="73" operator="containsText" text="GOOD">
      <formula>NOT(ISERROR(SEARCH("GOOD",L27)))</formula>
    </cfRule>
  </conditionalFormatting>
  <conditionalFormatting sqref="B27">
    <cfRule type="containsText" dxfId="5240" priority="72" operator="containsText" text="FAIL">
      <formula>NOT(ISERROR(SEARCH("FAIL",B27)))</formula>
    </cfRule>
  </conditionalFormatting>
  <conditionalFormatting sqref="B27">
    <cfRule type="containsText" dxfId="5239" priority="71" operator="containsText" text="GOOD">
      <formula>NOT(ISERROR(SEARCH("GOOD",B27)))</formula>
    </cfRule>
  </conditionalFormatting>
  <conditionalFormatting sqref="B26">
    <cfRule type="containsText" dxfId="5238" priority="70" operator="containsText" text="FAIL">
      <formula>NOT(ISERROR(SEARCH("FAIL",B26)))</formula>
    </cfRule>
  </conditionalFormatting>
  <conditionalFormatting sqref="B26">
    <cfRule type="containsText" dxfId="5237" priority="69" operator="containsText" text="GOOD">
      <formula>NOT(ISERROR(SEARCH("GOOD",B26)))</formula>
    </cfRule>
  </conditionalFormatting>
  <conditionalFormatting sqref="L7 L25">
    <cfRule type="containsText" dxfId="5236" priority="68" operator="containsText" text="FAIL">
      <formula>NOT(ISERROR(SEARCH("FAIL",L7)))</formula>
    </cfRule>
  </conditionalFormatting>
  <conditionalFormatting sqref="L7 L25">
    <cfRule type="containsText" dxfId="5235" priority="67" operator="containsText" text="GOOD">
      <formula>NOT(ISERROR(SEARCH("GOOD",L7)))</formula>
    </cfRule>
  </conditionalFormatting>
  <conditionalFormatting sqref="B7 B25">
    <cfRule type="containsText" dxfId="5234" priority="66" operator="containsText" text="FAIL">
      <formula>NOT(ISERROR(SEARCH("FAIL",B7)))</formula>
    </cfRule>
  </conditionalFormatting>
  <conditionalFormatting sqref="B7 B25">
    <cfRule type="containsText" dxfId="5233" priority="65" operator="containsText" text="GOOD">
      <formula>NOT(ISERROR(SEARCH("GOOD",B7)))</formula>
    </cfRule>
  </conditionalFormatting>
  <conditionalFormatting sqref="L24">
    <cfRule type="containsText" dxfId="5232" priority="64" operator="containsText" text="FAIL">
      <formula>NOT(ISERROR(SEARCH("FAIL",L24)))</formula>
    </cfRule>
  </conditionalFormatting>
  <conditionalFormatting sqref="L24">
    <cfRule type="containsText" dxfId="5231" priority="63" operator="containsText" text="GOOD">
      <formula>NOT(ISERROR(SEARCH("GOOD",L24)))</formula>
    </cfRule>
  </conditionalFormatting>
  <conditionalFormatting sqref="B24">
    <cfRule type="containsText" dxfId="5230" priority="62" operator="containsText" text="FAIL">
      <formula>NOT(ISERROR(SEARCH("FAIL",B24)))</formula>
    </cfRule>
  </conditionalFormatting>
  <conditionalFormatting sqref="B24">
    <cfRule type="containsText" dxfId="5229" priority="61" operator="containsText" text="GOOD">
      <formula>NOT(ISERROR(SEARCH("GOOD",B24)))</formula>
    </cfRule>
  </conditionalFormatting>
  <conditionalFormatting sqref="L23">
    <cfRule type="containsText" dxfId="5228" priority="60" operator="containsText" text="FAIL">
      <formula>NOT(ISERROR(SEARCH("FAIL",L23)))</formula>
    </cfRule>
  </conditionalFormatting>
  <conditionalFormatting sqref="L23">
    <cfRule type="containsText" dxfId="5227" priority="59" operator="containsText" text="GOOD">
      <formula>NOT(ISERROR(SEARCH("GOOD",L23)))</formula>
    </cfRule>
  </conditionalFormatting>
  <conditionalFormatting sqref="B23">
    <cfRule type="containsText" dxfId="5226" priority="58" operator="containsText" text="FAIL">
      <formula>NOT(ISERROR(SEARCH("FAIL",B23)))</formula>
    </cfRule>
  </conditionalFormatting>
  <conditionalFormatting sqref="B23">
    <cfRule type="containsText" dxfId="5225" priority="57" operator="containsText" text="GOOD">
      <formula>NOT(ISERROR(SEARCH("GOOD",B23)))</formula>
    </cfRule>
  </conditionalFormatting>
  <conditionalFormatting sqref="L22">
    <cfRule type="containsText" dxfId="5224" priority="56" operator="containsText" text="FAIL">
      <formula>NOT(ISERROR(SEARCH("FAIL",L22)))</formula>
    </cfRule>
  </conditionalFormatting>
  <conditionalFormatting sqref="L22">
    <cfRule type="containsText" dxfId="5223" priority="55" operator="containsText" text="GOOD">
      <formula>NOT(ISERROR(SEARCH("GOOD",L22)))</formula>
    </cfRule>
  </conditionalFormatting>
  <conditionalFormatting sqref="B22">
    <cfRule type="containsText" dxfId="5222" priority="54" operator="containsText" text="FAIL">
      <formula>NOT(ISERROR(SEARCH("FAIL",B22)))</formula>
    </cfRule>
  </conditionalFormatting>
  <conditionalFormatting sqref="B22">
    <cfRule type="containsText" dxfId="5221" priority="53" operator="containsText" text="GOOD">
      <formula>NOT(ISERROR(SEARCH("GOOD",B22)))</formula>
    </cfRule>
  </conditionalFormatting>
  <conditionalFormatting sqref="L21">
    <cfRule type="containsText" dxfId="5220" priority="52" operator="containsText" text="FAIL">
      <formula>NOT(ISERROR(SEARCH("FAIL",L21)))</formula>
    </cfRule>
  </conditionalFormatting>
  <conditionalFormatting sqref="L21">
    <cfRule type="containsText" dxfId="5219" priority="51" operator="containsText" text="GOOD">
      <formula>NOT(ISERROR(SEARCH("GOOD",L21)))</formula>
    </cfRule>
  </conditionalFormatting>
  <conditionalFormatting sqref="B21">
    <cfRule type="containsText" dxfId="5218" priority="50" operator="containsText" text="FAIL">
      <formula>NOT(ISERROR(SEARCH("FAIL",B21)))</formula>
    </cfRule>
  </conditionalFormatting>
  <conditionalFormatting sqref="B21">
    <cfRule type="containsText" dxfId="5217" priority="49" operator="containsText" text="GOOD">
      <formula>NOT(ISERROR(SEARCH("GOOD",B21)))</formula>
    </cfRule>
  </conditionalFormatting>
  <conditionalFormatting sqref="L20">
    <cfRule type="containsText" dxfId="5216" priority="48" operator="containsText" text="FAIL">
      <formula>NOT(ISERROR(SEARCH("FAIL",L20)))</formula>
    </cfRule>
  </conditionalFormatting>
  <conditionalFormatting sqref="L20">
    <cfRule type="containsText" dxfId="5215" priority="47" operator="containsText" text="GOOD">
      <formula>NOT(ISERROR(SEARCH("GOOD",L20)))</formula>
    </cfRule>
  </conditionalFormatting>
  <conditionalFormatting sqref="B20">
    <cfRule type="containsText" dxfId="5214" priority="46" operator="containsText" text="FAIL">
      <formula>NOT(ISERROR(SEARCH("FAIL",B20)))</formula>
    </cfRule>
  </conditionalFormatting>
  <conditionalFormatting sqref="B20">
    <cfRule type="containsText" dxfId="5213" priority="45" operator="containsText" text="GOOD">
      <formula>NOT(ISERROR(SEARCH("GOOD",B20)))</formula>
    </cfRule>
  </conditionalFormatting>
  <conditionalFormatting sqref="L19">
    <cfRule type="containsText" dxfId="5212" priority="44" operator="containsText" text="FAIL">
      <formula>NOT(ISERROR(SEARCH("FAIL",L19)))</formula>
    </cfRule>
  </conditionalFormatting>
  <conditionalFormatting sqref="L19">
    <cfRule type="containsText" dxfId="5211" priority="43" operator="containsText" text="GOOD">
      <formula>NOT(ISERROR(SEARCH("GOOD",L19)))</formula>
    </cfRule>
  </conditionalFormatting>
  <conditionalFormatting sqref="B19">
    <cfRule type="containsText" dxfId="5210" priority="42" operator="containsText" text="FAIL">
      <formula>NOT(ISERROR(SEARCH("FAIL",B19)))</formula>
    </cfRule>
  </conditionalFormatting>
  <conditionalFormatting sqref="B19">
    <cfRule type="containsText" dxfId="5209" priority="41" operator="containsText" text="GOOD">
      <formula>NOT(ISERROR(SEARCH("GOOD",B19)))</formula>
    </cfRule>
  </conditionalFormatting>
  <conditionalFormatting sqref="L18">
    <cfRule type="containsText" dxfId="5208" priority="40" operator="containsText" text="FAIL">
      <formula>NOT(ISERROR(SEARCH("FAIL",L18)))</formula>
    </cfRule>
  </conditionalFormatting>
  <conditionalFormatting sqref="L18">
    <cfRule type="containsText" dxfId="5207" priority="39" operator="containsText" text="GOOD">
      <formula>NOT(ISERROR(SEARCH("GOOD",L18)))</formula>
    </cfRule>
  </conditionalFormatting>
  <conditionalFormatting sqref="B18">
    <cfRule type="containsText" dxfId="5206" priority="38" operator="containsText" text="FAIL">
      <formula>NOT(ISERROR(SEARCH("FAIL",B18)))</formula>
    </cfRule>
  </conditionalFormatting>
  <conditionalFormatting sqref="B18">
    <cfRule type="containsText" dxfId="5205" priority="37" operator="containsText" text="GOOD">
      <formula>NOT(ISERROR(SEARCH("GOOD",B18)))</formula>
    </cfRule>
  </conditionalFormatting>
  <conditionalFormatting sqref="L17">
    <cfRule type="containsText" dxfId="5204" priority="36" operator="containsText" text="FAIL">
      <formula>NOT(ISERROR(SEARCH("FAIL",L17)))</formula>
    </cfRule>
  </conditionalFormatting>
  <conditionalFormatting sqref="L17">
    <cfRule type="containsText" dxfId="5203" priority="35" operator="containsText" text="GOOD">
      <formula>NOT(ISERROR(SEARCH("GOOD",L17)))</formula>
    </cfRule>
  </conditionalFormatting>
  <conditionalFormatting sqref="B17">
    <cfRule type="containsText" dxfId="5202" priority="34" operator="containsText" text="FAIL">
      <formula>NOT(ISERROR(SEARCH("FAIL",B17)))</formula>
    </cfRule>
  </conditionalFormatting>
  <conditionalFormatting sqref="B17">
    <cfRule type="containsText" dxfId="5201" priority="33" operator="containsText" text="GOOD">
      <formula>NOT(ISERROR(SEARCH("GOOD",B17)))</formula>
    </cfRule>
  </conditionalFormatting>
  <conditionalFormatting sqref="L16">
    <cfRule type="containsText" dxfId="5200" priority="32" operator="containsText" text="FAIL">
      <formula>NOT(ISERROR(SEARCH("FAIL",L16)))</formula>
    </cfRule>
  </conditionalFormatting>
  <conditionalFormatting sqref="L16">
    <cfRule type="containsText" dxfId="5199" priority="31" operator="containsText" text="GOOD">
      <formula>NOT(ISERROR(SEARCH("GOOD",L16)))</formula>
    </cfRule>
  </conditionalFormatting>
  <conditionalFormatting sqref="B16">
    <cfRule type="containsText" dxfId="5198" priority="30" operator="containsText" text="FAIL">
      <formula>NOT(ISERROR(SEARCH("FAIL",B16)))</formula>
    </cfRule>
  </conditionalFormatting>
  <conditionalFormatting sqref="B16">
    <cfRule type="containsText" dxfId="5197" priority="29" operator="containsText" text="GOOD">
      <formula>NOT(ISERROR(SEARCH("GOOD",B16)))</formula>
    </cfRule>
  </conditionalFormatting>
  <conditionalFormatting sqref="L15">
    <cfRule type="containsText" dxfId="5196" priority="28" operator="containsText" text="FAIL">
      <formula>NOT(ISERROR(SEARCH("FAIL",L15)))</formula>
    </cfRule>
  </conditionalFormatting>
  <conditionalFormatting sqref="L15">
    <cfRule type="containsText" dxfId="5195" priority="27" operator="containsText" text="GOOD">
      <formula>NOT(ISERROR(SEARCH("GOOD",L15)))</formula>
    </cfRule>
  </conditionalFormatting>
  <conditionalFormatting sqref="B15">
    <cfRule type="containsText" dxfId="5194" priority="26" operator="containsText" text="FAIL">
      <formula>NOT(ISERROR(SEARCH("FAIL",B15)))</formula>
    </cfRule>
  </conditionalFormatting>
  <conditionalFormatting sqref="B15">
    <cfRule type="containsText" dxfId="5193" priority="25" operator="containsText" text="GOOD">
      <formula>NOT(ISERROR(SEARCH("GOOD",B15)))</formula>
    </cfRule>
  </conditionalFormatting>
  <conditionalFormatting sqref="L14">
    <cfRule type="containsText" dxfId="5192" priority="24" operator="containsText" text="FAIL">
      <formula>NOT(ISERROR(SEARCH("FAIL",L14)))</formula>
    </cfRule>
  </conditionalFormatting>
  <conditionalFormatting sqref="L14">
    <cfRule type="containsText" dxfId="5191" priority="23" operator="containsText" text="GOOD">
      <formula>NOT(ISERROR(SEARCH("GOOD",L14)))</formula>
    </cfRule>
  </conditionalFormatting>
  <conditionalFormatting sqref="B14">
    <cfRule type="containsText" dxfId="5190" priority="22" operator="containsText" text="FAIL">
      <formula>NOT(ISERROR(SEARCH("FAIL",B14)))</formula>
    </cfRule>
  </conditionalFormatting>
  <conditionalFormatting sqref="B14">
    <cfRule type="containsText" dxfId="5189" priority="21" operator="containsText" text="GOOD">
      <formula>NOT(ISERROR(SEARCH("GOOD",B14)))</formula>
    </cfRule>
  </conditionalFormatting>
  <conditionalFormatting sqref="L12:L13">
    <cfRule type="containsText" dxfId="5188" priority="20" operator="containsText" text="FAIL">
      <formula>NOT(ISERROR(SEARCH("FAIL",L12)))</formula>
    </cfRule>
  </conditionalFormatting>
  <conditionalFormatting sqref="L12:L13">
    <cfRule type="containsText" dxfId="5187" priority="19" operator="containsText" text="GOOD">
      <formula>NOT(ISERROR(SEARCH("GOOD",L12)))</formula>
    </cfRule>
  </conditionalFormatting>
  <conditionalFormatting sqref="B12:B13">
    <cfRule type="containsText" dxfId="5186" priority="18" operator="containsText" text="FAIL">
      <formula>NOT(ISERROR(SEARCH("FAIL",B12)))</formula>
    </cfRule>
  </conditionalFormatting>
  <conditionalFormatting sqref="B12:B13">
    <cfRule type="containsText" dxfId="5185" priority="17" operator="containsText" text="GOOD">
      <formula>NOT(ISERROR(SEARCH("GOOD",B12)))</formula>
    </cfRule>
  </conditionalFormatting>
  <conditionalFormatting sqref="L11">
    <cfRule type="containsText" dxfId="5184" priority="16" operator="containsText" text="FAIL">
      <formula>NOT(ISERROR(SEARCH("FAIL",L11)))</formula>
    </cfRule>
  </conditionalFormatting>
  <conditionalFormatting sqref="L11">
    <cfRule type="containsText" dxfId="5183" priority="15" operator="containsText" text="GOOD">
      <formula>NOT(ISERROR(SEARCH("GOOD",L11)))</formula>
    </cfRule>
  </conditionalFormatting>
  <conditionalFormatting sqref="B11">
    <cfRule type="containsText" dxfId="5182" priority="14" operator="containsText" text="FAIL">
      <formula>NOT(ISERROR(SEARCH("FAIL",B11)))</formula>
    </cfRule>
  </conditionalFormatting>
  <conditionalFormatting sqref="B11">
    <cfRule type="containsText" dxfId="5181" priority="13" operator="containsText" text="GOOD">
      <formula>NOT(ISERROR(SEARCH("GOOD",B11)))</formula>
    </cfRule>
  </conditionalFormatting>
  <conditionalFormatting sqref="L8">
    <cfRule type="containsText" dxfId="5180" priority="12" operator="containsText" text="FAIL">
      <formula>NOT(ISERROR(SEARCH("FAIL",L8)))</formula>
    </cfRule>
  </conditionalFormatting>
  <conditionalFormatting sqref="L8">
    <cfRule type="containsText" dxfId="5179" priority="11" operator="containsText" text="GOOD">
      <formula>NOT(ISERROR(SEARCH("GOOD",L8)))</formula>
    </cfRule>
  </conditionalFormatting>
  <conditionalFormatting sqref="B8">
    <cfRule type="containsText" dxfId="5178" priority="10" operator="containsText" text="FAIL">
      <formula>NOT(ISERROR(SEARCH("FAIL",B8)))</formula>
    </cfRule>
  </conditionalFormatting>
  <conditionalFormatting sqref="B8">
    <cfRule type="containsText" dxfId="5177" priority="9" operator="containsText" text="GOOD">
      <formula>NOT(ISERROR(SEARCH("GOOD",B8)))</formula>
    </cfRule>
  </conditionalFormatting>
  <conditionalFormatting sqref="L10">
    <cfRule type="containsText" dxfId="5176" priority="8" operator="containsText" text="FAIL">
      <formula>NOT(ISERROR(SEARCH("FAIL",L10)))</formula>
    </cfRule>
  </conditionalFormatting>
  <conditionalFormatting sqref="L10">
    <cfRule type="containsText" dxfId="5175" priority="7" operator="containsText" text="GOOD">
      <formula>NOT(ISERROR(SEARCH("GOOD",L10)))</formula>
    </cfRule>
  </conditionalFormatting>
  <conditionalFormatting sqref="B10">
    <cfRule type="containsText" dxfId="5174" priority="6" operator="containsText" text="FAIL">
      <formula>NOT(ISERROR(SEARCH("FAIL",B10)))</formula>
    </cfRule>
  </conditionalFormatting>
  <conditionalFormatting sqref="B10">
    <cfRule type="containsText" dxfId="5173" priority="5" operator="containsText" text="GOOD">
      <formula>NOT(ISERROR(SEARCH("GOOD",B10)))</formula>
    </cfRule>
  </conditionalFormatting>
  <conditionalFormatting sqref="L9">
    <cfRule type="containsText" dxfId="5172" priority="4" operator="containsText" text="FAIL">
      <formula>NOT(ISERROR(SEARCH("FAIL",L9)))</formula>
    </cfRule>
  </conditionalFormatting>
  <conditionalFormatting sqref="L9">
    <cfRule type="containsText" dxfId="5171" priority="3" operator="containsText" text="GOOD">
      <formula>NOT(ISERROR(SEARCH("GOOD",L9)))</formula>
    </cfRule>
  </conditionalFormatting>
  <conditionalFormatting sqref="B9">
    <cfRule type="containsText" dxfId="5170" priority="2" operator="containsText" text="FAIL">
      <formula>NOT(ISERROR(SEARCH("FAIL",B9)))</formula>
    </cfRule>
  </conditionalFormatting>
  <conditionalFormatting sqref="B9">
    <cfRule type="containsText" dxfId="5169" priority="1" operator="containsText" text="GOOD">
      <formula>NOT(ISERROR(SEARCH("GOOD",B9)))</formula>
    </cfRule>
  </conditionalFormatting>
  <pageMargins left="0.7" right="0.7" top="0.75" bottom="0.75" header="0.3" footer="0.3"/>
  <pageSetup paperSize="17" scale="85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-0.249977111117893"/>
    <pageSetUpPr fitToPage="1"/>
  </sheetPr>
  <dimension ref="B2:AU945"/>
  <sheetViews>
    <sheetView tabSelected="1" zoomScaleNormal="100" workbookViewId="0">
      <pane ySplit="5" topLeftCell="A6" activePane="bottomLeft" state="frozen"/>
      <selection pane="bottomLeft" activeCell="I15" sqref="I15"/>
    </sheetView>
  </sheetViews>
  <sheetFormatPr defaultColWidth="8.85546875" defaultRowHeight="15" x14ac:dyDescent="0.25"/>
  <cols>
    <col min="1" max="1" width="1.42578125" customWidth="1"/>
    <col min="2" max="2" width="7.42578125" customWidth="1"/>
    <col min="3" max="3" width="5.28515625" customWidth="1"/>
    <col min="4" max="4" width="13.42578125" customWidth="1"/>
    <col min="5" max="5" width="48.7109375" customWidth="1"/>
    <col min="6" max="6" width="9.42578125" bestFit="1" customWidth="1"/>
    <col min="7" max="7" width="8.42578125" customWidth="1"/>
    <col min="8" max="9" width="13.7109375" customWidth="1"/>
    <col min="10" max="10" width="11.28515625" hidden="1" customWidth="1"/>
    <col min="11" max="11" width="9.42578125" customWidth="1"/>
    <col min="12" max="12" width="7" customWidth="1"/>
    <col min="13" max="13" width="6.42578125" customWidth="1"/>
    <col min="14" max="14" width="5.7109375" style="11" customWidth="1"/>
    <col min="15" max="15" width="3.42578125" customWidth="1"/>
    <col min="16" max="16" width="6.140625" customWidth="1"/>
    <col min="17" max="17" width="4.28515625" customWidth="1"/>
    <col min="18" max="18" width="1" customWidth="1"/>
    <col min="19" max="19" width="28.7109375" customWidth="1"/>
    <col min="20" max="20" width="20.28515625" customWidth="1"/>
    <col min="21" max="21" width="4" customWidth="1"/>
    <col min="22" max="22" width="13.7109375" customWidth="1"/>
    <col min="23" max="23" width="11.140625" customWidth="1"/>
    <col min="24" max="24" width="4" customWidth="1"/>
    <col min="25" max="25" width="13.140625" customWidth="1"/>
    <col min="29" max="29" width="13.28515625" customWidth="1"/>
    <col min="30" max="30" width="8.7109375" customWidth="1"/>
    <col min="33" max="33" width="12.42578125" customWidth="1"/>
    <col min="34" max="34" width="12.42578125" bestFit="1" customWidth="1"/>
    <col min="35" max="35" width="12" bestFit="1" customWidth="1"/>
    <col min="37" max="38" width="12.140625" bestFit="1" customWidth="1"/>
    <col min="41" max="41" width="14.28515625" customWidth="1"/>
    <col min="42" max="42" width="15" customWidth="1"/>
    <col min="46" max="46" width="3.42578125" customWidth="1"/>
  </cols>
  <sheetData>
    <row r="2" spans="2:40" ht="27.75" customHeight="1" x14ac:dyDescent="0.25">
      <c r="D2" s="21"/>
      <c r="E2" s="15"/>
      <c r="F2" s="15" t="s">
        <v>32</v>
      </c>
      <c r="I2" s="15"/>
      <c r="J2" s="15"/>
      <c r="L2" s="15" t="s">
        <v>1160</v>
      </c>
      <c r="V2" s="166" t="s">
        <v>1289</v>
      </c>
      <c r="W2" s="166"/>
      <c r="Y2" s="163" t="s">
        <v>1290</v>
      </c>
      <c r="Z2" s="162"/>
      <c r="AA2" s="162"/>
      <c r="AC2" s="238" t="s">
        <v>1857</v>
      </c>
      <c r="AD2" s="238"/>
    </row>
    <row r="3" spans="2:40" ht="18.75" x14ac:dyDescent="0.3">
      <c r="D3" s="3"/>
      <c r="F3" s="3" t="s">
        <v>53</v>
      </c>
      <c r="K3" s="36" t="s">
        <v>54</v>
      </c>
      <c r="L3" s="37">
        <v>2019</v>
      </c>
      <c r="T3" s="77" t="s">
        <v>1677</v>
      </c>
      <c r="U3" s="77"/>
      <c r="V3" s="166"/>
      <c r="W3" s="166"/>
      <c r="Y3" s="163">
        <v>0.85</v>
      </c>
      <c r="Z3" s="162" t="s">
        <v>1233</v>
      </c>
      <c r="AA3" s="162"/>
      <c r="AC3" s="238" t="s">
        <v>1858</v>
      </c>
      <c r="AD3" s="238"/>
    </row>
    <row r="4" spans="2:40" x14ac:dyDescent="0.25">
      <c r="V4" s="166"/>
      <c r="W4" s="166"/>
      <c r="Y4" s="163">
        <v>1.1000000000000001</v>
      </c>
      <c r="Z4" s="162"/>
      <c r="AA4" s="162"/>
      <c r="AC4" s="238"/>
      <c r="AD4" s="238"/>
    </row>
    <row r="5" spans="2:40" x14ac:dyDescent="0.25">
      <c r="B5" s="43" t="s">
        <v>1234</v>
      </c>
      <c r="C5" s="40" t="s">
        <v>423</v>
      </c>
      <c r="D5" s="49" t="s">
        <v>55</v>
      </c>
      <c r="E5" s="49" t="s">
        <v>56</v>
      </c>
      <c r="F5" s="47" t="s">
        <v>57</v>
      </c>
      <c r="G5" s="50" t="s">
        <v>424</v>
      </c>
      <c r="H5" s="47" t="s">
        <v>58</v>
      </c>
      <c r="I5" s="47" t="s">
        <v>59</v>
      </c>
      <c r="J5" s="42" t="s">
        <v>456</v>
      </c>
      <c r="K5" s="47" t="s">
        <v>60</v>
      </c>
      <c r="L5" s="48" t="s">
        <v>61</v>
      </c>
      <c r="M5" s="47" t="s">
        <v>62</v>
      </c>
      <c r="N5" s="43" t="s">
        <v>225</v>
      </c>
      <c r="O5" s="43" t="s">
        <v>422</v>
      </c>
      <c r="P5" s="43" t="s">
        <v>454</v>
      </c>
      <c r="Q5" s="43" t="s">
        <v>1280</v>
      </c>
      <c r="R5" s="43"/>
      <c r="S5" s="41" t="s">
        <v>63</v>
      </c>
      <c r="T5" s="58" t="s">
        <v>551</v>
      </c>
      <c r="U5" s="9"/>
      <c r="V5" s="42" t="s">
        <v>1287</v>
      </c>
      <c r="W5" s="42" t="s">
        <v>1288</v>
      </c>
      <c r="X5" s="41"/>
      <c r="Y5" s="17" t="s">
        <v>1232</v>
      </c>
      <c r="Z5" s="9"/>
      <c r="AA5" s="9"/>
      <c r="AB5" s="9"/>
      <c r="AC5" s="58" t="s">
        <v>1856</v>
      </c>
      <c r="AD5" s="9"/>
      <c r="AE5" s="9"/>
      <c r="AF5" s="9"/>
      <c r="AG5" s="9"/>
    </row>
    <row r="6" spans="2:40" ht="7.5" customHeight="1" x14ac:dyDescent="0.25">
      <c r="C6" s="39"/>
      <c r="G6" s="45"/>
      <c r="Q6" s="11"/>
    </row>
    <row r="7" spans="2:40" x14ac:dyDescent="0.25">
      <c r="C7" s="39">
        <v>2019</v>
      </c>
      <c r="D7" s="62" t="str">
        <f>+'JFK-944.805'!$F$4</f>
        <v>JFK-944.805</v>
      </c>
      <c r="E7" s="63" t="str">
        <f>+'JFK-944.805'!$F$5</f>
        <v>Replace Switch House #1 Emergency Generator</v>
      </c>
      <c r="F7" s="64">
        <f>+'JFK-944.805'!$F$6</f>
        <v>43727</v>
      </c>
      <c r="G7" s="65" t="str">
        <f>+'JFK-944.805'!$G$7</f>
        <v>Public</v>
      </c>
      <c r="H7" s="94">
        <f>+'JFK-944.805'!$F$7</f>
        <v>3840000</v>
      </c>
      <c r="I7" s="94">
        <f>+'JFK-944.805'!$F$8</f>
        <v>2936000</v>
      </c>
      <c r="J7" s="94"/>
      <c r="K7" s="148">
        <f>+'JFK-944.805'!$G$9</f>
        <v>-0.23541666666666666</v>
      </c>
      <c r="L7" s="11" t="str">
        <f>+'JFK-944.805'!$F$11</f>
        <v>GOOD</v>
      </c>
      <c r="M7" s="15">
        <f>+'JFK-944.805'!$H$12</f>
        <v>11</v>
      </c>
      <c r="N7" s="35" t="s">
        <v>93</v>
      </c>
      <c r="O7" s="15">
        <v>3</v>
      </c>
      <c r="P7" s="35" t="s">
        <v>458</v>
      </c>
      <c r="Q7" s="35"/>
      <c r="R7" s="15"/>
      <c r="S7" s="24"/>
      <c r="T7" s="62" t="str">
        <f>+'JFK-944.805'!$J$4</f>
        <v>Steven Schwan</v>
      </c>
      <c r="U7" s="62"/>
      <c r="V7" s="94">
        <f>+'JFK-944.805'!$F$12</f>
        <v>4681438.8181818184</v>
      </c>
      <c r="W7" s="165">
        <f t="shared" ref="W7" si="0">+I7/V7</f>
        <v>0.62715761414997762</v>
      </c>
      <c r="X7" s="15"/>
      <c r="Y7" s="161">
        <f>+I7/H7</f>
        <v>0.76458333333333328</v>
      </c>
      <c r="Z7" s="11" t="str">
        <f>(IF(Y7&lt;$Y$3,"FAIL",IF(Y7&gt;$Y$4,"FAIL","GOOD")))</f>
        <v>FAIL</v>
      </c>
      <c r="AA7" s="11"/>
      <c r="AB7" s="15"/>
      <c r="AC7" s="239">
        <f>VLOOKUP(H7,ECON_ADJUSTMENT!J$2:W$240,12,FALSE)</f>
        <v>3659639.9642531266</v>
      </c>
      <c r="AD7" s="15" t="str">
        <f>(IF(AC7&lt;(I7*0.9),"FAIL",IF(AC7&gt;(V7*1.1),"FAIL","GOOD")))</f>
        <v>GOOD</v>
      </c>
      <c r="AE7" s="15"/>
      <c r="AF7" s="15"/>
      <c r="AG7" s="54">
        <f t="shared" ref="AG7" si="1">+H7</f>
        <v>3840000</v>
      </c>
      <c r="AH7" s="54">
        <f t="shared" ref="AH7" si="2">+I7</f>
        <v>2936000</v>
      </c>
      <c r="AI7" s="54">
        <f t="shared" ref="AI7" si="3">+AG7-AH7</f>
        <v>904000</v>
      </c>
      <c r="AK7" s="4"/>
      <c r="AL7" s="4"/>
      <c r="AM7" s="192"/>
      <c r="AN7" s="193"/>
    </row>
    <row r="8" spans="2:40" x14ac:dyDescent="0.25">
      <c r="C8" s="39">
        <v>2019</v>
      </c>
      <c r="D8" s="62" t="str">
        <f>+'HT-924.110A'!$F$4</f>
        <v>HT-924.110A</v>
      </c>
      <c r="E8" s="63" t="str">
        <f>+'HT-924.110A'!$F$5</f>
        <v>HT Admin Bldg - Second Means of Egress</v>
      </c>
      <c r="F8" s="64">
        <f>+'HT-924.110A'!$F$6</f>
        <v>43720</v>
      </c>
      <c r="G8" s="65" t="str">
        <f>+'HT-924.110A'!$G$7</f>
        <v>SBE</v>
      </c>
      <c r="H8" s="94">
        <f>+'HT-924.110A'!$F$7</f>
        <v>1360000</v>
      </c>
      <c r="I8" s="94">
        <f>+'HT-924.110A'!$F$8</f>
        <v>1843700</v>
      </c>
      <c r="J8" s="94"/>
      <c r="K8" s="148">
        <f>+'HT-924.110A'!$G$9</f>
        <v>0.35566176470588234</v>
      </c>
      <c r="L8" s="11" t="str">
        <f>+'HT-924.110A'!$F$11</f>
        <v>FAIL</v>
      </c>
      <c r="M8" s="15">
        <f>+'HT-924.110A'!$H$12</f>
        <v>5</v>
      </c>
      <c r="N8" s="35" t="s">
        <v>25</v>
      </c>
      <c r="O8" s="15">
        <v>3</v>
      </c>
      <c r="P8" s="35" t="s">
        <v>457</v>
      </c>
      <c r="Q8" s="35"/>
      <c r="R8" s="15"/>
      <c r="S8" s="24"/>
      <c r="T8" s="62" t="str">
        <f>+'HT-924.110A'!$J$4</f>
        <v>Ed Minall</v>
      </c>
      <c r="U8" s="62"/>
      <c r="V8" s="94">
        <f>+'HT-924.110A'!$F$12</f>
        <v>2763542</v>
      </c>
      <c r="W8" s="165">
        <f t="shared" ref="W8" si="4">+I8/V8</f>
        <v>0.66715106917137501</v>
      </c>
      <c r="X8" s="15"/>
      <c r="Y8" s="161">
        <f t="shared" ref="Y8" si="5">+I8/H8</f>
        <v>1.3556617647058824</v>
      </c>
      <c r="Z8" s="11" t="str">
        <f t="shared" ref="Z8" si="6">(IF(Y8&lt;$Y$3,"FAIL",IF(Y8&gt;$Y$4,"FAIL","GOOD")))</f>
        <v>FAIL</v>
      </c>
      <c r="AA8" s="11"/>
      <c r="AB8" s="15"/>
      <c r="AC8" s="239">
        <f>VLOOKUP(H8,ECON_ADJUSTMENT!J$2:W$240,12,FALSE)</f>
        <v>3421611.2725179601</v>
      </c>
      <c r="AD8" s="15" t="str">
        <f t="shared" ref="AD8:AD71" si="7">(IF(AC8&lt;(I8*0.9),"FAIL",IF(AC8&gt;(V8*1.1),"FAIL","GOOD")))</f>
        <v>FAIL</v>
      </c>
      <c r="AE8" s="15"/>
      <c r="AF8" s="15"/>
      <c r="AG8" s="54">
        <f t="shared" ref="AG8" si="8">+H8</f>
        <v>1360000</v>
      </c>
      <c r="AH8" s="54">
        <f t="shared" ref="AH8" si="9">+I8</f>
        <v>1843700</v>
      </c>
      <c r="AI8" s="54">
        <f t="shared" ref="AI8" si="10">+AG8-AH8</f>
        <v>-483700</v>
      </c>
      <c r="AK8" s="4"/>
      <c r="AL8" s="4"/>
      <c r="AM8" s="192"/>
      <c r="AN8" s="193"/>
    </row>
    <row r="9" spans="2:40" x14ac:dyDescent="0.25">
      <c r="C9" s="39">
        <v>2019</v>
      </c>
      <c r="D9" s="62" t="str">
        <f>+'JFK-1078'!$F$4</f>
        <v>JFK-1078</v>
      </c>
      <c r="E9" s="63" t="str">
        <f>+'JFK-1078'!$F$5</f>
        <v>Landside Asphalt Repairs via Work Order</v>
      </c>
      <c r="F9" s="64">
        <f>+'JFK-1078'!$F$6</f>
        <v>43713</v>
      </c>
      <c r="G9" s="65" t="str">
        <f>+'JFK-1078'!$G$7</f>
        <v>SBE</v>
      </c>
      <c r="H9" s="94">
        <f>+'JFK-1078'!$F$7</f>
        <v>2030000</v>
      </c>
      <c r="I9" s="94">
        <f>+'JFK-1078'!$F$8</f>
        <v>1887810</v>
      </c>
      <c r="J9" s="94"/>
      <c r="K9" s="148">
        <f>+'JFK-1078'!$G$9</f>
        <v>-7.0044334975369452E-2</v>
      </c>
      <c r="L9" s="11" t="str">
        <f>+'JFK-1078'!$F$11</f>
        <v>GOOD</v>
      </c>
      <c r="M9" s="15">
        <f>+'JFK-1078'!$H$12</f>
        <v>4</v>
      </c>
      <c r="N9" s="35" t="s">
        <v>93</v>
      </c>
      <c r="O9" s="15">
        <v>3</v>
      </c>
      <c r="P9" s="35" t="s">
        <v>458</v>
      </c>
      <c r="Q9" s="35"/>
      <c r="R9" s="15"/>
      <c r="S9" s="24"/>
      <c r="T9" s="62" t="str">
        <f>+'JFK-1078'!$J$4</f>
        <v>Steven Schwan</v>
      </c>
      <c r="U9" s="62"/>
      <c r="V9" s="94">
        <f>+'JFK-1078'!$F$12</f>
        <v>2554425</v>
      </c>
      <c r="W9" s="165">
        <f t="shared" ref="W9" si="11">+I9/V9</f>
        <v>0.73903520361725239</v>
      </c>
      <c r="X9" s="15"/>
      <c r="Y9" s="161">
        <f t="shared" ref="Y9" si="12">+I9/H9</f>
        <v>0.92995566502463056</v>
      </c>
      <c r="Z9" s="11" t="str">
        <f t="shared" ref="Z9" si="13">(IF(Y9&lt;$Y$3,"FAIL",IF(Y9&gt;$Y$4,"FAIL","GOOD")))</f>
        <v>GOOD</v>
      </c>
      <c r="AA9" s="11"/>
      <c r="AB9" s="15"/>
      <c r="AC9" s="239">
        <f>VLOOKUP(H9,ECON_ADJUSTMENT!J$2:W$240,12,FALSE)</f>
        <v>3262967.2851076457</v>
      </c>
      <c r="AD9" s="15" t="str">
        <f t="shared" si="7"/>
        <v>FAIL</v>
      </c>
      <c r="AE9" s="15"/>
      <c r="AF9" s="15"/>
      <c r="AG9" s="54">
        <f t="shared" ref="AG9" si="14">+H9</f>
        <v>2030000</v>
      </c>
      <c r="AH9" s="54">
        <f t="shared" ref="AH9" si="15">+I9</f>
        <v>1887810</v>
      </c>
      <c r="AI9" s="54">
        <f t="shared" ref="AI9" si="16">+AG9-AH9</f>
        <v>142190</v>
      </c>
      <c r="AK9" s="4"/>
      <c r="AL9" s="4"/>
      <c r="AM9" s="192"/>
      <c r="AN9" s="193"/>
    </row>
    <row r="10" spans="2:40" x14ac:dyDescent="0.25">
      <c r="C10" s="39">
        <v>2019</v>
      </c>
      <c r="D10" s="62" t="str">
        <f>+'MF-234.217'!$F$4</f>
        <v>MF-234.217</v>
      </c>
      <c r="E10" s="63" t="str">
        <f>+'MF-234.217'!$F$5</f>
        <v>HT &amp; LT - Ventilation Buildings CCTV Cameras</v>
      </c>
      <c r="F10" s="64">
        <f>+'MF-234.217'!$F$6</f>
        <v>43712</v>
      </c>
      <c r="G10" s="65" t="str">
        <f>+'MF-234.217'!$G$7</f>
        <v>Public</v>
      </c>
      <c r="H10" s="94">
        <f>+'MF-234.217'!$F$7</f>
        <v>1300000</v>
      </c>
      <c r="I10" s="94">
        <f>+'MF-234.217'!$F$8</f>
        <v>919000</v>
      </c>
      <c r="J10" s="94"/>
      <c r="K10" s="148">
        <f>+'MF-234.217'!$G$9</f>
        <v>-0.29307692307692307</v>
      </c>
      <c r="L10" s="11" t="str">
        <f>+'MF-234.217'!$F$11</f>
        <v>GOOD</v>
      </c>
      <c r="M10" s="15">
        <f>+'MF-234.217'!$H$12</f>
        <v>16</v>
      </c>
      <c r="N10" s="35" t="s">
        <v>226</v>
      </c>
      <c r="O10" s="15">
        <v>3</v>
      </c>
      <c r="P10" s="35" t="s">
        <v>457</v>
      </c>
      <c r="Q10" s="35"/>
      <c r="R10" s="15"/>
      <c r="S10" s="24"/>
      <c r="T10" s="62" t="str">
        <f>+'MF-234.217'!$J$4</f>
        <v>Nathan Demaisip</v>
      </c>
      <c r="U10" s="62"/>
      <c r="V10" s="94">
        <f>+'MF-234.217'!$F$12</f>
        <v>1639305.4375</v>
      </c>
      <c r="W10" s="165">
        <f t="shared" ref="W10" si="17">+I10/V10</f>
        <v>0.56060327683748079</v>
      </c>
      <c r="X10" s="15"/>
      <c r="Y10" s="161">
        <f t="shared" ref="Y10" si="18">+I10/H10</f>
        <v>0.70692307692307688</v>
      </c>
      <c r="Z10" s="11" t="str">
        <f t="shared" ref="Z10" si="19">(IF(Y10&lt;$Y$3,"FAIL",IF(Y10&gt;$Y$4,"FAIL","GOOD")))</f>
        <v>FAIL</v>
      </c>
      <c r="AA10" s="11"/>
      <c r="AB10" s="15"/>
      <c r="AC10" s="239">
        <f>VLOOKUP(H10,ECON_ADJUSTMENT!J$2:W$240,12,FALSE)</f>
        <v>1996457.4672467667</v>
      </c>
      <c r="AD10" s="15" t="str">
        <f t="shared" si="7"/>
        <v>FAIL</v>
      </c>
      <c r="AE10" s="15"/>
      <c r="AF10" s="15"/>
      <c r="AG10" s="54">
        <f t="shared" ref="AG10" si="20">+H10</f>
        <v>1300000</v>
      </c>
      <c r="AH10" s="54">
        <f t="shared" ref="AH10" si="21">+I10</f>
        <v>919000</v>
      </c>
      <c r="AI10" s="54">
        <f t="shared" ref="AI10" si="22">+AG10-AH10</f>
        <v>381000</v>
      </c>
      <c r="AK10" s="4"/>
      <c r="AL10" s="4"/>
      <c r="AM10" s="192"/>
      <c r="AN10" s="193"/>
    </row>
    <row r="11" spans="2:40" x14ac:dyDescent="0.25">
      <c r="C11" s="39">
        <v>2019</v>
      </c>
      <c r="D11" s="62" t="str">
        <f>+'PJ-664.537'!$F$4</f>
        <v>PJ-664.537</v>
      </c>
      <c r="E11" s="63" t="str">
        <f>+'PJ-664.537'!$F$5</f>
        <v>Upgrade Electrical Infrastructure - Service Drops for 13.2kV Loop</v>
      </c>
      <c r="F11" s="64">
        <f>+'PJ-664.537'!$F$6</f>
        <v>43704</v>
      </c>
      <c r="G11" s="65" t="str">
        <f>+'PJ-664.537'!$G$7</f>
        <v>SBE</v>
      </c>
      <c r="H11" s="94">
        <f>+'PJ-664.537'!$F$7</f>
        <v>1260000</v>
      </c>
      <c r="I11" s="94">
        <f>+'PJ-664.537'!$F$8</f>
        <v>1201422</v>
      </c>
      <c r="J11" s="94"/>
      <c r="K11" s="148">
        <f>+'PJ-664.537'!$G$9</f>
        <v>-4.6490476190476193E-2</v>
      </c>
      <c r="L11" s="11" t="str">
        <f>+'PJ-664.537'!$F$11</f>
        <v>GOOD</v>
      </c>
      <c r="M11" s="15">
        <f>+'PJ-664.537'!$H$12</f>
        <v>6</v>
      </c>
      <c r="N11" s="35" t="s">
        <v>25</v>
      </c>
      <c r="O11" s="15">
        <v>3</v>
      </c>
      <c r="P11" s="35" t="s">
        <v>492</v>
      </c>
      <c r="Q11" s="35"/>
      <c r="R11" s="15"/>
      <c r="S11" s="24"/>
      <c r="T11" s="62" t="str">
        <f>+'PJ-664.537'!$J$4</f>
        <v>Steven Schwan</v>
      </c>
      <c r="U11" s="62"/>
      <c r="V11" s="94">
        <f>+'PJ-664.537'!$F$12</f>
        <v>2091721.1666666667</v>
      </c>
      <c r="W11" s="165">
        <f t="shared" ref="W11" si="23">+I11/V11</f>
        <v>0.57437005426233112</v>
      </c>
      <c r="X11" s="15"/>
      <c r="Y11" s="161">
        <f t="shared" ref="Y11" si="24">+I11/H11</f>
        <v>0.95350952380952381</v>
      </c>
      <c r="Z11" s="11" t="str">
        <f t="shared" ref="Z11" si="25">(IF(Y11&lt;$Y$3,"FAIL",IF(Y11&gt;$Y$4,"FAIL","GOOD")))</f>
        <v>GOOD</v>
      </c>
      <c r="AA11" s="11"/>
      <c r="AB11" s="15"/>
      <c r="AC11" s="239">
        <f>VLOOKUP(H11,ECON_ADJUSTMENT!J$2:W$240,12,FALSE)</f>
        <v>2593021.8161186501</v>
      </c>
      <c r="AD11" s="15" t="str">
        <f t="shared" si="7"/>
        <v>FAIL</v>
      </c>
      <c r="AE11" s="15"/>
      <c r="AF11" s="15"/>
      <c r="AG11" s="54">
        <f t="shared" ref="AG11" si="26">+H11</f>
        <v>1260000</v>
      </c>
      <c r="AH11" s="54">
        <f t="shared" ref="AH11" si="27">+I11</f>
        <v>1201422</v>
      </c>
      <c r="AI11" s="54">
        <f t="shared" ref="AI11" si="28">+AG11-AH11</f>
        <v>58578</v>
      </c>
      <c r="AK11" s="4"/>
      <c r="AL11" s="4"/>
      <c r="AM11" s="192"/>
      <c r="AN11" s="193"/>
    </row>
    <row r="12" spans="2:40" x14ac:dyDescent="0.25">
      <c r="C12" s="39">
        <v>2019</v>
      </c>
      <c r="D12" s="62" t="str">
        <f>+'EWR-154.224A'!$F$4</f>
        <v>EWR-154.224A</v>
      </c>
      <c r="E12" s="63" t="str">
        <f>+'EWR-154.224A'!$F$5</f>
        <v>Terminal B Exterior Wall Glass Upgrade</v>
      </c>
      <c r="F12" s="64">
        <f>+'EWR-154.224A'!$F$6</f>
        <v>43700</v>
      </c>
      <c r="G12" s="65" t="str">
        <f>+'GWB-244.112'!$G$7</f>
        <v>Public</v>
      </c>
      <c r="H12" s="94">
        <f>+'EWR-154.224A'!$F$7</f>
        <v>55300000</v>
      </c>
      <c r="I12" s="94">
        <f>+'EWR-154.224A'!$F$8</f>
        <v>43999000</v>
      </c>
      <c r="J12" s="94"/>
      <c r="K12" s="148">
        <f>+'EWR-154.224A'!$G$9</f>
        <v>-0.20435804701627486</v>
      </c>
      <c r="L12" s="11" t="str">
        <f>+'EWR-154.224A'!$F$11</f>
        <v>GOOD</v>
      </c>
      <c r="M12" s="15">
        <f>+'EWR-154.224A'!$H$12</f>
        <v>5</v>
      </c>
      <c r="N12" s="35" t="s">
        <v>25</v>
      </c>
      <c r="O12" s="15">
        <v>3</v>
      </c>
      <c r="P12" s="35" t="s">
        <v>458</v>
      </c>
      <c r="Q12" s="35"/>
      <c r="R12" s="15"/>
      <c r="S12" s="24"/>
      <c r="T12" s="62" t="str">
        <f>+'EWR-154.224A'!$J$4</f>
        <v>Nathan Demaisip</v>
      </c>
      <c r="U12" s="62"/>
      <c r="V12" s="94">
        <f>+'EWR-154.224A'!$F$12</f>
        <v>50531448</v>
      </c>
      <c r="W12" s="165">
        <f t="shared" ref="W12:W20" si="29">+I12/V12</f>
        <v>0.87072509776486118</v>
      </c>
      <c r="X12" s="15"/>
      <c r="Y12" s="161">
        <f t="shared" ref="Y12:Y20" si="30">+I12/H12</f>
        <v>0.79564195298372509</v>
      </c>
      <c r="Z12" s="11" t="str">
        <f t="shared" ref="Z12:Z20" si="31">(IF(Y12&lt;$Y$3,"FAIL",IF(Y12&gt;$Y$4,"FAIL","GOOD")))</f>
        <v>FAIL</v>
      </c>
      <c r="AA12" s="11"/>
      <c r="AB12" s="15"/>
      <c r="AC12" s="239">
        <f>VLOOKUP(H12,ECON_ADJUSTMENT!J$2:W$240,12,FALSE)</f>
        <v>50907705.56240838</v>
      </c>
      <c r="AD12" s="15" t="str">
        <f t="shared" si="7"/>
        <v>GOOD</v>
      </c>
      <c r="AE12" s="15"/>
      <c r="AF12" s="15"/>
      <c r="AG12" s="54">
        <f t="shared" ref="AG12:AG20" si="32">+H12</f>
        <v>55300000</v>
      </c>
      <c r="AH12" s="54">
        <f t="shared" ref="AH12:AH20" si="33">+I12</f>
        <v>43999000</v>
      </c>
      <c r="AI12" s="54">
        <f t="shared" ref="AI12:AI20" si="34">+AG12-AH12</f>
        <v>11301000</v>
      </c>
      <c r="AK12" s="4"/>
      <c r="AL12" s="4"/>
      <c r="AM12" s="192"/>
      <c r="AN12" s="193"/>
    </row>
    <row r="13" spans="2:40" x14ac:dyDescent="0.25">
      <c r="C13" s="39">
        <v>2019</v>
      </c>
      <c r="D13" s="62" t="str">
        <f>+'GWB-244.112'!$F$4</f>
        <v>GWB-244.112</v>
      </c>
      <c r="E13" s="63" t="str">
        <f>+'GWB-244.112'!$F$5</f>
        <v>Lower Level Steel, Paint and Traveller</v>
      </c>
      <c r="F13" s="64">
        <f>+'GWB-244.112'!$F$6</f>
        <v>43699</v>
      </c>
      <c r="G13" s="65" t="str">
        <f>+'GWB-244.112'!$G$7</f>
        <v>Public</v>
      </c>
      <c r="H13" s="94">
        <f>+'GWB-244.112'!$F$7</f>
        <v>194071979</v>
      </c>
      <c r="I13" s="94">
        <f>+'GWB-244.112'!$F$8</f>
        <v>171330900</v>
      </c>
      <c r="J13" s="94"/>
      <c r="K13" s="148">
        <f>+'GWB-244.112'!$G$9</f>
        <v>-0.11717858042762577</v>
      </c>
      <c r="L13" s="11" t="str">
        <f>+'GWB-244.112'!$F$11</f>
        <v>GOOD</v>
      </c>
      <c r="M13" s="15">
        <f>+'GWB-244.112'!$H$12</f>
        <v>6</v>
      </c>
      <c r="N13" s="35" t="s">
        <v>226</v>
      </c>
      <c r="O13" s="15">
        <v>3</v>
      </c>
      <c r="P13" s="35" t="s">
        <v>457</v>
      </c>
      <c r="Q13" s="35"/>
      <c r="R13" s="15"/>
      <c r="S13" s="24" t="s">
        <v>1717</v>
      </c>
      <c r="T13" s="62" t="str">
        <f>+'GWB-244.112'!$J$4</f>
        <v>Boris Lenderman</v>
      </c>
      <c r="U13" s="62"/>
      <c r="V13" s="94">
        <f>+'GWB-244.112'!$F$12</f>
        <v>182690985.33333334</v>
      </c>
      <c r="W13" s="165">
        <f t="shared" si="29"/>
        <v>0.93781803019669518</v>
      </c>
      <c r="X13" s="15"/>
      <c r="Y13" s="161">
        <f t="shared" si="30"/>
        <v>0.88282141957237426</v>
      </c>
      <c r="Z13" s="11" t="str">
        <f t="shared" si="31"/>
        <v>GOOD</v>
      </c>
      <c r="AA13" s="11"/>
      <c r="AB13" s="15"/>
      <c r="AC13" s="239">
        <f>VLOOKUP(H13,ECON_ADJUSTMENT!J$2:W$240,12,FALSE)</f>
        <v>171647521.86589673</v>
      </c>
      <c r="AD13" s="15" t="str">
        <f t="shared" si="7"/>
        <v>GOOD</v>
      </c>
      <c r="AE13" s="15"/>
      <c r="AF13" s="15"/>
      <c r="AG13" s="54">
        <f t="shared" si="32"/>
        <v>194071979</v>
      </c>
      <c r="AH13" s="54">
        <f t="shared" si="33"/>
        <v>171330900</v>
      </c>
      <c r="AI13" s="54">
        <f t="shared" si="34"/>
        <v>22741079</v>
      </c>
      <c r="AK13" s="4"/>
      <c r="AL13" s="4"/>
      <c r="AM13" s="192"/>
      <c r="AN13" s="193"/>
    </row>
    <row r="14" spans="2:40" x14ac:dyDescent="0.25">
      <c r="C14" s="39">
        <v>2019</v>
      </c>
      <c r="D14" s="62" t="str">
        <f>+'LGA-984.315'!$F$4</f>
        <v>LGA-984.315</v>
      </c>
      <c r="E14" s="63" t="str">
        <f>+'LGA-984.315'!$F$5</f>
        <v>Landside Paving via Classified Work Order</v>
      </c>
      <c r="F14" s="64">
        <f>+'LGA-984.315'!$F$6</f>
        <v>43699</v>
      </c>
      <c r="G14" s="65" t="str">
        <f>+'LGA-984.315'!$G$7</f>
        <v>Public</v>
      </c>
      <c r="H14" s="94">
        <f>+'LGA-984.315'!$F$7</f>
        <v>1980000</v>
      </c>
      <c r="I14" s="94">
        <f>+'LGA-984.315'!$F$8</f>
        <v>1993000</v>
      </c>
      <c r="J14" s="94"/>
      <c r="K14" s="148">
        <f>+'LGA-984.315'!$G$9</f>
        <v>6.5656565656565654E-3</v>
      </c>
      <c r="L14" s="11" t="str">
        <f>+'LGA-984.315'!$F$11</f>
        <v>GOOD</v>
      </c>
      <c r="M14" s="15">
        <f>+'LGA-984.315'!$H$12</f>
        <v>4</v>
      </c>
      <c r="N14" s="35" t="s">
        <v>93</v>
      </c>
      <c r="O14" s="15">
        <v>3</v>
      </c>
      <c r="P14" s="35" t="s">
        <v>458</v>
      </c>
      <c r="Q14" s="35"/>
      <c r="R14" s="15"/>
      <c r="S14" s="24"/>
      <c r="T14" s="62" t="str">
        <f>+'LGA-984.315'!$J$4</f>
        <v>Joe Lucin</v>
      </c>
      <c r="U14" s="62"/>
      <c r="V14" s="94">
        <f>+'LGA-984.315'!$F$12</f>
        <v>3089812.5</v>
      </c>
      <c r="W14" s="165">
        <f t="shared" si="29"/>
        <v>0.64502295851285474</v>
      </c>
      <c r="X14" s="15"/>
      <c r="Y14" s="161">
        <f t="shared" si="30"/>
        <v>1.0065656565656567</v>
      </c>
      <c r="Z14" s="11" t="str">
        <f t="shared" si="31"/>
        <v>GOOD</v>
      </c>
      <c r="AA14" s="11"/>
      <c r="AB14" s="15"/>
      <c r="AC14" s="239">
        <f>VLOOKUP(H14,ECON_ADJUSTMENT!J$2:W$240,12,FALSE)</f>
        <v>3961047.8839116967</v>
      </c>
      <c r="AD14" s="15" t="str">
        <f t="shared" si="7"/>
        <v>FAIL</v>
      </c>
      <c r="AE14" s="15"/>
      <c r="AF14" s="15"/>
      <c r="AG14" s="54">
        <f t="shared" si="32"/>
        <v>1980000</v>
      </c>
      <c r="AH14" s="54">
        <f t="shared" si="33"/>
        <v>1993000</v>
      </c>
      <c r="AI14" s="54">
        <f t="shared" si="34"/>
        <v>-13000</v>
      </c>
      <c r="AK14" s="4"/>
      <c r="AL14" s="4"/>
      <c r="AM14" s="192"/>
      <c r="AN14" s="193"/>
    </row>
    <row r="15" spans="2:40" x14ac:dyDescent="0.25">
      <c r="C15" s="39">
        <v>2019</v>
      </c>
      <c r="D15" s="62" t="str">
        <f>+'PAT-784.166'!$F$4</f>
        <v>PAT-784.166</v>
      </c>
      <c r="E15" s="63" t="str">
        <f>+'PAT-784.166'!$F$5</f>
        <v>Tracks G &amp; H Permanent Flood Protection</v>
      </c>
      <c r="F15" s="64">
        <f>+'PAT-784.166'!$F$6</f>
        <v>43690</v>
      </c>
      <c r="G15" s="65" t="str">
        <f>+'PAT-784.166'!$G$7</f>
        <v>Public</v>
      </c>
      <c r="H15" s="94">
        <f>+'PAT-784.166'!$F$7</f>
        <v>21500000</v>
      </c>
      <c r="I15" s="94">
        <f>+'PAT-784.166'!$F$8</f>
        <v>23111450</v>
      </c>
      <c r="J15" s="94"/>
      <c r="K15" s="148">
        <f>+'PAT-784.166'!$G$9</f>
        <v>7.4951162790697676E-2</v>
      </c>
      <c r="L15" s="11" t="str">
        <f>+'PAT-784.166'!$F$11</f>
        <v>GOOD</v>
      </c>
      <c r="M15" s="15">
        <f>+'PAT-784.166'!$H$12</f>
        <v>7</v>
      </c>
      <c r="N15" s="35" t="s">
        <v>25</v>
      </c>
      <c r="O15" s="15">
        <v>3</v>
      </c>
      <c r="P15" s="35" t="s">
        <v>459</v>
      </c>
      <c r="Q15" s="35"/>
      <c r="R15" s="15"/>
      <c r="S15" s="24"/>
      <c r="T15" s="62" t="str">
        <f>+'PAT-784.166'!$J$4</f>
        <v>Nathan Demaisip</v>
      </c>
      <c r="U15" s="62"/>
      <c r="V15" s="94">
        <f>+'PAT-784.166'!$F$12</f>
        <v>29457812.428571429</v>
      </c>
      <c r="W15" s="165">
        <f t="shared" si="29"/>
        <v>0.78456097363102129</v>
      </c>
      <c r="X15" s="15"/>
      <c r="Y15" s="161">
        <f t="shared" si="30"/>
        <v>1.0749511627906976</v>
      </c>
      <c r="Z15" s="11" t="str">
        <f t="shared" si="31"/>
        <v>GOOD</v>
      </c>
      <c r="AA15" s="11"/>
      <c r="AB15" s="15"/>
      <c r="AC15" s="239">
        <f>VLOOKUP(H15,ECON_ADJUSTMENT!J$2:W$240,12,FALSE)</f>
        <v>21499709.650943387</v>
      </c>
      <c r="AD15" s="15" t="str">
        <f t="shared" si="7"/>
        <v>GOOD</v>
      </c>
      <c r="AE15" s="15"/>
      <c r="AF15" s="15"/>
      <c r="AG15" s="54">
        <f t="shared" si="32"/>
        <v>21500000</v>
      </c>
      <c r="AH15" s="54">
        <f t="shared" si="33"/>
        <v>23111450</v>
      </c>
      <c r="AI15" s="54">
        <f t="shared" si="34"/>
        <v>-1611450</v>
      </c>
      <c r="AK15" s="4"/>
      <c r="AL15" s="4"/>
      <c r="AM15" s="192"/>
      <c r="AN15" s="193"/>
    </row>
    <row r="16" spans="2:40" x14ac:dyDescent="0.25">
      <c r="C16" s="39">
        <v>2019</v>
      </c>
      <c r="D16" s="62" t="str">
        <f>+'HT-924.152A'!$F$4</f>
        <v>HT-924.152A</v>
      </c>
      <c r="E16" s="63" t="str">
        <f>+'HT-924.152A'!$F$5</f>
        <v>Maintenance Pavement Repairs via Work Order</v>
      </c>
      <c r="F16" s="64">
        <f>+'HT-924.152A'!$F$6</f>
        <v>43685</v>
      </c>
      <c r="G16" s="65" t="str">
        <f>+'HT-924.152A'!$G$7</f>
        <v>PQL</v>
      </c>
      <c r="H16" s="94">
        <f>+'HT-924.152A'!$F$7</f>
        <v>1755000</v>
      </c>
      <c r="I16" s="94">
        <f>+'HT-924.152A'!$F$8</f>
        <v>1312300</v>
      </c>
      <c r="J16" s="94"/>
      <c r="K16" s="148">
        <f>+'HT-924.152A'!$G$9</f>
        <v>-0.25225071225071227</v>
      </c>
      <c r="L16" s="11" t="str">
        <f>+'HT-924.152A'!$F$11</f>
        <v>GOOD</v>
      </c>
      <c r="M16" s="15">
        <f>+'HT-924.152A'!$H$12</f>
        <v>7</v>
      </c>
      <c r="N16" s="35" t="s">
        <v>226</v>
      </c>
      <c r="O16" s="15">
        <v>3</v>
      </c>
      <c r="P16" s="35" t="s">
        <v>457</v>
      </c>
      <c r="Q16" s="35"/>
      <c r="R16" s="15"/>
      <c r="S16" s="24"/>
      <c r="T16" s="62" t="str">
        <f>+'HT-924.152A'!$J$4</f>
        <v>Tun Tun Lin</v>
      </c>
      <c r="U16" s="62"/>
      <c r="V16" s="94">
        <f>+'HT-924.152A'!$F$12</f>
        <v>2001831.7142857143</v>
      </c>
      <c r="W16" s="165">
        <f t="shared" si="29"/>
        <v>0.65554961020699465</v>
      </c>
      <c r="X16" s="15"/>
      <c r="Y16" s="161">
        <f t="shared" si="30"/>
        <v>0.74774928774928773</v>
      </c>
      <c r="Z16" s="11" t="str">
        <f t="shared" si="31"/>
        <v>FAIL</v>
      </c>
      <c r="AA16" s="11"/>
      <c r="AB16" s="15"/>
      <c r="AC16" s="239">
        <f>VLOOKUP(H16,ECON_ADJUSTMENT!J$2:W$240,12,FALSE)</f>
        <v>2392334.3352857186</v>
      </c>
      <c r="AD16" s="15" t="str">
        <f t="shared" si="7"/>
        <v>FAIL</v>
      </c>
      <c r="AE16" s="15"/>
      <c r="AF16" s="15"/>
      <c r="AG16" s="54">
        <f t="shared" si="32"/>
        <v>1755000</v>
      </c>
      <c r="AH16" s="54">
        <f t="shared" si="33"/>
        <v>1312300</v>
      </c>
      <c r="AI16" s="54">
        <f t="shared" si="34"/>
        <v>442700</v>
      </c>
      <c r="AK16" s="4"/>
      <c r="AL16" s="4"/>
      <c r="AM16" s="192"/>
      <c r="AN16" s="193"/>
    </row>
    <row r="17" spans="2:47" x14ac:dyDescent="0.25">
      <c r="C17" s="39">
        <v>2019</v>
      </c>
      <c r="D17" s="62" t="str">
        <f>+'HT-224.130'!$F$4</f>
        <v>HT-224.130</v>
      </c>
      <c r="E17" s="63" t="str">
        <f>+'HT-224.130'!$F$5</f>
        <v>Latent Salt Damage Repairs and Mitigation</v>
      </c>
      <c r="F17" s="64">
        <f>+'HT-224.130'!$F$6</f>
        <v>43669</v>
      </c>
      <c r="G17" s="65" t="str">
        <f>+'HT-224.130'!$G$7</f>
        <v>Public</v>
      </c>
      <c r="H17" s="94">
        <f>+'HT-224.130'!$F$7</f>
        <v>249010000</v>
      </c>
      <c r="I17" s="94">
        <f>+'HT-224.130'!$F$8</f>
        <v>135022488</v>
      </c>
      <c r="J17" s="94"/>
      <c r="K17" s="148">
        <f>+'HT-224.130'!$G$9</f>
        <v>-0.45776278864302639</v>
      </c>
      <c r="L17" s="11" t="str">
        <f>+'HT-224.130'!$F$11</f>
        <v>FAIL</v>
      </c>
      <c r="M17" s="15">
        <f>+'HT-224.130'!$H$12</f>
        <v>5</v>
      </c>
      <c r="N17" s="35" t="s">
        <v>226</v>
      </c>
      <c r="O17" s="15">
        <v>3</v>
      </c>
      <c r="P17" s="35" t="s">
        <v>457</v>
      </c>
      <c r="Q17" s="35"/>
      <c r="R17" s="15"/>
      <c r="S17" s="24" t="s">
        <v>932</v>
      </c>
      <c r="T17" s="62" t="str">
        <f>+'HT-224.130'!$J$4</f>
        <v>Ed Minall</v>
      </c>
      <c r="U17" s="62"/>
      <c r="V17" s="94">
        <f>+'HT-224.130'!$F$12</f>
        <v>164986247.40000001</v>
      </c>
      <c r="W17" s="165">
        <f t="shared" si="29"/>
        <v>0.8183863208467641</v>
      </c>
      <c r="X17" s="15"/>
      <c r="Y17" s="161">
        <f t="shared" si="30"/>
        <v>0.54223721135697367</v>
      </c>
      <c r="Z17" s="11" t="str">
        <f t="shared" si="31"/>
        <v>FAIL</v>
      </c>
      <c r="AA17" s="11"/>
      <c r="AB17" s="15"/>
      <c r="AC17" s="239">
        <f>VLOOKUP(H17,ECON_ADJUSTMENT!J$2:W$240,12,FALSE)</f>
        <v>219446844.26092565</v>
      </c>
      <c r="AD17" s="15" t="str">
        <f t="shared" si="7"/>
        <v>FAIL</v>
      </c>
      <c r="AE17" s="15"/>
      <c r="AF17" s="15"/>
      <c r="AG17" s="54">
        <f t="shared" si="32"/>
        <v>249010000</v>
      </c>
      <c r="AH17" s="54">
        <f t="shared" si="33"/>
        <v>135022488</v>
      </c>
      <c r="AI17" s="54">
        <f t="shared" si="34"/>
        <v>113987512</v>
      </c>
      <c r="AK17" s="4"/>
      <c r="AL17" s="4"/>
      <c r="AM17" s="192"/>
      <c r="AN17" s="193"/>
    </row>
    <row r="18" spans="2:47" x14ac:dyDescent="0.25">
      <c r="C18" s="39">
        <v>2019</v>
      </c>
      <c r="D18" s="62" t="str">
        <f>+'PJ-664.532'!$F$4</f>
        <v>PJ-664.532</v>
      </c>
      <c r="E18" s="63" t="str">
        <f>+'PJ-664.532'!$F$5</f>
        <v>Construct Second Lead Track</v>
      </c>
      <c r="F18" s="64">
        <f>+'PJ-664.532'!$F$6</f>
        <v>43664</v>
      </c>
      <c r="G18" s="65" t="str">
        <f>+'PJ-664.532'!$G$7</f>
        <v>Public</v>
      </c>
      <c r="H18" s="94">
        <f>+'PJ-664.532'!$F$7</f>
        <v>5660000</v>
      </c>
      <c r="I18" s="94">
        <f>+'PJ-664.532'!$F$8</f>
        <v>3930000</v>
      </c>
      <c r="J18" s="94"/>
      <c r="K18" s="148">
        <f>+'PJ-664.532'!$G$9</f>
        <v>-0.30565371024734983</v>
      </c>
      <c r="L18" s="11" t="str">
        <f>+'PJ-664.532'!$F$11</f>
        <v>GOOD</v>
      </c>
      <c r="M18" s="15">
        <f>+'PJ-664.532'!$H$12</f>
        <v>4</v>
      </c>
      <c r="N18" s="35" t="s">
        <v>25</v>
      </c>
      <c r="O18" s="15">
        <v>3</v>
      </c>
      <c r="P18" s="35" t="s">
        <v>492</v>
      </c>
      <c r="Q18" s="35"/>
      <c r="R18" s="15"/>
      <c r="S18" s="24"/>
      <c r="T18" s="62" t="str">
        <f>+'PJ-664.532'!$J$4</f>
        <v>Tun Tun Lin</v>
      </c>
      <c r="U18" s="62"/>
      <c r="V18" s="94">
        <f>+'PJ-664.532'!$F$12</f>
        <v>5605196.25</v>
      </c>
      <c r="W18" s="165">
        <f t="shared" si="29"/>
        <v>0.70113512974679526</v>
      </c>
      <c r="X18" s="15"/>
      <c r="Y18" s="161">
        <f t="shared" si="30"/>
        <v>0.69434628975265023</v>
      </c>
      <c r="Z18" s="11" t="str">
        <f t="shared" si="31"/>
        <v>FAIL</v>
      </c>
      <c r="AA18" s="11"/>
      <c r="AB18" s="15"/>
      <c r="AC18" s="239">
        <f>VLOOKUP(H18,ECON_ADJUSTMENT!J$2:W$240,12,FALSE)</f>
        <v>5243147.4364089342</v>
      </c>
      <c r="AD18" s="15" t="str">
        <f t="shared" si="7"/>
        <v>GOOD</v>
      </c>
      <c r="AE18" s="15"/>
      <c r="AF18" s="15"/>
      <c r="AG18" s="54">
        <f t="shared" si="32"/>
        <v>5660000</v>
      </c>
      <c r="AH18" s="54">
        <f t="shared" si="33"/>
        <v>3930000</v>
      </c>
      <c r="AI18" s="54">
        <f t="shared" si="34"/>
        <v>1730000</v>
      </c>
      <c r="AK18" s="4"/>
      <c r="AL18" s="4"/>
      <c r="AM18" s="192"/>
      <c r="AN18" s="193"/>
    </row>
    <row r="19" spans="2:47" x14ac:dyDescent="0.25">
      <c r="C19" s="39">
        <v>2019</v>
      </c>
      <c r="D19" s="62" t="str">
        <f>+'HT-224.141'!$F$4</f>
        <v>HT-224.121</v>
      </c>
      <c r="E19" s="63" t="str">
        <f>+'HT-224.141'!$F$5</f>
        <v>Roof Replacement at NJ Service Garage</v>
      </c>
      <c r="F19" s="64">
        <f>+'HT-224.141'!$F$6</f>
        <v>43662</v>
      </c>
      <c r="G19" s="65" t="str">
        <f>+'HT-224.141'!$G$7</f>
        <v>SBE</v>
      </c>
      <c r="H19" s="94">
        <f>+'HT-224.141'!$F$7</f>
        <v>2060000</v>
      </c>
      <c r="I19" s="94">
        <f>+'HT-224.141'!$F$8</f>
        <v>2899873</v>
      </c>
      <c r="J19" s="94"/>
      <c r="K19" s="148">
        <f>+'HT-224.141'!$G$9</f>
        <v>0.40770533980582524</v>
      </c>
      <c r="L19" s="11" t="str">
        <f>+'HT-224.141'!$F$11</f>
        <v>FAIL</v>
      </c>
      <c r="M19" s="15">
        <f>+'HT-224.141'!$H$12</f>
        <v>4</v>
      </c>
      <c r="N19" s="35" t="s">
        <v>25</v>
      </c>
      <c r="O19" s="15">
        <v>3</v>
      </c>
      <c r="P19" s="35" t="s">
        <v>457</v>
      </c>
      <c r="Q19" s="35"/>
      <c r="R19" s="15"/>
      <c r="S19" s="24"/>
      <c r="T19" s="62" t="str">
        <f>+'HT-224.141'!$J$4</f>
        <v>Tun Tun Lin</v>
      </c>
      <c r="U19" s="62"/>
      <c r="V19" s="94">
        <f>+'HT-224.141'!$F$12</f>
        <v>4043908.25</v>
      </c>
      <c r="W19" s="165">
        <f t="shared" si="29"/>
        <v>0.71709663541451518</v>
      </c>
      <c r="X19" s="15"/>
      <c r="Y19" s="161">
        <f t="shared" si="30"/>
        <v>1.4077053398058252</v>
      </c>
      <c r="Z19" s="11" t="str">
        <f t="shared" si="31"/>
        <v>FAIL</v>
      </c>
      <c r="AA19" s="11"/>
      <c r="AB19" s="15"/>
      <c r="AC19" s="239">
        <f>VLOOKUP(H19,ECON_ADJUSTMENT!J$2:W$240,12,FALSE)</f>
        <v>2110934.8541227216</v>
      </c>
      <c r="AD19" s="15" t="str">
        <f t="shared" si="7"/>
        <v>FAIL</v>
      </c>
      <c r="AE19" s="15"/>
      <c r="AF19" s="15"/>
      <c r="AG19" s="54">
        <f t="shared" si="32"/>
        <v>2060000</v>
      </c>
      <c r="AH19" s="54">
        <f t="shared" si="33"/>
        <v>2899873</v>
      </c>
      <c r="AI19" s="54">
        <f t="shared" si="34"/>
        <v>-839873</v>
      </c>
      <c r="AK19" s="4"/>
      <c r="AL19" s="4"/>
      <c r="AM19" s="192"/>
      <c r="AN19" s="193"/>
    </row>
    <row r="20" spans="2:47" x14ac:dyDescent="0.25">
      <c r="B20" s="164">
        <f>(COUNTIF(L6:L20,"G*")/COUNTA(L6:L20))</f>
        <v>0.7857142857142857</v>
      </c>
      <c r="C20" s="39">
        <v>2019</v>
      </c>
      <c r="D20" s="62" t="str">
        <f>+'HT-944.004'!$F$4</f>
        <v>HT-944.004</v>
      </c>
      <c r="E20" s="63" t="str">
        <f>+'HT-944.004'!$F$5</f>
        <v>Repair of Collapsed Drain Pipe at NY Land Vent Bldg</v>
      </c>
      <c r="F20" s="64">
        <f>+'HT-944.004'!$F$6</f>
        <v>43655</v>
      </c>
      <c r="G20" s="65" t="str">
        <f>+'HT-944.004'!$G$7</f>
        <v>SBE</v>
      </c>
      <c r="H20" s="94">
        <f>+'HT-944.004'!$F$7</f>
        <v>400000</v>
      </c>
      <c r="I20" s="94">
        <f>+'HT-944.004'!$F$8</f>
        <v>396784</v>
      </c>
      <c r="J20" s="94"/>
      <c r="K20" s="148">
        <f>+'HT-944.004'!$G$9</f>
        <v>-8.0400000000000003E-3</v>
      </c>
      <c r="L20" s="11" t="str">
        <f>+'HT-944.004'!$F$11</f>
        <v>GOOD</v>
      </c>
      <c r="M20" s="15">
        <f>+'HT-944.004'!$H$12</f>
        <v>6</v>
      </c>
      <c r="N20" s="35" t="s">
        <v>93</v>
      </c>
      <c r="O20" s="15">
        <v>3</v>
      </c>
      <c r="P20" s="35" t="s">
        <v>457</v>
      </c>
      <c r="Q20" s="35"/>
      <c r="R20" s="15"/>
      <c r="S20" s="24"/>
      <c r="T20" s="62" t="str">
        <f>+'PAT-774.179'!$J$4</f>
        <v>Nathan Demaisip</v>
      </c>
      <c r="U20" s="62"/>
      <c r="V20" s="94">
        <f>+'HT-944.004'!$F$12</f>
        <v>586062</v>
      </c>
      <c r="W20" s="165">
        <f t="shared" si="29"/>
        <v>0.67703417044613023</v>
      </c>
      <c r="X20" s="15"/>
      <c r="Y20" s="161">
        <f t="shared" si="30"/>
        <v>0.99195999999999995</v>
      </c>
      <c r="Z20" s="11" t="str">
        <f t="shared" si="31"/>
        <v>GOOD</v>
      </c>
      <c r="AA20" s="11"/>
      <c r="AB20" s="15"/>
      <c r="AC20" s="239">
        <f>VLOOKUP(H20,ECON_ADJUSTMENT!J$2:W$240,12,FALSE)</f>
        <v>1213404.3216752135</v>
      </c>
      <c r="AD20" s="15" t="str">
        <f t="shared" si="7"/>
        <v>FAIL</v>
      </c>
      <c r="AE20" s="15"/>
      <c r="AF20" s="15"/>
      <c r="AG20" s="54">
        <f t="shared" si="32"/>
        <v>400000</v>
      </c>
      <c r="AH20" s="54">
        <f t="shared" si="33"/>
        <v>396784</v>
      </c>
      <c r="AI20" s="54">
        <f t="shared" si="34"/>
        <v>3216</v>
      </c>
      <c r="AK20" s="4">
        <f>SUM(H6:H20)</f>
        <v>541526979</v>
      </c>
      <c r="AL20" s="4">
        <f>SUM(I6:I20)</f>
        <v>392783727</v>
      </c>
      <c r="AM20" s="169">
        <f>+AL20/AK20</f>
        <v>0.7253262390090448</v>
      </c>
      <c r="AN20" s="1" t="s">
        <v>1324</v>
      </c>
      <c r="AO20" s="170">
        <f>+AK20+AK33+AK49</f>
        <v>902748479</v>
      </c>
      <c r="AP20" s="170">
        <f>+AL20+AL33+AL49</f>
        <v>720853565</v>
      </c>
      <c r="AQ20" s="171">
        <f>+AP20/AO20</f>
        <v>0.79850986378676581</v>
      </c>
      <c r="AR20" s="172" t="s">
        <v>1676</v>
      </c>
      <c r="AS20" s="173"/>
      <c r="AU20" s="191"/>
    </row>
    <row r="21" spans="2:47" ht="7.5" customHeight="1" x14ac:dyDescent="0.25">
      <c r="C21" s="39"/>
      <c r="G21" s="45"/>
      <c r="Q21" s="11"/>
      <c r="AC21" s="239"/>
      <c r="AD21" s="15"/>
    </row>
    <row r="22" spans="2:47" x14ac:dyDescent="0.25">
      <c r="C22" s="39">
        <v>2019</v>
      </c>
      <c r="D22" s="62" t="str">
        <f>+'PN-654.072'!$F$4</f>
        <v>PN-654.072</v>
      </c>
      <c r="E22" s="63" t="str">
        <f>+'PN-654.072'!$F$5</f>
        <v>Corbin St. &amp; Reconstruction of Berth 3 Culvert</v>
      </c>
      <c r="F22" s="64">
        <f>+'PN-654.072'!$F$6</f>
        <v>43641</v>
      </c>
      <c r="G22" s="65" t="str">
        <f>+'PN-654.072'!$G$7</f>
        <v>Public</v>
      </c>
      <c r="H22" s="94">
        <f>+'PN-654.072'!$F$7</f>
        <v>5280000</v>
      </c>
      <c r="I22" s="94">
        <f>+'PN-654.072'!$F$8</f>
        <v>5097757</v>
      </c>
      <c r="J22" s="94"/>
      <c r="K22" s="148">
        <f>+'PN-654.072'!$G$9</f>
        <v>-3.4515719696969697E-2</v>
      </c>
      <c r="L22" s="11" t="str">
        <f>+'PN-654.072'!$F$11</f>
        <v>GOOD</v>
      </c>
      <c r="M22" s="15">
        <f>+'PN-654.072'!$H$12</f>
        <v>14</v>
      </c>
      <c r="N22" s="35" t="s">
        <v>25</v>
      </c>
      <c r="O22" s="15">
        <v>2</v>
      </c>
      <c r="P22" s="35" t="s">
        <v>492</v>
      </c>
      <c r="Q22" s="35"/>
      <c r="R22" s="15"/>
      <c r="S22" s="24"/>
      <c r="T22" s="62" t="str">
        <f>+'PN-654.072'!$J$4</f>
        <v>Ed Minall</v>
      </c>
      <c r="U22" s="62"/>
      <c r="V22" s="94">
        <f>+'PN-654.072'!$F$12</f>
        <v>7104621.7857142854</v>
      </c>
      <c r="W22" s="165">
        <f t="shared" ref="W22:W33" si="35">+I22/V22</f>
        <v>0.71752686543432675</v>
      </c>
      <c r="X22" s="15"/>
      <c r="Y22" s="161">
        <f t="shared" ref="Y22:Y33" si="36">+I22/H22</f>
        <v>0.96548428030303035</v>
      </c>
      <c r="Z22" s="11" t="str">
        <f t="shared" ref="Z22:Z33" si="37">(IF(Y22&lt;$Y$3,"FAIL",IF(Y22&gt;$Y$4,"FAIL","GOOD")))</f>
        <v>GOOD</v>
      </c>
      <c r="AA22" s="11"/>
      <c r="AB22" s="15"/>
      <c r="AC22" s="239">
        <f>VLOOKUP(H22,ECON_ADJUSTMENT!J$2:W$240,12,FALSE)</f>
        <v>5005091.2966671614</v>
      </c>
      <c r="AD22" s="15" t="str">
        <f t="shared" si="7"/>
        <v>GOOD</v>
      </c>
      <c r="AE22" s="15"/>
      <c r="AF22" s="15"/>
      <c r="AG22" s="54">
        <f t="shared" ref="AG22:AG33" si="38">+H22</f>
        <v>5280000</v>
      </c>
      <c r="AH22" s="54">
        <f t="shared" ref="AH22:AH33" si="39">+I22</f>
        <v>5097757</v>
      </c>
      <c r="AI22" s="54">
        <f t="shared" ref="AI22:AI33" si="40">+AG22-AH22</f>
        <v>182243</v>
      </c>
      <c r="AK22" s="4"/>
      <c r="AL22" s="4"/>
      <c r="AM22" s="192"/>
      <c r="AN22" s="193"/>
    </row>
    <row r="23" spans="2:47" x14ac:dyDescent="0.25">
      <c r="C23" s="39">
        <v>2019</v>
      </c>
      <c r="D23" s="62" t="str">
        <f>+'LT-234.181'!$F$4</f>
        <v>LT-234.181</v>
      </c>
      <c r="E23" s="63" t="str">
        <f>+'LT-234.181'!$F$5</f>
        <v>Admin Bldg HVAC Rehab Phase 2</v>
      </c>
      <c r="F23" s="64">
        <f>+'LT-234.181'!$F$6</f>
        <v>43628</v>
      </c>
      <c r="G23" s="65" t="str">
        <f>+'LT-234.181'!$G$7</f>
        <v>Public</v>
      </c>
      <c r="H23" s="94">
        <f>+'LT-234.181'!$F$7</f>
        <v>3250000</v>
      </c>
      <c r="I23" s="94">
        <f>+'LT-234.181'!$F$8</f>
        <v>3845000</v>
      </c>
      <c r="J23" s="94"/>
      <c r="K23" s="148">
        <f>+'LT-234.181'!$G$9</f>
        <v>0.18307692307692308</v>
      </c>
      <c r="L23" s="11" t="str">
        <f>+'LT-234.181'!$F$11</f>
        <v>FAIL</v>
      </c>
      <c r="M23" s="15">
        <f>+'LT-234.181'!$H$12</f>
        <v>6</v>
      </c>
      <c r="N23" s="35" t="s">
        <v>25</v>
      </c>
      <c r="O23" s="15">
        <v>2</v>
      </c>
      <c r="P23" s="35" t="s">
        <v>457</v>
      </c>
      <c r="Q23" s="35"/>
      <c r="R23" s="15"/>
      <c r="S23" s="24"/>
      <c r="T23" s="62" t="str">
        <f>+'LT-234.181'!$J$4</f>
        <v>Steven Schwan</v>
      </c>
      <c r="U23" s="62"/>
      <c r="V23" s="94">
        <f>+'LT-234.181'!$F$12</f>
        <v>5595333.333333333</v>
      </c>
      <c r="W23" s="165">
        <f t="shared" si="35"/>
        <v>0.6871797926843799</v>
      </c>
      <c r="X23" s="15"/>
      <c r="Y23" s="161">
        <f t="shared" si="36"/>
        <v>1.1830769230769231</v>
      </c>
      <c r="Z23" s="11" t="str">
        <f t="shared" si="37"/>
        <v>FAIL</v>
      </c>
      <c r="AA23" s="11"/>
      <c r="AB23" s="15"/>
      <c r="AC23" s="239">
        <f>VLOOKUP(H23,ECON_ADJUSTMENT!J$2:W$240,12,FALSE)</f>
        <v>3146305.1243784418</v>
      </c>
      <c r="AD23" s="15" t="str">
        <f t="shared" si="7"/>
        <v>FAIL</v>
      </c>
      <c r="AE23" s="15"/>
      <c r="AF23" s="15"/>
      <c r="AG23" s="54">
        <f t="shared" si="38"/>
        <v>3250000</v>
      </c>
      <c r="AH23" s="54">
        <f t="shared" si="39"/>
        <v>3845000</v>
      </c>
      <c r="AI23" s="54">
        <f t="shared" si="40"/>
        <v>-595000</v>
      </c>
      <c r="AK23" s="4"/>
      <c r="AL23" s="4"/>
      <c r="AM23" s="192"/>
      <c r="AN23" s="193"/>
    </row>
    <row r="24" spans="2:47" x14ac:dyDescent="0.25">
      <c r="C24" s="39">
        <v>2019</v>
      </c>
      <c r="D24" s="62" t="str">
        <f>+'HT-224.134'!$F$4</f>
        <v>HT-224.134</v>
      </c>
      <c r="E24" s="63" t="str">
        <f>+'HT-224.134'!$F$5</f>
        <v>Flood Protection for Ventilation Buildings</v>
      </c>
      <c r="F24" s="64">
        <f>+'HT-224.134'!$F$6</f>
        <v>43622</v>
      </c>
      <c r="G24" s="65" t="str">
        <f>+'HT-224.134'!$G$7</f>
        <v>Public</v>
      </c>
      <c r="H24" s="94">
        <f>+'HT-224.134'!$F$7</f>
        <v>2070000</v>
      </c>
      <c r="I24" s="94">
        <f>+'HT-224.134'!$F$8</f>
        <v>2112649</v>
      </c>
      <c r="J24" s="94"/>
      <c r="K24" s="148">
        <f>+'HT-224.134'!$G$9</f>
        <v>2.0603381642512079E-2</v>
      </c>
      <c r="L24" s="11" t="str">
        <f>+'HT-224.134'!$F$11</f>
        <v>GOOD</v>
      </c>
      <c r="M24" s="15">
        <f>+'HT-224.134'!$H$12</f>
        <v>9</v>
      </c>
      <c r="N24" s="35" t="s">
        <v>226</v>
      </c>
      <c r="O24" s="15">
        <v>2</v>
      </c>
      <c r="P24" s="35" t="s">
        <v>457</v>
      </c>
      <c r="Q24" s="35"/>
      <c r="R24" s="15"/>
      <c r="S24" s="24"/>
      <c r="T24" s="62" t="str">
        <f>+'HT-224.134'!$J$4</f>
        <v>Steven Schwan</v>
      </c>
      <c r="U24" s="62"/>
      <c r="V24" s="94">
        <f>+'HT-224.134'!$F$12</f>
        <v>3084176.5555555555</v>
      </c>
      <c r="W24" s="165">
        <f t="shared" si="35"/>
        <v>0.68499612844617019</v>
      </c>
      <c r="X24" s="15"/>
      <c r="Y24" s="161">
        <f t="shared" si="36"/>
        <v>1.0206033816425122</v>
      </c>
      <c r="Z24" s="11" t="str">
        <f t="shared" si="37"/>
        <v>GOOD</v>
      </c>
      <c r="AA24" s="11"/>
      <c r="AB24" s="15"/>
      <c r="AC24" s="239">
        <f>VLOOKUP(H24,ECON_ADJUSTMENT!J$2:W$240,12,FALSE)</f>
        <v>1378051.8932932678</v>
      </c>
      <c r="AD24" s="15" t="str">
        <f t="shared" si="7"/>
        <v>FAIL</v>
      </c>
      <c r="AE24" s="15"/>
      <c r="AF24" s="15"/>
      <c r="AG24" s="54">
        <f t="shared" si="38"/>
        <v>2070000</v>
      </c>
      <c r="AH24" s="54">
        <f t="shared" si="39"/>
        <v>2112649</v>
      </c>
      <c r="AI24" s="54">
        <f t="shared" si="40"/>
        <v>-42649</v>
      </c>
      <c r="AK24" s="4"/>
      <c r="AL24" s="4"/>
      <c r="AM24" s="192"/>
      <c r="AN24" s="193"/>
    </row>
    <row r="25" spans="2:47" x14ac:dyDescent="0.25">
      <c r="C25" s="39">
        <v>2019</v>
      </c>
      <c r="D25" s="62" t="str">
        <f>+'LGA-124.266'!$F$4</f>
        <v>LGA-124.266</v>
      </c>
      <c r="E25" s="63" t="str">
        <f>+'LGA-124.266'!$F$5</f>
        <v>Repl Taxiway A between K to E</v>
      </c>
      <c r="F25" s="64">
        <f>+'LGA-124.266'!$F$6</f>
        <v>43621</v>
      </c>
      <c r="G25" s="65" t="str">
        <f>+'LGA-124.266'!$G$7</f>
        <v>Public</v>
      </c>
      <c r="H25" s="94">
        <f>+'LGA-124.266'!$F$7</f>
        <v>8360000</v>
      </c>
      <c r="I25" s="94">
        <f>+'LGA-124.266'!$F$8</f>
        <v>8947585</v>
      </c>
      <c r="J25" s="94"/>
      <c r="K25" s="148">
        <f>+'LGA-124.266'!$G$9</f>
        <v>7.0285287081339715E-2</v>
      </c>
      <c r="L25" s="11" t="str">
        <f>+'LGA-124.266'!$F$11</f>
        <v>GOOD</v>
      </c>
      <c r="M25" s="15">
        <f>+'LGA-124.266'!$H$12</f>
        <v>3</v>
      </c>
      <c r="N25" s="35" t="s">
        <v>93</v>
      </c>
      <c r="O25" s="15">
        <v>2</v>
      </c>
      <c r="P25" s="35" t="s">
        <v>458</v>
      </c>
      <c r="Q25" s="35"/>
      <c r="R25" s="15"/>
      <c r="S25" s="24"/>
      <c r="T25" s="62" t="str">
        <f>+'LGA-124.266'!$J$4</f>
        <v>Joe Lucin</v>
      </c>
      <c r="U25" s="62"/>
      <c r="V25" s="94">
        <f>+'LGA-124.266'!$F$12</f>
        <v>10801931</v>
      </c>
      <c r="W25" s="165">
        <f t="shared" si="35"/>
        <v>0.82833198990069457</v>
      </c>
      <c r="X25" s="15"/>
      <c r="Y25" s="161">
        <f t="shared" si="36"/>
        <v>1.0702852870813397</v>
      </c>
      <c r="Z25" s="11" t="str">
        <f t="shared" si="37"/>
        <v>GOOD</v>
      </c>
      <c r="AA25" s="11"/>
      <c r="AB25" s="15"/>
      <c r="AC25" s="239">
        <f>VLOOKUP(H25,ECON_ADJUSTMENT!J$2:W$240,12,FALSE)</f>
        <v>7684873.1726231426</v>
      </c>
      <c r="AD25" s="15" t="str">
        <f t="shared" si="7"/>
        <v>FAIL</v>
      </c>
      <c r="AE25" s="15"/>
      <c r="AF25" s="15"/>
      <c r="AG25" s="54">
        <f t="shared" si="38"/>
        <v>8360000</v>
      </c>
      <c r="AH25" s="54">
        <f t="shared" si="39"/>
        <v>8947585</v>
      </c>
      <c r="AI25" s="54">
        <f t="shared" si="40"/>
        <v>-587585</v>
      </c>
      <c r="AK25" s="4"/>
      <c r="AL25" s="4"/>
      <c r="AM25" s="192"/>
      <c r="AN25" s="193"/>
    </row>
    <row r="26" spans="2:47" x14ac:dyDescent="0.25">
      <c r="C26" s="39">
        <v>2019</v>
      </c>
      <c r="D26" s="62" t="str">
        <f>+'PAT-784.165'!$F$4</f>
        <v>PAT-784.165</v>
      </c>
      <c r="E26" s="63" t="str">
        <f>+'PAT-784.165'!$F$5</f>
        <v>HCMF Permanent Flood Protection</v>
      </c>
      <c r="F26" s="64">
        <f>+'PAT-784.165'!$F$6</f>
        <v>43593</v>
      </c>
      <c r="G26" s="65" t="str">
        <f>+'PAT-784.165'!$G$7</f>
        <v>Public</v>
      </c>
      <c r="H26" s="94">
        <f>+'PAT-784.165'!$F$7</f>
        <v>18800000</v>
      </c>
      <c r="I26" s="94">
        <f>+'PAT-784.165'!$F$8</f>
        <v>14551682</v>
      </c>
      <c r="J26" s="94"/>
      <c r="K26" s="148">
        <f>+'PAT-784.165'!$G$9</f>
        <v>-0.22597436170212765</v>
      </c>
      <c r="L26" s="11" t="str">
        <f>+'PAT-784.165'!$F$11</f>
        <v>GOOD</v>
      </c>
      <c r="M26" s="15">
        <f>+'PAT-784.165'!$H$12</f>
        <v>11</v>
      </c>
      <c r="N26" s="35" t="s">
        <v>25</v>
      </c>
      <c r="O26" s="15">
        <v>2</v>
      </c>
      <c r="P26" s="35" t="s">
        <v>459</v>
      </c>
      <c r="Q26" s="35"/>
      <c r="R26" s="15"/>
      <c r="S26" s="24" t="s">
        <v>1691</v>
      </c>
      <c r="T26" s="62" t="str">
        <f>+'PAT-784.165'!$J$4</f>
        <v>Nathan Demaisip</v>
      </c>
      <c r="U26" s="62"/>
      <c r="V26" s="94">
        <f>+'PAT-784.165'!$F$12</f>
        <v>17337811.181818184</v>
      </c>
      <c r="W26" s="165">
        <f t="shared" si="35"/>
        <v>0.83930329194379849</v>
      </c>
      <c r="X26" s="15"/>
      <c r="Y26" s="161">
        <f t="shared" si="36"/>
        <v>0.7740256382978723</v>
      </c>
      <c r="Z26" s="11" t="str">
        <f t="shared" si="37"/>
        <v>FAIL</v>
      </c>
      <c r="AA26" s="11"/>
      <c r="AB26" s="15"/>
      <c r="AC26" s="239">
        <f>VLOOKUP(H26,ECON_ADJUSTMENT!J$2:W$240,12,FALSE)</f>
        <v>19150550.214228731</v>
      </c>
      <c r="AD26" s="15" t="str">
        <f t="shared" si="7"/>
        <v>FAIL</v>
      </c>
      <c r="AE26" s="15"/>
      <c r="AF26" s="15"/>
      <c r="AG26" s="54">
        <f t="shared" si="38"/>
        <v>18800000</v>
      </c>
      <c r="AH26" s="54">
        <f t="shared" si="39"/>
        <v>14551682</v>
      </c>
      <c r="AI26" s="54">
        <f t="shared" si="40"/>
        <v>4248318</v>
      </c>
      <c r="AK26" s="4"/>
      <c r="AL26" s="4"/>
      <c r="AM26" s="192"/>
      <c r="AN26" s="193"/>
    </row>
    <row r="27" spans="2:47" x14ac:dyDescent="0.25">
      <c r="C27" s="39">
        <v>2019</v>
      </c>
      <c r="D27" s="62" t="str">
        <f>+'PAT-774.216'!$F$4</f>
        <v>PAT-774.216</v>
      </c>
      <c r="E27" s="63" t="str">
        <f>+'PAT-774.216'!$F$5</f>
        <v>Replacement of Substation 8</v>
      </c>
      <c r="F27" s="64">
        <f>+'PAT-774.216'!$F$6</f>
        <v>43587</v>
      </c>
      <c r="G27" s="65" t="str">
        <f>+'PAT-774.216'!$G$7</f>
        <v>PQL</v>
      </c>
      <c r="H27" s="94">
        <f>+'PAT-774.216'!$F$7</f>
        <v>38200000</v>
      </c>
      <c r="I27" s="94">
        <f>+'PAT-774.216'!$F$8</f>
        <v>40811000</v>
      </c>
      <c r="J27" s="94"/>
      <c r="K27" s="148">
        <f>+'PAT-774.216'!$G$9</f>
        <v>6.8350785340314135E-2</v>
      </c>
      <c r="L27" s="11" t="str">
        <f>+'PAT-774.216'!$F$11</f>
        <v>GOOD</v>
      </c>
      <c r="M27" s="15">
        <f>+'PAT-774.216'!$H$12</f>
        <v>5</v>
      </c>
      <c r="N27" s="35" t="s">
        <v>25</v>
      </c>
      <c r="O27" s="15">
        <v>2</v>
      </c>
      <c r="P27" s="35" t="s">
        <v>459</v>
      </c>
      <c r="Q27" s="35"/>
      <c r="R27" s="15"/>
      <c r="S27" s="24"/>
      <c r="T27" s="62" t="str">
        <f>+'PAT-774.216'!$J$4</f>
        <v>Nathan Demaisip</v>
      </c>
      <c r="U27" s="62"/>
      <c r="V27" s="94">
        <f>+'PAT-774.216'!$F$12</f>
        <v>42801714</v>
      </c>
      <c r="W27" s="165">
        <f t="shared" si="35"/>
        <v>0.95348985323344759</v>
      </c>
      <c r="X27" s="15"/>
      <c r="Y27" s="161">
        <f t="shared" si="36"/>
        <v>1.0683507853403142</v>
      </c>
      <c r="Z27" s="11" t="str">
        <f t="shared" si="37"/>
        <v>GOOD</v>
      </c>
      <c r="AA27" s="11"/>
      <c r="AB27" s="15"/>
      <c r="AC27" s="239">
        <f>VLOOKUP(H27,ECON_ADJUSTMENT!J$2:W$240,12,FALSE)</f>
        <v>37949413.550388657</v>
      </c>
      <c r="AD27" s="15" t="str">
        <f t="shared" si="7"/>
        <v>GOOD</v>
      </c>
      <c r="AE27" s="15"/>
      <c r="AF27" s="15"/>
      <c r="AG27" s="54">
        <f t="shared" si="38"/>
        <v>38200000</v>
      </c>
      <c r="AH27" s="54">
        <f t="shared" si="39"/>
        <v>40811000</v>
      </c>
      <c r="AI27" s="54">
        <f t="shared" si="40"/>
        <v>-2611000</v>
      </c>
      <c r="AK27" s="4"/>
      <c r="AL27" s="4"/>
      <c r="AM27" s="192"/>
      <c r="AN27" s="193"/>
    </row>
    <row r="28" spans="2:47" x14ac:dyDescent="0.25">
      <c r="C28" s="39">
        <v>2019</v>
      </c>
      <c r="D28" s="62" t="str">
        <f>+'PAT-774.217'!$F$4</f>
        <v>PAT-774.217</v>
      </c>
      <c r="E28" s="63" t="str">
        <f>+'PAT-774.217'!$F$5</f>
        <v>Replacement of Substation 14</v>
      </c>
      <c r="F28" s="64">
        <f>+'PAT-774.217'!$F$6</f>
        <v>43586</v>
      </c>
      <c r="G28" s="65" t="str">
        <f>+'PAT-774.217'!$G$7</f>
        <v>PQL</v>
      </c>
      <c r="H28" s="94">
        <f>+'PAT-774.217'!$F$7</f>
        <v>44840000</v>
      </c>
      <c r="I28" s="94">
        <f>+'PAT-774.217'!$F$8</f>
        <v>48311245</v>
      </c>
      <c r="J28" s="94"/>
      <c r="K28" s="148">
        <f>+'PAT-774.217'!$G$9</f>
        <v>7.741402765388046E-2</v>
      </c>
      <c r="L28" s="11" t="str">
        <f>+'PAT-774.217'!$F$11</f>
        <v>GOOD</v>
      </c>
      <c r="M28" s="15">
        <f>+'PAT-774.217'!$H$12</f>
        <v>7</v>
      </c>
      <c r="N28" s="35" t="s">
        <v>25</v>
      </c>
      <c r="O28" s="15">
        <v>2</v>
      </c>
      <c r="P28" s="35" t="s">
        <v>459</v>
      </c>
      <c r="Q28" s="35"/>
      <c r="R28" s="15"/>
      <c r="S28" s="24"/>
      <c r="T28" s="62" t="str">
        <f>+'PAT-774.217'!$J$4</f>
        <v>Nathan Demaisip</v>
      </c>
      <c r="U28" s="62"/>
      <c r="V28" s="94">
        <f>+'PAT-774.217'!$F$12</f>
        <v>57681258.285714284</v>
      </c>
      <c r="W28" s="165">
        <f t="shared" si="35"/>
        <v>0.83755532448162762</v>
      </c>
      <c r="X28" s="15"/>
      <c r="Y28" s="161">
        <f t="shared" si="36"/>
        <v>1.0774140276538804</v>
      </c>
      <c r="Z28" s="11" t="str">
        <f t="shared" si="37"/>
        <v>GOOD</v>
      </c>
      <c r="AA28" s="11"/>
      <c r="AB28" s="15"/>
      <c r="AC28" s="239">
        <f>VLOOKUP(H28,ECON_ADJUSTMENT!J$2:W$240,12,FALSE)</f>
        <v>43726605.646605447</v>
      </c>
      <c r="AD28" s="15" t="str">
        <f t="shared" si="7"/>
        <v>GOOD</v>
      </c>
      <c r="AE28" s="15"/>
      <c r="AF28" s="15"/>
      <c r="AG28" s="54">
        <f t="shared" si="38"/>
        <v>44840000</v>
      </c>
      <c r="AH28" s="54">
        <f t="shared" si="39"/>
        <v>48311245</v>
      </c>
      <c r="AI28" s="54">
        <f t="shared" si="40"/>
        <v>-3471245</v>
      </c>
      <c r="AK28" s="4"/>
      <c r="AL28" s="4"/>
      <c r="AM28" s="192"/>
      <c r="AN28" s="193"/>
    </row>
    <row r="29" spans="2:47" x14ac:dyDescent="0.25">
      <c r="C29" s="39">
        <v>2019</v>
      </c>
      <c r="D29" s="62" t="str">
        <f>+'JFK-154.020'!$F$4</f>
        <v>JFK-154.020</v>
      </c>
      <c r="E29" s="63" t="str">
        <f>+'JFK-154.020'!$F$5</f>
        <v>Cut &amp; Cover Tunnel Power Distribution Vault &amp; Pump Station Repairs</v>
      </c>
      <c r="F29" s="64">
        <f>+'JFK-154.020'!$F$6</f>
        <v>43585</v>
      </c>
      <c r="G29" s="65" t="str">
        <f>+'JFK-154.020'!$G$7</f>
        <v>Public</v>
      </c>
      <c r="H29" s="94">
        <f>+'JFK-154.020'!$F$7</f>
        <v>6950000</v>
      </c>
      <c r="I29" s="94">
        <f>+'JFK-154.020'!$F$8</f>
        <v>8720200</v>
      </c>
      <c r="J29" s="94"/>
      <c r="K29" s="148">
        <f>+'JFK-154.020'!$G$9</f>
        <v>0.25470503597122301</v>
      </c>
      <c r="L29" s="11" t="str">
        <f>+'JFK-154.020'!$F$11</f>
        <v>FAIL</v>
      </c>
      <c r="M29" s="15">
        <f>+'JFK-154.020'!$H$12</f>
        <v>6</v>
      </c>
      <c r="N29" s="35" t="s">
        <v>93</v>
      </c>
      <c r="O29" s="15">
        <v>2</v>
      </c>
      <c r="P29" s="35" t="s">
        <v>458</v>
      </c>
      <c r="Q29" s="35"/>
      <c r="R29" s="15"/>
      <c r="S29" s="24"/>
      <c r="T29" s="62" t="str">
        <f>+'JFK-154.020'!$J$4</f>
        <v>Steven Schwan</v>
      </c>
      <c r="U29" s="62"/>
      <c r="V29" s="94">
        <f>+'JFK-154.020'!$F$12</f>
        <v>9982779.833333334</v>
      </c>
      <c r="W29" s="165">
        <f t="shared" si="35"/>
        <v>0.87352422327121004</v>
      </c>
      <c r="X29" s="15"/>
      <c r="Y29" s="161">
        <f t="shared" si="36"/>
        <v>1.2547050359712231</v>
      </c>
      <c r="Z29" s="11" t="str">
        <f t="shared" si="37"/>
        <v>FAIL</v>
      </c>
      <c r="AA29" s="11"/>
      <c r="AB29" s="15"/>
      <c r="AC29" s="239">
        <f>VLOOKUP(H29,ECON_ADJUSTMENT!J$2:W$240,12,FALSE)</f>
        <v>6458089.9112277105</v>
      </c>
      <c r="AD29" s="15" t="str">
        <f t="shared" si="7"/>
        <v>FAIL</v>
      </c>
      <c r="AE29" s="15"/>
      <c r="AF29" s="15"/>
      <c r="AG29" s="54">
        <f t="shared" si="38"/>
        <v>6950000</v>
      </c>
      <c r="AH29" s="54">
        <f t="shared" si="39"/>
        <v>8720200</v>
      </c>
      <c r="AI29" s="54">
        <f t="shared" si="40"/>
        <v>-1770200</v>
      </c>
      <c r="AK29" s="4"/>
      <c r="AL29" s="4"/>
      <c r="AM29" s="192"/>
      <c r="AN29" s="193"/>
    </row>
    <row r="30" spans="2:47" x14ac:dyDescent="0.25">
      <c r="C30" s="39">
        <v>2019</v>
      </c>
      <c r="D30" s="62" t="str">
        <f>+'LT-535'!$F$4</f>
        <v>LT-535</v>
      </c>
      <c r="E30" s="63" t="str">
        <f>+'LT-535'!$F$5</f>
        <v>Rock Slope Priority Repairs for Slope A</v>
      </c>
      <c r="F30" s="64">
        <f>+'LT-535'!$F$6</f>
        <v>43571</v>
      </c>
      <c r="G30" s="65" t="str">
        <f>+'LT-535'!$G$7</f>
        <v>Public</v>
      </c>
      <c r="H30" s="94">
        <f>+'LT-535'!$F$7</f>
        <v>1200000</v>
      </c>
      <c r="I30" s="94">
        <f>+'LT-535'!$F$8</f>
        <v>1738750</v>
      </c>
      <c r="J30" s="94"/>
      <c r="K30" s="148">
        <f>+'LT-535'!$G$9</f>
        <v>0.44895833333333335</v>
      </c>
      <c r="L30" s="11" t="str">
        <f>+'LT-535'!$F$11</f>
        <v>FAIL</v>
      </c>
      <c r="M30" s="15">
        <f>+'LT-535'!$H$12</f>
        <v>4</v>
      </c>
      <c r="N30" s="35" t="s">
        <v>25</v>
      </c>
      <c r="O30" s="15">
        <v>2</v>
      </c>
      <c r="P30" s="35" t="s">
        <v>457</v>
      </c>
      <c r="Q30" s="35"/>
      <c r="R30" s="15"/>
      <c r="S30" s="24"/>
      <c r="T30" s="62" t="str">
        <f>+'LT-535'!$J$4</f>
        <v>Joe Lucin</v>
      </c>
      <c r="U30" s="62"/>
      <c r="V30" s="94">
        <f>+'LT-535'!$F$12</f>
        <v>2084917.5</v>
      </c>
      <c r="W30" s="165">
        <f t="shared" si="35"/>
        <v>0.83396585236586096</v>
      </c>
      <c r="X30" s="15"/>
      <c r="Y30" s="161">
        <f t="shared" si="36"/>
        <v>1.4489583333333333</v>
      </c>
      <c r="Z30" s="11" t="str">
        <f t="shared" si="37"/>
        <v>FAIL</v>
      </c>
      <c r="AA30" s="11"/>
      <c r="AB30" s="15"/>
      <c r="AC30" s="239">
        <f>VLOOKUP(H30,ECON_ADJUSTMENT!J$2:W$240,12,FALSE)</f>
        <v>621100.51924076665</v>
      </c>
      <c r="AD30" s="15" t="str">
        <f t="shared" si="7"/>
        <v>FAIL</v>
      </c>
      <c r="AE30" s="15"/>
      <c r="AF30" s="15"/>
      <c r="AG30" s="54">
        <f t="shared" si="38"/>
        <v>1200000</v>
      </c>
      <c r="AH30" s="54">
        <f t="shared" si="39"/>
        <v>1738750</v>
      </c>
      <c r="AI30" s="54">
        <f t="shared" si="40"/>
        <v>-538750</v>
      </c>
      <c r="AK30" s="4"/>
      <c r="AL30" s="4"/>
      <c r="AM30" s="192"/>
      <c r="AN30" s="193"/>
    </row>
    <row r="31" spans="2:47" x14ac:dyDescent="0.25">
      <c r="C31" s="39">
        <v>2019</v>
      </c>
      <c r="D31" s="62" t="str">
        <f>+'LGA-124.248'!$F$4</f>
        <v>LGA-124.248</v>
      </c>
      <c r="E31" s="63" t="str">
        <f>+'LGA-124.248'!$F$5</f>
        <v>Pugsley Creek Wetland Mitigation</v>
      </c>
      <c r="F31" s="64">
        <f>+'LGA-124.248'!$F$6</f>
        <v>43571</v>
      </c>
      <c r="G31" s="65" t="str">
        <f>+'LGA-124.248'!$G$7</f>
        <v>Public</v>
      </c>
      <c r="H31" s="94">
        <f>+'LGA-124.248'!$F$7</f>
        <v>9330000</v>
      </c>
      <c r="I31" s="94">
        <f>+'LGA-124.248'!$F$8</f>
        <v>7407376</v>
      </c>
      <c r="J31" s="94"/>
      <c r="K31" s="148">
        <f>+'LGA-124.248'!$G$9</f>
        <v>-0.2060690246516613</v>
      </c>
      <c r="L31" s="11" t="str">
        <f>+'LGA-124.248'!$F$11</f>
        <v>GOOD</v>
      </c>
      <c r="M31" s="15">
        <f>+'LGA-124.248'!$H$12</f>
        <v>7</v>
      </c>
      <c r="N31" s="35" t="s">
        <v>93</v>
      </c>
      <c r="O31" s="15">
        <v>2</v>
      </c>
      <c r="P31" s="35" t="s">
        <v>458</v>
      </c>
      <c r="Q31" s="35"/>
      <c r="R31" s="15"/>
      <c r="S31" s="24"/>
      <c r="T31" s="62" t="str">
        <f>+'LGA-124.248'!$J$4</f>
        <v>Joe Lucin</v>
      </c>
      <c r="U31" s="62"/>
      <c r="V31" s="94">
        <f>+'LGA-124.248'!$F$12</f>
        <v>9367661.4285714291</v>
      </c>
      <c r="W31" s="165">
        <f t="shared" si="35"/>
        <v>0.79073908215848343</v>
      </c>
      <c r="X31" s="15"/>
      <c r="Y31" s="161">
        <f t="shared" si="36"/>
        <v>0.79393097534833867</v>
      </c>
      <c r="Z31" s="11" t="str">
        <f t="shared" si="37"/>
        <v>FAIL</v>
      </c>
      <c r="AA31" s="11"/>
      <c r="AB31" s="15"/>
      <c r="AC31" s="239">
        <f>VLOOKUP(H31,ECON_ADJUSTMENT!J$2:W$240,12,FALSE)</f>
        <v>8528830.451739151</v>
      </c>
      <c r="AD31" s="15" t="str">
        <f t="shared" si="7"/>
        <v>GOOD</v>
      </c>
      <c r="AE31" s="15"/>
      <c r="AF31" s="15"/>
      <c r="AG31" s="54">
        <f t="shared" si="38"/>
        <v>9330000</v>
      </c>
      <c r="AH31" s="54">
        <f t="shared" si="39"/>
        <v>7407376</v>
      </c>
      <c r="AI31" s="54">
        <f t="shared" si="40"/>
        <v>1922624</v>
      </c>
      <c r="AK31" s="4"/>
      <c r="AL31" s="4"/>
      <c r="AM31" s="192"/>
      <c r="AN31" s="193"/>
    </row>
    <row r="32" spans="2:47" x14ac:dyDescent="0.25">
      <c r="C32" s="39">
        <v>2019</v>
      </c>
      <c r="D32" s="62" t="str">
        <f>+'PAT-084.064'!$F$4</f>
        <v>PAT-084.064</v>
      </c>
      <c r="E32" s="63" t="str">
        <f>+'PAT-084.064'!$F$5</f>
        <v>C-Yard CCTV</v>
      </c>
      <c r="F32" s="64">
        <f>+'PAT-084.064'!$F$6</f>
        <v>43567</v>
      </c>
      <c r="G32" s="65" t="str">
        <f>+'PAT-084.064'!$G$7</f>
        <v>SBE</v>
      </c>
      <c r="H32" s="94">
        <f>+'PAT-084.064'!$F$7</f>
        <v>1216000</v>
      </c>
      <c r="I32" s="94">
        <f>+'PAT-084.064'!$F$8</f>
        <v>1300529</v>
      </c>
      <c r="J32" s="94"/>
      <c r="K32" s="148">
        <f>+'PAT-084.064'!$G$9</f>
        <v>6.9513980263157901E-2</v>
      </c>
      <c r="L32" s="11" t="str">
        <f>+'PAT-084.064'!$F$11</f>
        <v>GOOD</v>
      </c>
      <c r="M32" s="15">
        <f>+'PAT-084.064'!$H$12</f>
        <v>4</v>
      </c>
      <c r="N32" s="35" t="s">
        <v>25</v>
      </c>
      <c r="O32" s="15">
        <v>2</v>
      </c>
      <c r="P32" s="35" t="s">
        <v>459</v>
      </c>
      <c r="Q32" s="35"/>
      <c r="R32" s="15"/>
      <c r="S32" s="24"/>
      <c r="T32" s="62" t="str">
        <f>+'PAT-084.064'!$J$4</f>
        <v>Nathan Demaisip</v>
      </c>
      <c r="U32" s="62"/>
      <c r="V32" s="94">
        <f>+'PAT-084.064'!$F$12</f>
        <v>2569805</v>
      </c>
      <c r="W32" s="165">
        <f t="shared" si="35"/>
        <v>0.50608081157908869</v>
      </c>
      <c r="X32" s="15"/>
      <c r="Y32" s="161">
        <f t="shared" si="36"/>
        <v>1.0695139802631579</v>
      </c>
      <c r="Z32" s="11" t="str">
        <f t="shared" si="37"/>
        <v>GOOD</v>
      </c>
      <c r="AA32" s="11"/>
      <c r="AB32" s="15"/>
      <c r="AC32" s="239">
        <f>VLOOKUP(H32,ECON_ADJUSTMENT!J$2:W$240,12,FALSE)</f>
        <v>2554739.2178907078</v>
      </c>
      <c r="AD32" s="15" t="str">
        <f t="shared" si="7"/>
        <v>GOOD</v>
      </c>
      <c r="AE32" s="15"/>
      <c r="AF32" s="15"/>
      <c r="AG32" s="54">
        <f t="shared" si="38"/>
        <v>1216000</v>
      </c>
      <c r="AH32" s="54">
        <f t="shared" si="39"/>
        <v>1300529</v>
      </c>
      <c r="AI32" s="54">
        <f t="shared" si="40"/>
        <v>-84529</v>
      </c>
      <c r="AK32" s="4"/>
      <c r="AL32" s="4"/>
      <c r="AM32" s="192"/>
      <c r="AN32" s="193"/>
    </row>
    <row r="33" spans="2:47" x14ac:dyDescent="0.25">
      <c r="B33" s="164">
        <f>(COUNTIF(L22:L33,"G*")/COUNTA(L22:L33))</f>
        <v>0.75</v>
      </c>
      <c r="C33" s="39">
        <v>2019</v>
      </c>
      <c r="D33" s="62" t="str">
        <f>+'PAT-774.179'!$F$4</f>
        <v>PAT-774.179</v>
      </c>
      <c r="E33" s="63" t="str">
        <f>+'PAT-774.179'!$F$5</f>
        <v>HCMF Sewage Ejection Pit Rehabilitation</v>
      </c>
      <c r="F33" s="64">
        <f>+'PAT-774.179'!$F$6</f>
        <v>43565</v>
      </c>
      <c r="G33" s="65" t="str">
        <f>+'PAT-774.179'!$G$7</f>
        <v>Public</v>
      </c>
      <c r="H33" s="94">
        <f>+'PAT-774.179'!$F$7</f>
        <v>1090000</v>
      </c>
      <c r="I33" s="94">
        <f>+'PAT-774.179'!$F$8</f>
        <v>1142000</v>
      </c>
      <c r="J33" s="94"/>
      <c r="K33" s="148">
        <f>+'PAT-774.179'!$G$9</f>
        <v>4.7706422018348627E-2</v>
      </c>
      <c r="L33" s="11" t="str">
        <f>+'PAT-774.179'!$F$11</f>
        <v>GOOD</v>
      </c>
      <c r="M33" s="15">
        <f>+'PAT-774.179'!$H$12</f>
        <v>3</v>
      </c>
      <c r="N33" s="35" t="s">
        <v>25</v>
      </c>
      <c r="O33" s="15">
        <v>2</v>
      </c>
      <c r="P33" s="35" t="s">
        <v>459</v>
      </c>
      <c r="Q33" s="35"/>
      <c r="R33" s="15"/>
      <c r="S33" s="24"/>
      <c r="T33" s="62" t="str">
        <f>+'PAT-774.179'!$J$4</f>
        <v>Nathan Demaisip</v>
      </c>
      <c r="U33" s="62"/>
      <c r="V33" s="94">
        <f>+'PAT-774.179'!$F$12</f>
        <v>1292823.3333333333</v>
      </c>
      <c r="W33" s="165">
        <f t="shared" si="35"/>
        <v>0.88333801731094996</v>
      </c>
      <c r="X33" s="15"/>
      <c r="Y33" s="161">
        <f t="shared" si="36"/>
        <v>1.0477064220183485</v>
      </c>
      <c r="Z33" s="11" t="str">
        <f t="shared" si="37"/>
        <v>GOOD</v>
      </c>
      <c r="AA33" s="11"/>
      <c r="AB33" s="15"/>
      <c r="AC33" s="239">
        <f>VLOOKUP(H33,ECON_ADJUSTMENT!J$2:W$240,12,FALSE)</f>
        <v>-105972.6872263758</v>
      </c>
      <c r="AD33" s="15" t="str">
        <f t="shared" si="7"/>
        <v>FAIL</v>
      </c>
      <c r="AE33" s="15"/>
      <c r="AF33" s="15"/>
      <c r="AG33" s="54">
        <f t="shared" si="38"/>
        <v>1090000</v>
      </c>
      <c r="AH33" s="54">
        <f t="shared" si="39"/>
        <v>1142000</v>
      </c>
      <c r="AI33" s="54">
        <f t="shared" si="40"/>
        <v>-52000</v>
      </c>
      <c r="AK33" s="4">
        <f>SUM(H22:H33)</f>
        <v>140586000</v>
      </c>
      <c r="AL33" s="4">
        <f>SUM(I22:I33)</f>
        <v>143985773</v>
      </c>
      <c r="AM33" s="169">
        <f>+AL33/AK33</f>
        <v>1.0241828702715776</v>
      </c>
      <c r="AN33" s="1" t="s">
        <v>1324</v>
      </c>
      <c r="AO33" s="170">
        <f>+AK33+AK49</f>
        <v>361221500</v>
      </c>
      <c r="AP33" s="170">
        <f>+AL33+AL49</f>
        <v>328069838</v>
      </c>
      <c r="AQ33" s="176">
        <f>+AP33/AO33</f>
        <v>0.90822345292292961</v>
      </c>
      <c r="AR33" s="177"/>
      <c r="AS33" s="178"/>
      <c r="AU33" s="191"/>
    </row>
    <row r="34" spans="2:47" ht="7.5" customHeight="1" x14ac:dyDescent="0.25">
      <c r="C34" s="39"/>
      <c r="G34" s="45"/>
      <c r="Q34" s="11"/>
      <c r="AC34" s="239"/>
      <c r="AD34" s="15"/>
    </row>
    <row r="35" spans="2:47" x14ac:dyDescent="0.25">
      <c r="C35" s="39">
        <v>2019</v>
      </c>
      <c r="D35" s="62" t="str">
        <f>+'GWB-924.137A'!$F$4</f>
        <v>GWB-934.137A</v>
      </c>
      <c r="E35" s="63" t="str">
        <f>+'GWB-924.137A'!$F$5</f>
        <v>NJ Admin Bldg Sprinkler System Rehabilitation</v>
      </c>
      <c r="F35" s="64">
        <f>+'GWB-924.137A'!$F$6</f>
        <v>43545</v>
      </c>
      <c r="G35" s="65" t="str">
        <f>+'GWB-924.137A'!$G$7</f>
        <v>SBE</v>
      </c>
      <c r="H35" s="94">
        <f>+'GWB-924.137A'!$F$7</f>
        <v>1151000</v>
      </c>
      <c r="I35" s="94">
        <f>+'GWB-924.137A'!$F$8</f>
        <v>1762891</v>
      </c>
      <c r="J35" s="94"/>
      <c r="K35" s="148">
        <f>+'GWB-924.137A'!$G$9</f>
        <v>0.53161685490877497</v>
      </c>
      <c r="L35" s="11" t="str">
        <f>+'GWB-924.137A'!$F$11</f>
        <v>FAIL</v>
      </c>
      <c r="M35" s="15">
        <f>+'GWB-924.137A'!$H$12</f>
        <v>4</v>
      </c>
      <c r="N35" s="35" t="s">
        <v>25</v>
      </c>
      <c r="O35" s="15">
        <v>1</v>
      </c>
      <c r="P35" s="35" t="s">
        <v>457</v>
      </c>
      <c r="Q35" s="35"/>
      <c r="R35" s="15"/>
      <c r="S35" s="24"/>
      <c r="T35" s="62" t="str">
        <f>+'GWB-924.137A'!$J$4</f>
        <v>Boris Lenderman</v>
      </c>
      <c r="U35" s="62"/>
      <c r="V35" s="94">
        <f>+'GWB-924.137A'!$F$12</f>
        <v>2446945.25</v>
      </c>
      <c r="W35" s="165">
        <f t="shared" ref="W35:W48" si="41">+I35/V35</f>
        <v>0.72044562500938669</v>
      </c>
      <c r="X35" s="15"/>
      <c r="Y35" s="161">
        <f t="shared" ref="Y35:Y48" si="42">+I35/H35</f>
        <v>1.531616854908775</v>
      </c>
      <c r="Z35" s="11" t="str">
        <f t="shared" ref="Z35:Z48" si="43">(IF(Y35&lt;$Y$3,"FAIL",IF(Y35&gt;$Y$4,"FAIL","GOOD")))</f>
        <v>FAIL</v>
      </c>
      <c r="AA35" s="11"/>
      <c r="AB35" s="15"/>
      <c r="AC35" s="239">
        <f>VLOOKUP(H35,ECON_ADJUSTMENT!J$2:W$240,12,FALSE)</f>
        <v>2498185.3795994287</v>
      </c>
      <c r="AD35" s="15" t="str">
        <f t="shared" si="7"/>
        <v>GOOD</v>
      </c>
      <c r="AE35" s="15"/>
      <c r="AF35" s="15"/>
      <c r="AG35" s="54">
        <f t="shared" ref="AG35:AG48" si="44">+H35</f>
        <v>1151000</v>
      </c>
      <c r="AH35" s="54">
        <f t="shared" ref="AH35:AH48" si="45">+I35</f>
        <v>1762891</v>
      </c>
      <c r="AI35" s="54">
        <f t="shared" ref="AI35:AI48" si="46">+AG35-AH35</f>
        <v>-611891</v>
      </c>
      <c r="AK35" s="4"/>
      <c r="AL35" s="4"/>
      <c r="AM35" s="192"/>
      <c r="AN35" s="193"/>
    </row>
    <row r="36" spans="2:47" x14ac:dyDescent="0.25">
      <c r="C36" s="39">
        <v>2019</v>
      </c>
      <c r="D36" s="62" t="str">
        <f>+'JFK-184.676'!$F$4</f>
        <v>JFK-184.676</v>
      </c>
      <c r="E36" s="63" t="str">
        <f>+'JFK-184.676'!$F$5</f>
        <v>Building 111 Interim Unified Operations Center</v>
      </c>
      <c r="F36" s="64">
        <f>+'JFK-184.676'!$F$6</f>
        <v>43543</v>
      </c>
      <c r="G36" s="65" t="str">
        <f>+'JFK-184.676'!$G$7</f>
        <v>Public</v>
      </c>
      <c r="H36" s="94">
        <f>+'JFK-184.676'!$F$7</f>
        <v>2390000</v>
      </c>
      <c r="I36" s="94">
        <f>+'JFK-184.676'!$F$8</f>
        <v>2374684</v>
      </c>
      <c r="J36" s="94"/>
      <c r="K36" s="148">
        <f>+'JFK-184.676'!$G$9</f>
        <v>-6.4083682008368205E-3</v>
      </c>
      <c r="L36" s="11" t="str">
        <f>+'JFK-184.676'!$F$11</f>
        <v>GOOD</v>
      </c>
      <c r="M36" s="15">
        <f>+'JFK-184.676'!$H$12</f>
        <v>5</v>
      </c>
      <c r="N36" s="35" t="s">
        <v>93</v>
      </c>
      <c r="O36" s="15">
        <v>1</v>
      </c>
      <c r="P36" s="35" t="s">
        <v>458</v>
      </c>
      <c r="Q36" s="35"/>
      <c r="R36" s="15"/>
      <c r="S36" s="24"/>
      <c r="T36" s="62" t="str">
        <f>+'JFK-184.676'!$J$4</f>
        <v>Nathan Demaisip</v>
      </c>
      <c r="U36" s="62"/>
      <c r="V36" s="94">
        <f>+'JFK-184.676'!$F$12</f>
        <v>3202726.8</v>
      </c>
      <c r="W36" s="165">
        <f t="shared" si="41"/>
        <v>0.7414569360084039</v>
      </c>
      <c r="X36" s="15"/>
      <c r="Y36" s="161">
        <f t="shared" si="42"/>
        <v>0.99359163179916321</v>
      </c>
      <c r="Z36" s="11" t="str">
        <f t="shared" si="43"/>
        <v>GOOD</v>
      </c>
      <c r="AA36" s="11"/>
      <c r="AB36" s="15"/>
      <c r="AC36" s="239">
        <f>VLOOKUP(H36,ECON_ADJUSTMENT!J$2:W$240,12,FALSE)</f>
        <v>2398054.3408322907</v>
      </c>
      <c r="AD36" s="15" t="str">
        <f t="shared" si="7"/>
        <v>GOOD</v>
      </c>
      <c r="AE36" s="15"/>
      <c r="AF36" s="15"/>
      <c r="AG36" s="54">
        <f t="shared" si="44"/>
        <v>2390000</v>
      </c>
      <c r="AH36" s="54">
        <f t="shared" si="45"/>
        <v>2374684</v>
      </c>
      <c r="AI36" s="54">
        <f t="shared" si="46"/>
        <v>15316</v>
      </c>
      <c r="AK36" s="4"/>
      <c r="AL36" s="4"/>
      <c r="AM36" s="192"/>
      <c r="AN36" s="193"/>
    </row>
    <row r="37" spans="2:47" x14ac:dyDescent="0.25">
      <c r="C37" s="39">
        <v>2019</v>
      </c>
      <c r="D37" s="62" t="str">
        <f>+'LGA-124.256'!$F$4</f>
        <v>LGA-124.256</v>
      </c>
      <c r="E37" s="63" t="str">
        <f>+'LGA-124.256'!$F$5</f>
        <v>Rehab of Fuel Farm Substation</v>
      </c>
      <c r="F37" s="64">
        <f>+'LGA-124.256'!$F$6</f>
        <v>43531</v>
      </c>
      <c r="G37" s="65" t="str">
        <f>+'LGA-124.256'!$G$7</f>
        <v>SBE</v>
      </c>
      <c r="H37" s="94">
        <f>+'LGA-124.256'!$F$7</f>
        <v>2460000</v>
      </c>
      <c r="I37" s="94">
        <f>+'LGA-124.256'!$F$8</f>
        <v>2542676</v>
      </c>
      <c r="J37" s="94"/>
      <c r="K37" s="148">
        <f>+'LGA-124.256'!$G$9</f>
        <v>3.3608130081300813E-2</v>
      </c>
      <c r="L37" s="11" t="str">
        <f>+'LGA-124.256'!$F$11</f>
        <v>GOOD</v>
      </c>
      <c r="M37" s="15">
        <f>+'LGA-124.256'!$H$12</f>
        <v>4</v>
      </c>
      <c r="N37" s="35" t="s">
        <v>93</v>
      </c>
      <c r="O37" s="15">
        <v>1</v>
      </c>
      <c r="P37" s="35" t="s">
        <v>458</v>
      </c>
      <c r="Q37" s="35"/>
      <c r="R37" s="15"/>
      <c r="S37" s="24"/>
      <c r="T37" s="62" t="str">
        <f>+'LGA-124.256'!$J$4</f>
        <v>Joe Lucin</v>
      </c>
      <c r="U37" s="62"/>
      <c r="V37" s="94">
        <f>+'LGA-124.256'!$F$12</f>
        <v>2777662.25</v>
      </c>
      <c r="W37" s="165">
        <f t="shared" si="41"/>
        <v>0.91540143154553799</v>
      </c>
      <c r="X37" s="15"/>
      <c r="Y37" s="161">
        <f t="shared" si="42"/>
        <v>1.0336081300813007</v>
      </c>
      <c r="Z37" s="11" t="str">
        <f t="shared" si="43"/>
        <v>GOOD</v>
      </c>
      <c r="AA37" s="11"/>
      <c r="AB37" s="15"/>
      <c r="AC37" s="239">
        <f>VLOOKUP(H37,ECON_ADJUSTMENT!J$2:W$240,12,FALSE)</f>
        <v>4378676.2282165252</v>
      </c>
      <c r="AD37" s="15" t="str">
        <f t="shared" si="7"/>
        <v>FAIL</v>
      </c>
      <c r="AE37" s="15"/>
      <c r="AF37" s="15"/>
      <c r="AG37" s="54">
        <f t="shared" si="44"/>
        <v>2460000</v>
      </c>
      <c r="AH37" s="54">
        <f t="shared" si="45"/>
        <v>2542676</v>
      </c>
      <c r="AI37" s="54">
        <f t="shared" si="46"/>
        <v>-82676</v>
      </c>
      <c r="AK37" s="4"/>
      <c r="AL37" s="4"/>
      <c r="AM37" s="192"/>
      <c r="AN37" s="193"/>
    </row>
    <row r="38" spans="2:47" x14ac:dyDescent="0.25">
      <c r="C38" s="39">
        <v>2019</v>
      </c>
      <c r="D38" s="62" t="str">
        <f>+'JFK-184.043'!$F$4</f>
        <v>JFK-184.043</v>
      </c>
      <c r="E38" s="63" t="str">
        <f>+'JFK-184.043'!$F$5</f>
        <v>Taxiways CA and CB Paving &amp; Enhancements</v>
      </c>
      <c r="F38" s="64">
        <f>+'JFK-184.043'!$F$6</f>
        <v>43529</v>
      </c>
      <c r="G38" s="65" t="str">
        <f>+'JFK-184.043'!$G$7</f>
        <v>Public</v>
      </c>
      <c r="H38" s="94">
        <f>+'JFK-184.043'!$F$7</f>
        <v>42125550</v>
      </c>
      <c r="I38" s="94">
        <f>+'JFK-184.043'!$F$8</f>
        <v>34053550</v>
      </c>
      <c r="J38" s="94"/>
      <c r="K38" s="148">
        <f>+'JFK-184.043'!$G$9</f>
        <v>-0.19161767620838185</v>
      </c>
      <c r="L38" s="11" t="str">
        <f>+'JFK-184.043'!$F$11</f>
        <v>FAIL</v>
      </c>
      <c r="M38" s="15">
        <f>+'JFK-184.043'!$H$12</f>
        <v>2</v>
      </c>
      <c r="N38" s="35" t="s">
        <v>93</v>
      </c>
      <c r="O38" s="15">
        <v>1</v>
      </c>
      <c r="P38" s="35" t="s">
        <v>458</v>
      </c>
      <c r="Q38" s="35"/>
      <c r="R38" s="15"/>
      <c r="S38" s="24"/>
      <c r="T38" s="62" t="str">
        <f>+'JFK-184.043'!$J$4</f>
        <v>John Alen</v>
      </c>
      <c r="U38" s="62"/>
      <c r="V38" s="94">
        <f>+'JFK-184.043'!$F$12</f>
        <v>35159386.5</v>
      </c>
      <c r="W38" s="165">
        <f t="shared" si="41"/>
        <v>0.96854790114156286</v>
      </c>
      <c r="X38" s="15"/>
      <c r="Y38" s="161">
        <f t="shared" si="42"/>
        <v>0.80838232379161812</v>
      </c>
      <c r="Z38" s="11" t="str">
        <f t="shared" si="43"/>
        <v>FAIL</v>
      </c>
      <c r="AA38" s="11"/>
      <c r="AB38" s="15"/>
      <c r="AC38" s="239">
        <f>VLOOKUP(H38,ECON_ADJUSTMENT!J$2:W$240,12,FALSE)</f>
        <v>39445156.102769323</v>
      </c>
      <c r="AD38" s="15" t="str">
        <f t="shared" si="7"/>
        <v>FAIL</v>
      </c>
      <c r="AE38" s="15"/>
      <c r="AF38" s="15"/>
      <c r="AG38" s="54">
        <f t="shared" si="44"/>
        <v>42125550</v>
      </c>
      <c r="AH38" s="54">
        <f t="shared" si="45"/>
        <v>34053550</v>
      </c>
      <c r="AI38" s="54">
        <f t="shared" si="46"/>
        <v>8072000</v>
      </c>
      <c r="AK38" s="4"/>
      <c r="AL38" s="4"/>
      <c r="AM38" s="192"/>
      <c r="AN38" s="193"/>
    </row>
    <row r="39" spans="2:47" x14ac:dyDescent="0.25">
      <c r="C39" s="39">
        <v>2019</v>
      </c>
      <c r="D39" s="62" t="str">
        <f>+'PN-654.566'!$F$4</f>
        <v>PN-654.566</v>
      </c>
      <c r="E39" s="63" t="str">
        <f>+'PN-654.566'!$F$5</f>
        <v>Rehab of Berth 25 and East End Bulkhead Extension (Grouting)</v>
      </c>
      <c r="F39" s="64">
        <f>+'PN-654.566'!$F$6</f>
        <v>43517</v>
      </c>
      <c r="G39" s="65" t="str">
        <f>+'PN-654.566'!$G$7</f>
        <v>Public</v>
      </c>
      <c r="H39" s="94">
        <f>+'PN-654.566'!$F$7</f>
        <v>4450000</v>
      </c>
      <c r="I39" s="94">
        <f>+'PN-654.566'!$F$8</f>
        <v>5282906</v>
      </c>
      <c r="J39" s="94"/>
      <c r="K39" s="148">
        <f>+'PN-654.566'!$G$9</f>
        <v>0.18716988764044945</v>
      </c>
      <c r="L39" s="11" t="str">
        <f>+'PN-654.566'!$F$11</f>
        <v>FAIL</v>
      </c>
      <c r="M39" s="15">
        <f>+'PN-654.566'!$H$12</f>
        <v>7</v>
      </c>
      <c r="N39" s="35" t="s">
        <v>25</v>
      </c>
      <c r="O39" s="15">
        <v>1</v>
      </c>
      <c r="P39" s="35" t="s">
        <v>492</v>
      </c>
      <c r="Q39" s="35"/>
      <c r="R39" s="15"/>
      <c r="S39" s="24"/>
      <c r="T39" s="62" t="str">
        <f>+'PN-654.566'!$J$4</f>
        <v>Ed Minall</v>
      </c>
      <c r="U39" s="62"/>
      <c r="V39" s="94">
        <f>+'PN-654.566'!$F$12</f>
        <v>7461118.4285714282</v>
      </c>
      <c r="W39" s="165">
        <f t="shared" si="41"/>
        <v>0.70805818867179027</v>
      </c>
      <c r="X39" s="15"/>
      <c r="Y39" s="161">
        <f t="shared" si="42"/>
        <v>1.1871698876404495</v>
      </c>
      <c r="Z39" s="11" t="str">
        <f t="shared" si="43"/>
        <v>FAIL</v>
      </c>
      <c r="AA39" s="11"/>
      <c r="AB39" s="15"/>
      <c r="AC39" s="239">
        <f>VLOOKUP(H39,ECON_ADJUSTMENT!J$2:W$240,12,FALSE)</f>
        <v>6110093.7389802914</v>
      </c>
      <c r="AD39" s="15" t="str">
        <f t="shared" si="7"/>
        <v>GOOD</v>
      </c>
      <c r="AE39" s="15"/>
      <c r="AF39" s="15"/>
      <c r="AG39" s="54">
        <f t="shared" si="44"/>
        <v>4450000</v>
      </c>
      <c r="AH39" s="54">
        <f t="shared" si="45"/>
        <v>5282906</v>
      </c>
      <c r="AI39" s="54">
        <f t="shared" si="46"/>
        <v>-832906</v>
      </c>
      <c r="AK39" s="4"/>
      <c r="AL39" s="4"/>
      <c r="AM39" s="192"/>
      <c r="AN39" s="193"/>
    </row>
    <row r="40" spans="2:47" x14ac:dyDescent="0.25">
      <c r="C40" s="39">
        <v>2019</v>
      </c>
      <c r="D40" s="62" t="str">
        <f>+'GWB-984.205'!$F$4</f>
        <v>GWB-984.205</v>
      </c>
      <c r="E40" s="63" t="str">
        <f>+'GWB-984.205'!$F$5</f>
        <v>GWB - Maintenance Pavement Repairs via Work Order</v>
      </c>
      <c r="F40" s="64">
        <f>+'GWB-984.205'!$F$6</f>
        <v>43516</v>
      </c>
      <c r="G40" s="65" t="str">
        <f>+'GWB-984.205'!$G$7</f>
        <v>PQL</v>
      </c>
      <c r="H40" s="94">
        <f>+'GWB-984.205'!$F$7</f>
        <v>1790000</v>
      </c>
      <c r="I40" s="94">
        <f>+'GWB-984.205'!$F$8</f>
        <v>1443785</v>
      </c>
      <c r="J40" s="94"/>
      <c r="K40" s="148">
        <f>+'GWB-984.205'!$G$9</f>
        <v>-0.19341620111731844</v>
      </c>
      <c r="L40" s="11" t="str">
        <f>+'GWB-984.205'!$F$11</f>
        <v>GOOD</v>
      </c>
      <c r="M40" s="15">
        <f>+'GWB-984.205'!$H$12</f>
        <v>7</v>
      </c>
      <c r="N40" s="35" t="s">
        <v>226</v>
      </c>
      <c r="O40" s="15">
        <v>1</v>
      </c>
      <c r="P40" s="35" t="s">
        <v>457</v>
      </c>
      <c r="Q40" s="35"/>
      <c r="R40" s="15"/>
      <c r="S40" s="24"/>
      <c r="T40" s="62" t="str">
        <f>+'GWB-984.205'!$J$4</f>
        <v>Boris Lenderman</v>
      </c>
      <c r="U40" s="62"/>
      <c r="V40" s="94">
        <f>+'GWB-984.205'!$F$12</f>
        <v>3495752.1428571427</v>
      </c>
      <c r="W40" s="165">
        <f t="shared" si="41"/>
        <v>0.41301126080980327</v>
      </c>
      <c r="X40" s="15"/>
      <c r="Y40" s="161">
        <f t="shared" si="42"/>
        <v>0.80658379888268161</v>
      </c>
      <c r="Z40" s="11" t="str">
        <f t="shared" si="43"/>
        <v>FAIL</v>
      </c>
      <c r="AA40" s="11"/>
      <c r="AB40" s="15"/>
      <c r="AC40" s="239">
        <f>VLOOKUP(H40,ECON_ADJUSTMENT!J$2:W$240,12,FALSE)</f>
        <v>3054153.1129552312</v>
      </c>
      <c r="AD40" s="15" t="str">
        <f t="shared" si="7"/>
        <v>GOOD</v>
      </c>
      <c r="AE40" s="15"/>
      <c r="AF40" s="15"/>
      <c r="AG40" s="54">
        <f t="shared" si="44"/>
        <v>1790000</v>
      </c>
      <c r="AH40" s="54">
        <f t="shared" si="45"/>
        <v>1443785</v>
      </c>
      <c r="AI40" s="54">
        <f t="shared" si="46"/>
        <v>346215</v>
      </c>
      <c r="AK40" s="4"/>
      <c r="AL40" s="4"/>
      <c r="AM40" s="192"/>
      <c r="AN40" s="193"/>
    </row>
    <row r="41" spans="2:47" x14ac:dyDescent="0.25">
      <c r="C41" s="39">
        <v>2019</v>
      </c>
      <c r="D41" s="62" t="str">
        <f>+'AK-196A'!$F$4</f>
        <v>AK-196A</v>
      </c>
      <c r="E41" s="63" t="str">
        <f>+'AK-196A'!$F$5</f>
        <v>SI Bridges - Maintenance Pavement Repairs via Work Order</v>
      </c>
      <c r="F41" s="64">
        <f>+'AK-196A'!$F$6</f>
        <v>43516</v>
      </c>
      <c r="G41" s="65" t="str">
        <f>+'AK-196A'!$G$7</f>
        <v>PQL</v>
      </c>
      <c r="H41" s="94">
        <f>+'AK-196A'!$F$7</f>
        <v>1880000</v>
      </c>
      <c r="I41" s="94">
        <f>+'AK-196A'!$F$8</f>
        <v>1101828</v>
      </c>
      <c r="J41" s="94"/>
      <c r="K41" s="148">
        <f>+'AK-196A'!$G$9</f>
        <v>-0.41392127659574468</v>
      </c>
      <c r="L41" s="11" t="str">
        <f>+'AK-196A'!$F$11</f>
        <v>GOOD</v>
      </c>
      <c r="M41" s="15">
        <f>+'AK-196A'!$H$12</f>
        <v>6</v>
      </c>
      <c r="N41" s="35" t="s">
        <v>226</v>
      </c>
      <c r="O41" s="15">
        <v>1</v>
      </c>
      <c r="P41" s="35" t="s">
        <v>457</v>
      </c>
      <c r="Q41" s="35"/>
      <c r="R41" s="15"/>
      <c r="S41" s="24"/>
      <c r="T41" s="62" t="str">
        <f>+'AK-196A'!$J$4</f>
        <v>Tun Tun Lin</v>
      </c>
      <c r="U41" s="62"/>
      <c r="V41" s="94">
        <f>+'AK-196A'!$F$12</f>
        <v>3114163.5</v>
      </c>
      <c r="W41" s="165">
        <f t="shared" si="41"/>
        <v>0.35381186633264439</v>
      </c>
      <c r="X41" s="15"/>
      <c r="Y41" s="161">
        <f t="shared" si="42"/>
        <v>0.58607872340425526</v>
      </c>
      <c r="Z41" s="11" t="str">
        <f t="shared" si="43"/>
        <v>FAIL</v>
      </c>
      <c r="AA41" s="11"/>
      <c r="AB41" s="15"/>
      <c r="AC41" s="239">
        <f>VLOOKUP(H41,ECON_ADJUSTMENT!J$2:W$240,12,FALSE)</f>
        <v>3874041.978848191</v>
      </c>
      <c r="AD41" s="15" t="str">
        <f t="shared" si="7"/>
        <v>FAIL</v>
      </c>
      <c r="AE41" s="15"/>
      <c r="AF41" s="15"/>
      <c r="AG41" s="54">
        <f t="shared" si="44"/>
        <v>1880000</v>
      </c>
      <c r="AH41" s="54">
        <f t="shared" si="45"/>
        <v>1101828</v>
      </c>
      <c r="AI41" s="54">
        <f t="shared" si="46"/>
        <v>778172</v>
      </c>
      <c r="AK41" s="4"/>
      <c r="AL41" s="4"/>
      <c r="AM41" s="192"/>
      <c r="AN41" s="193"/>
    </row>
    <row r="42" spans="2:47" x14ac:dyDescent="0.25">
      <c r="C42" s="39">
        <v>2019</v>
      </c>
      <c r="D42" s="62" t="str">
        <f>+'GWB-934.046'!$F$4</f>
        <v>GWB-934.046</v>
      </c>
      <c r="E42" s="63" t="str">
        <f>+'GWB-934.046'!$F$5</f>
        <v>Flag Hoist System Upgrade</v>
      </c>
      <c r="F42" s="64">
        <f>+'GWB-934.046'!$F$6</f>
        <v>43503</v>
      </c>
      <c r="G42" s="65" t="str">
        <f>+'GWB-934.046'!$G$7</f>
        <v>SBE</v>
      </c>
      <c r="H42" s="94">
        <f>+'GWB-934.046'!$F$7</f>
        <v>1130000</v>
      </c>
      <c r="I42" s="94">
        <f>+'GWB-934.046'!$F$8</f>
        <v>1686000</v>
      </c>
      <c r="J42" s="94"/>
      <c r="K42" s="148">
        <f>+'GWB-934.046'!$G$9</f>
        <v>0.49203539823008852</v>
      </c>
      <c r="L42" s="11" t="str">
        <f>+'GWB-934.046'!$F$11</f>
        <v>FAIL</v>
      </c>
      <c r="M42" s="15">
        <f>+'GWB-934.046'!$H$12</f>
        <v>2</v>
      </c>
      <c r="N42" s="35" t="s">
        <v>25</v>
      </c>
      <c r="O42" s="15">
        <v>1</v>
      </c>
      <c r="P42" s="35" t="s">
        <v>457</v>
      </c>
      <c r="Q42" s="35"/>
      <c r="R42" s="15"/>
      <c r="S42" s="24"/>
      <c r="T42" s="62" t="str">
        <f>+'GWB-934.046'!$J$4</f>
        <v>Joe Lucin</v>
      </c>
      <c r="U42" s="62"/>
      <c r="V42" s="94">
        <f>+'GWB-934.046'!$F$12</f>
        <v>1933500</v>
      </c>
      <c r="W42" s="165">
        <f t="shared" si="41"/>
        <v>0.8719937936384794</v>
      </c>
      <c r="X42" s="15"/>
      <c r="Y42" s="161">
        <f t="shared" si="42"/>
        <v>1.4920353982300885</v>
      </c>
      <c r="Z42" s="11" t="str">
        <f t="shared" si="43"/>
        <v>FAIL</v>
      </c>
      <c r="AA42" s="11"/>
      <c r="AB42" s="15"/>
      <c r="AC42" s="239">
        <f>VLOOKUP(H42,ECON_ADJUSTMENT!J$2:W$240,12,FALSE)</f>
        <v>560196.38569631253</v>
      </c>
      <c r="AD42" s="15" t="str">
        <f t="shared" si="7"/>
        <v>FAIL</v>
      </c>
      <c r="AE42" s="15"/>
      <c r="AF42" s="15"/>
      <c r="AG42" s="54">
        <f t="shared" si="44"/>
        <v>1130000</v>
      </c>
      <c r="AH42" s="54">
        <f t="shared" si="45"/>
        <v>1686000</v>
      </c>
      <c r="AI42" s="54">
        <f t="shared" si="46"/>
        <v>-556000</v>
      </c>
      <c r="AK42" s="4"/>
      <c r="AL42" s="4"/>
      <c r="AM42" s="192"/>
      <c r="AN42" s="193"/>
    </row>
    <row r="43" spans="2:47" x14ac:dyDescent="0.25">
      <c r="C43" s="39">
        <v>2019</v>
      </c>
      <c r="D43" s="62" t="str">
        <f>+'LGA-124.270'!$F$4</f>
        <v>LGA-124.270</v>
      </c>
      <c r="E43" s="63" t="str">
        <f>+'LGA-124.270'!$F$5</f>
        <v>Replace West Field Lighting Vault Emergency Generator</v>
      </c>
      <c r="F43" s="64">
        <f>+'LGA-124.270'!$F$6</f>
        <v>43503</v>
      </c>
      <c r="G43" s="65" t="str">
        <f>+'LGA-124.270'!$G$7</f>
        <v>SBE</v>
      </c>
      <c r="H43" s="94">
        <f>+'LGA-124.270'!$F$7</f>
        <v>684000</v>
      </c>
      <c r="I43" s="94">
        <f>+'LGA-124.270'!$F$8</f>
        <v>615000</v>
      </c>
      <c r="J43" s="94"/>
      <c r="K43" s="148">
        <f>+'LGA-124.270'!$G$9</f>
        <v>-0.10087719298245613</v>
      </c>
      <c r="L43" s="11" t="str">
        <f>+'LGA-124.270'!$F$11</f>
        <v>GOOD</v>
      </c>
      <c r="M43" s="15">
        <f>+'LGA-124.270'!$H$12</f>
        <v>5</v>
      </c>
      <c r="N43" s="35" t="s">
        <v>93</v>
      </c>
      <c r="O43" s="15">
        <v>1</v>
      </c>
      <c r="P43" s="35" t="s">
        <v>458</v>
      </c>
      <c r="Q43" s="35"/>
      <c r="R43" s="15"/>
      <c r="S43" s="24"/>
      <c r="T43" s="62" t="str">
        <f>+'LGA-124.270'!$J$4</f>
        <v>Joe Lucin</v>
      </c>
      <c r="U43" s="62"/>
      <c r="V43" s="94">
        <f>+'LGA-124.270'!$F$12</f>
        <v>924493.4</v>
      </c>
      <c r="W43" s="165">
        <f t="shared" si="41"/>
        <v>0.66522919471355879</v>
      </c>
      <c r="X43" s="15"/>
      <c r="Y43" s="161">
        <f t="shared" si="42"/>
        <v>0.89912280701754388</v>
      </c>
      <c r="Z43" s="11" t="str">
        <f t="shared" si="43"/>
        <v>GOOD</v>
      </c>
      <c r="AA43" s="11"/>
      <c r="AB43" s="15"/>
      <c r="AC43" s="239">
        <f>VLOOKUP(H43,ECON_ADJUSTMENT!J$2:W$240,12,FALSE)</f>
        <v>1460501.0920555703</v>
      </c>
      <c r="AD43" s="15" t="str">
        <f t="shared" si="7"/>
        <v>FAIL</v>
      </c>
      <c r="AE43" s="15"/>
      <c r="AF43" s="15"/>
      <c r="AG43" s="54">
        <f t="shared" si="44"/>
        <v>684000</v>
      </c>
      <c r="AH43" s="54">
        <f t="shared" si="45"/>
        <v>615000</v>
      </c>
      <c r="AI43" s="54">
        <f t="shared" si="46"/>
        <v>69000</v>
      </c>
      <c r="AK43" s="4"/>
      <c r="AL43" s="4"/>
      <c r="AM43" s="192"/>
      <c r="AN43" s="193"/>
    </row>
    <row r="44" spans="2:47" x14ac:dyDescent="0.25">
      <c r="C44" s="39">
        <v>2019</v>
      </c>
      <c r="D44" s="62" t="str">
        <f>+'MFP-994.679'!$F$4</f>
        <v>MFP-994.679</v>
      </c>
      <c r="E44" s="63" t="str">
        <f>+'MFP-994.679'!$F$5</f>
        <v>NJ - Maintenance Dredging via Work Order</v>
      </c>
      <c r="F44" s="64">
        <f>+'MFP-994.679'!$F$6</f>
        <v>43501</v>
      </c>
      <c r="G44" s="65" t="str">
        <f>+'MFP-994.679'!$G$7</f>
        <v>PQL</v>
      </c>
      <c r="H44" s="94">
        <f>+'MFP-994.679'!$F$7</f>
        <v>13910000</v>
      </c>
      <c r="I44" s="94">
        <f>+'MFP-994.679'!$F$8</f>
        <v>11745510</v>
      </c>
      <c r="J44" s="94"/>
      <c r="K44" s="148">
        <f>+'MFP-994.679'!$G$9</f>
        <v>-0.15560675772825305</v>
      </c>
      <c r="L44" s="11" t="str">
        <f>+'MFP-994.679'!$F$11</f>
        <v>GOOD</v>
      </c>
      <c r="M44" s="15">
        <f>+'MFP-994.679'!$H$12</f>
        <v>4</v>
      </c>
      <c r="N44" s="35" t="s">
        <v>25</v>
      </c>
      <c r="O44" s="15">
        <v>1</v>
      </c>
      <c r="P44" s="35" t="s">
        <v>492</v>
      </c>
      <c r="Q44" s="35"/>
      <c r="R44" s="15"/>
      <c r="S44" s="24"/>
      <c r="T44" s="62" t="str">
        <f>+'MFP-994.679'!$J$4</f>
        <v>Ed Minall</v>
      </c>
      <c r="U44" s="62"/>
      <c r="V44" s="94">
        <f>+'MFP-994.679'!$F$12</f>
        <v>15613590</v>
      </c>
      <c r="W44" s="165">
        <f t="shared" si="41"/>
        <v>0.75226197178227427</v>
      </c>
      <c r="X44" s="15"/>
      <c r="Y44" s="161">
        <f t="shared" si="42"/>
        <v>0.84439324227174695</v>
      </c>
      <c r="Z44" s="11" t="str">
        <f t="shared" si="43"/>
        <v>FAIL</v>
      </c>
      <c r="AA44" s="11"/>
      <c r="AB44" s="15"/>
      <c r="AC44" s="239">
        <f>VLOOKUP(H44,ECON_ADJUSTMENT!J$2:W$240,12,FALSE)</f>
        <v>14433418.6574875</v>
      </c>
      <c r="AD44" s="15" t="str">
        <f t="shared" si="7"/>
        <v>GOOD</v>
      </c>
      <c r="AE44" s="15"/>
      <c r="AF44" s="15"/>
      <c r="AG44" s="54">
        <f t="shared" si="44"/>
        <v>13910000</v>
      </c>
      <c r="AH44" s="54">
        <f t="shared" si="45"/>
        <v>11745510</v>
      </c>
      <c r="AI44" s="54">
        <f t="shared" si="46"/>
        <v>2164490</v>
      </c>
      <c r="AK44" s="4"/>
      <c r="AL44" s="4"/>
      <c r="AM44" s="192"/>
      <c r="AN44" s="193"/>
    </row>
    <row r="45" spans="2:47" x14ac:dyDescent="0.25">
      <c r="C45" s="39">
        <v>2019</v>
      </c>
      <c r="D45" s="62" t="str">
        <f>+'GWB-244.260'!$F$4</f>
        <v>GWB-244.260</v>
      </c>
      <c r="E45" s="63" t="str">
        <f>+'GWB-244.260'!$F$5</f>
        <v>Main Span Upper Level Struct Stl Rehab (Phase 2) &amp; Appurtenances</v>
      </c>
      <c r="F45" s="64">
        <f>+'GWB-244.260'!$F$6</f>
        <v>43496</v>
      </c>
      <c r="G45" s="65" t="str">
        <f>+'GWB-244.260'!$G$7</f>
        <v>Public</v>
      </c>
      <c r="H45" s="94">
        <f>+'GWB-244.260'!$F$7</f>
        <v>92495500</v>
      </c>
      <c r="I45" s="94">
        <f>+'GWB-244.260'!$F$8</f>
        <v>63348000</v>
      </c>
      <c r="J45" s="94"/>
      <c r="K45" s="148">
        <f>+'GWB-244.260'!$G$9</f>
        <v>-0.31512343843754559</v>
      </c>
      <c r="L45" s="11" t="str">
        <f>+'GWB-244.260'!$F$11</f>
        <v>FAIL</v>
      </c>
      <c r="M45" s="15">
        <f>+'GWB-244.260'!$H$12</f>
        <v>3</v>
      </c>
      <c r="N45" s="35" t="s">
        <v>226</v>
      </c>
      <c r="O45" s="15">
        <v>1</v>
      </c>
      <c r="P45" s="35" t="s">
        <v>457</v>
      </c>
      <c r="Q45" s="35"/>
      <c r="R45" s="15"/>
      <c r="S45" s="24"/>
      <c r="T45" s="62" t="str">
        <f>+'GWB-244.260'!$J$4</f>
        <v>Boris Lenderman</v>
      </c>
      <c r="U45" s="62"/>
      <c r="V45" s="94">
        <f>+'GWB-244.260'!$F$12</f>
        <v>68785236.666666672</v>
      </c>
      <c r="W45" s="165">
        <f t="shared" si="41"/>
        <v>0.92095343521146078</v>
      </c>
      <c r="X45" s="15"/>
      <c r="Y45" s="161">
        <f t="shared" si="42"/>
        <v>0.68487656156245436</v>
      </c>
      <c r="Z45" s="11" t="str">
        <f t="shared" si="43"/>
        <v>FAIL</v>
      </c>
      <c r="AA45" s="11"/>
      <c r="AB45" s="15"/>
      <c r="AC45" s="239">
        <f>VLOOKUP(H45,ECON_ADJUSTMENT!J$2:W$240,12,FALSE)</f>
        <v>83269986.980304718</v>
      </c>
      <c r="AD45" s="15" t="str">
        <f t="shared" si="7"/>
        <v>FAIL</v>
      </c>
      <c r="AE45" s="15"/>
      <c r="AF45" s="15"/>
      <c r="AG45" s="54">
        <f t="shared" si="44"/>
        <v>92495500</v>
      </c>
      <c r="AH45" s="54">
        <f t="shared" si="45"/>
        <v>63348000</v>
      </c>
      <c r="AI45" s="54">
        <f t="shared" si="46"/>
        <v>29147500</v>
      </c>
      <c r="AK45" s="4"/>
      <c r="AL45" s="4"/>
      <c r="AM45" s="192"/>
      <c r="AN45" s="193"/>
    </row>
    <row r="46" spans="2:47" x14ac:dyDescent="0.25">
      <c r="C46" s="39">
        <v>2019</v>
      </c>
      <c r="D46" s="62" t="str">
        <f>+'EWR-154.306A'!$F$4</f>
        <v>EWR-154.306A</v>
      </c>
      <c r="E46" s="63" t="str">
        <f>+'EWR-154.306A'!$F$5</f>
        <v>Rehab of Runway 11-29</v>
      </c>
      <c r="F46" s="64">
        <f>+'EWR-154.306A'!$F$6</f>
        <v>43489</v>
      </c>
      <c r="G46" s="65" t="str">
        <f>+'EWR-154.306A'!$G$7</f>
        <v>Public</v>
      </c>
      <c r="H46" s="94">
        <f>+'EWR-154.306A'!$F$7</f>
        <v>23450000</v>
      </c>
      <c r="I46" s="94">
        <f>+'EWR-154.306A'!$F$8</f>
        <v>25644000</v>
      </c>
      <c r="J46" s="94"/>
      <c r="K46" s="148">
        <f>+'EWR-154.306A'!$G$9</f>
        <v>9.3560767590618335E-2</v>
      </c>
      <c r="L46" s="11" t="str">
        <f>+'EWR-154.306A'!$F$11</f>
        <v>GOOD</v>
      </c>
      <c r="M46" s="15">
        <f>+'EWR-154.306A'!$H$12</f>
        <v>2</v>
      </c>
      <c r="N46" s="35" t="s">
        <v>25</v>
      </c>
      <c r="O46" s="15">
        <v>1</v>
      </c>
      <c r="P46" s="35" t="s">
        <v>458</v>
      </c>
      <c r="Q46" s="35"/>
      <c r="R46" s="15"/>
      <c r="S46" s="24"/>
      <c r="T46" s="62" t="str">
        <f>+'EWR-154.306A'!$J$4</f>
        <v>Joe Lucin</v>
      </c>
      <c r="U46" s="62"/>
      <c r="V46" s="94">
        <f>+'EWR-154.306A'!$F$12</f>
        <v>28255558.5</v>
      </c>
      <c r="W46" s="165">
        <f t="shared" si="41"/>
        <v>0.9075736372367228</v>
      </c>
      <c r="X46" s="15"/>
      <c r="Y46" s="161">
        <f t="shared" si="42"/>
        <v>1.0935607675906183</v>
      </c>
      <c r="Z46" s="11" t="str">
        <f t="shared" si="43"/>
        <v>GOOD</v>
      </c>
      <c r="AA46" s="11"/>
      <c r="AB46" s="15"/>
      <c r="AC46" s="239">
        <f>VLOOKUP(H46,ECON_ADJUSTMENT!J$2:W$240,12,FALSE)</f>
        <v>23196324.799681753</v>
      </c>
      <c r="AD46" s="15" t="str">
        <f t="shared" si="7"/>
        <v>GOOD</v>
      </c>
      <c r="AE46" s="15"/>
      <c r="AF46" s="15"/>
      <c r="AG46" s="54">
        <f t="shared" si="44"/>
        <v>23450000</v>
      </c>
      <c r="AH46" s="54">
        <f t="shared" si="45"/>
        <v>25644000</v>
      </c>
      <c r="AI46" s="54">
        <f t="shared" si="46"/>
        <v>-2194000</v>
      </c>
      <c r="AK46" s="4"/>
      <c r="AL46" s="4"/>
      <c r="AM46" s="192"/>
      <c r="AN46" s="193"/>
    </row>
    <row r="47" spans="2:47" x14ac:dyDescent="0.25">
      <c r="C47" s="39">
        <v>2019</v>
      </c>
      <c r="D47" s="62" t="str">
        <f>+'GWB-244.236'!$F$4</f>
        <v>GWB-244.236</v>
      </c>
      <c r="E47" s="63" t="str">
        <f>+'GWB-244.236'!$F$5</f>
        <v>Intelligent Transportation System Repl Signs and Field Devices</v>
      </c>
      <c r="F47" s="64">
        <f>+'GWB-244.236'!$F$6</f>
        <v>43488</v>
      </c>
      <c r="G47" s="65" t="str">
        <f>+'GWB-244.236'!$G$7</f>
        <v>Public</v>
      </c>
      <c r="H47" s="94">
        <f>+'GWB-244.236'!$F$7</f>
        <v>28219450</v>
      </c>
      <c r="I47" s="94">
        <f>+'GWB-244.236'!$F$8</f>
        <v>27620150</v>
      </c>
      <c r="J47" s="94"/>
      <c r="K47" s="148">
        <f>+'GWB-244.236'!$G$9</f>
        <v>-2.1237125457795953E-2</v>
      </c>
      <c r="L47" s="11" t="str">
        <f>+'GWB-244.236'!$F$11</f>
        <v>GOOD</v>
      </c>
      <c r="M47" s="15">
        <f>+'GWB-244.236'!$H$12</f>
        <v>6</v>
      </c>
      <c r="N47" s="35" t="s">
        <v>226</v>
      </c>
      <c r="O47" s="15">
        <v>1</v>
      </c>
      <c r="P47" s="35" t="s">
        <v>457</v>
      </c>
      <c r="Q47" s="35"/>
      <c r="R47" s="15"/>
      <c r="S47" s="24"/>
      <c r="T47" s="62" t="str">
        <f>+'GWB-244.236'!$J$4</f>
        <v>Boris Lenderman</v>
      </c>
      <c r="U47" s="62"/>
      <c r="V47" s="94">
        <f>+'GWB-244.236'!$F$12</f>
        <v>38331440.5</v>
      </c>
      <c r="W47" s="165">
        <f t="shared" si="41"/>
        <v>0.72056123223441082</v>
      </c>
      <c r="X47" s="15"/>
      <c r="Y47" s="161">
        <f t="shared" si="42"/>
        <v>0.97876287454220401</v>
      </c>
      <c r="Z47" s="11" t="str">
        <f t="shared" si="43"/>
        <v>GOOD</v>
      </c>
      <c r="AA47" s="11"/>
      <c r="AB47" s="15"/>
      <c r="AC47" s="239">
        <f>VLOOKUP(H47,ECON_ADJUSTMENT!J$2:W$240,12,FALSE)</f>
        <v>27346027.938733134</v>
      </c>
      <c r="AD47" s="15" t="str">
        <f t="shared" si="7"/>
        <v>GOOD</v>
      </c>
      <c r="AE47" s="15"/>
      <c r="AF47" s="15"/>
      <c r="AG47" s="54">
        <f t="shared" si="44"/>
        <v>28219450</v>
      </c>
      <c r="AH47" s="54">
        <f t="shared" si="45"/>
        <v>27620150</v>
      </c>
      <c r="AI47" s="54">
        <f t="shared" si="46"/>
        <v>599300</v>
      </c>
      <c r="AK47" s="4"/>
      <c r="AL47" s="4"/>
      <c r="AM47" s="192"/>
      <c r="AN47" s="193"/>
    </row>
    <row r="48" spans="2:47" x14ac:dyDescent="0.25">
      <c r="C48" s="39">
        <v>2019</v>
      </c>
      <c r="D48" s="62" t="str">
        <f>+'JFK-174.016'!$F$4</f>
        <v>JFK-174.016</v>
      </c>
      <c r="E48" s="63" t="str">
        <f>+'JFK-174.016'!$F$5</f>
        <v>Bridges J31 &amp; J32 Rehab - Aqueduct Road</v>
      </c>
      <c r="F48" s="64">
        <f>+'JFK-174.016'!$F$6</f>
        <v>43475</v>
      </c>
      <c r="G48" s="65" t="str">
        <f>+'JFK-174.016'!$G$7</f>
        <v>Public</v>
      </c>
      <c r="H48" s="94">
        <f>+'JFK-174.016'!$F$7</f>
        <v>4500000</v>
      </c>
      <c r="I48" s="94">
        <f>+'JFK-174.016'!$F$8</f>
        <v>4863085</v>
      </c>
      <c r="J48" s="94"/>
      <c r="K48" s="148">
        <f>+'JFK-174.016'!$G$9</f>
        <v>8.0685555555555552E-2</v>
      </c>
      <c r="L48" s="11" t="str">
        <f>+'JFK-174.016'!$F$11</f>
        <v>GOOD</v>
      </c>
      <c r="M48" s="15">
        <f>+'JFK-174.016'!$H$12</f>
        <v>6</v>
      </c>
      <c r="N48" s="35" t="s">
        <v>93</v>
      </c>
      <c r="O48" s="15">
        <v>1</v>
      </c>
      <c r="P48" s="35" t="s">
        <v>458</v>
      </c>
      <c r="Q48" s="35"/>
      <c r="R48" s="15"/>
      <c r="S48" s="24"/>
      <c r="T48" s="62" t="str">
        <f>+'JFK-174.016'!$J$4</f>
        <v>Wen Chang</v>
      </c>
      <c r="U48" s="62"/>
      <c r="V48" s="94">
        <f>+'JFK-174.016'!$F$12</f>
        <v>6990880.833333333</v>
      </c>
      <c r="W48" s="165">
        <f t="shared" si="41"/>
        <v>0.69563265573234279</v>
      </c>
      <c r="X48" s="15"/>
      <c r="Y48" s="161">
        <f t="shared" si="42"/>
        <v>1.0806855555555555</v>
      </c>
      <c r="Z48" s="11" t="str">
        <f t="shared" si="43"/>
        <v>GOOD</v>
      </c>
      <c r="AA48" s="11"/>
      <c r="AB48" s="15"/>
      <c r="AC48" s="239">
        <f>VLOOKUP(H48,ECON_ADJUSTMENT!J$2:W$240,12,FALSE)</f>
        <v>4326445.2371718157</v>
      </c>
      <c r="AD48" s="15" t="str">
        <f t="shared" si="7"/>
        <v>FAIL</v>
      </c>
      <c r="AE48" s="15"/>
      <c r="AF48" s="15"/>
      <c r="AG48" s="54">
        <f t="shared" si="44"/>
        <v>4500000</v>
      </c>
      <c r="AH48" s="54">
        <f t="shared" si="45"/>
        <v>4863085</v>
      </c>
      <c r="AI48" s="54">
        <f t="shared" si="46"/>
        <v>-363085</v>
      </c>
      <c r="AK48" s="4"/>
      <c r="AL48" s="4"/>
      <c r="AM48" s="192"/>
      <c r="AN48" s="193"/>
    </row>
    <row r="49" spans="2:47" x14ac:dyDescent="0.25">
      <c r="B49" s="164">
        <f>(COUNTIF(L35:L49,"G*")/COUNTA(L35:L49))</f>
        <v>0.6428571428571429</v>
      </c>
      <c r="C49" s="39">
        <v>2019</v>
      </c>
      <c r="D49" s="62" t="str">
        <f>+'EWR-154.360 Void'!$F$4</f>
        <v>EWR-154.360</v>
      </c>
      <c r="E49" s="63" t="str">
        <f>+'EWR-154.360 Void'!$F$5</f>
        <v>Bldg 76 Underground Storage Tank Repl</v>
      </c>
      <c r="F49" s="64">
        <f>+'EWR-154.360 Void'!$F$6</f>
        <v>43468</v>
      </c>
      <c r="G49" s="65"/>
      <c r="H49" s="94"/>
      <c r="I49" s="94"/>
      <c r="J49" s="94"/>
      <c r="K49" s="148"/>
      <c r="L49" s="11"/>
      <c r="M49" s="15"/>
      <c r="N49" s="35"/>
      <c r="O49" s="15"/>
      <c r="P49" s="35"/>
      <c r="Q49" s="35"/>
      <c r="R49" s="15"/>
      <c r="S49" s="24" t="s">
        <v>1715</v>
      </c>
      <c r="T49" s="62"/>
      <c r="U49" s="62"/>
      <c r="V49" s="94"/>
      <c r="W49" s="165"/>
      <c r="X49" s="15"/>
      <c r="Y49" s="161"/>
      <c r="Z49" s="11"/>
      <c r="AA49" s="11"/>
      <c r="AB49" s="15"/>
      <c r="AC49" s="239"/>
      <c r="AD49" s="15"/>
      <c r="AE49" s="15"/>
      <c r="AF49" s="15"/>
      <c r="AG49" s="54"/>
      <c r="AH49" s="54"/>
      <c r="AI49" s="54"/>
      <c r="AK49" s="4">
        <f>SUM(H35:H49)</f>
        <v>220635500</v>
      </c>
      <c r="AL49" s="4">
        <f>SUM(I35:I49)</f>
        <v>184084065</v>
      </c>
      <c r="AM49" s="169">
        <f>+AL49/AK49</f>
        <v>0.83433565767974782</v>
      </c>
      <c r="AN49" s="1" t="s">
        <v>1324</v>
      </c>
      <c r="AO49" s="170">
        <f>+AK49</f>
        <v>220635500</v>
      </c>
      <c r="AP49" s="170">
        <f>+AL49</f>
        <v>184084065</v>
      </c>
      <c r="AQ49" s="176">
        <f>+AP49/AO49</f>
        <v>0.83433565767974782</v>
      </c>
      <c r="AR49" s="177"/>
      <c r="AS49" s="178"/>
      <c r="AU49" s="191"/>
    </row>
    <row r="50" spans="2:47" ht="7.5" customHeight="1" x14ac:dyDescent="0.25">
      <c r="C50" s="39"/>
      <c r="G50" s="45"/>
      <c r="Q50" s="11"/>
      <c r="AC50" s="239"/>
      <c r="AD50" s="15"/>
    </row>
    <row r="51" spans="2:47" x14ac:dyDescent="0.25">
      <c r="B51" s="191"/>
      <c r="C51" s="39">
        <v>2018</v>
      </c>
      <c r="D51" s="62" t="str">
        <f>+'TEB-144.055'!$F$4</f>
        <v>TEB-144.055</v>
      </c>
      <c r="E51" s="63" t="str">
        <f>+'TEB-144.055'!$F$5</f>
        <v>Rehab of Taxiways G, L and P</v>
      </c>
      <c r="F51" s="64">
        <f>+'TEB-144.055'!$F$6</f>
        <v>43452</v>
      </c>
      <c r="G51" s="65" t="str">
        <f>+'TEB-144.055'!$G$7</f>
        <v>Public</v>
      </c>
      <c r="H51" s="94">
        <f>+'TEB-144.055'!$F$7</f>
        <v>10250000</v>
      </c>
      <c r="I51" s="94">
        <f>+'TEB-144.055'!$F$8</f>
        <v>8275000</v>
      </c>
      <c r="J51" s="94"/>
      <c r="K51" s="148">
        <f>+'TEB-144.055'!$G$9</f>
        <v>-0.1926829268292683</v>
      </c>
      <c r="L51" s="11" t="str">
        <f>+'TEB-144.055'!$F$11</f>
        <v>FAIL</v>
      </c>
      <c r="M51" s="15">
        <f>+'TEB-144.055'!$H$12</f>
        <v>3</v>
      </c>
      <c r="N51" s="35" t="s">
        <v>25</v>
      </c>
      <c r="O51" s="15">
        <v>4</v>
      </c>
      <c r="P51" s="35" t="s">
        <v>458</v>
      </c>
      <c r="Q51" s="35"/>
      <c r="R51" s="15"/>
      <c r="S51" s="24"/>
      <c r="T51" s="62" t="str">
        <f>+'TEB-144.055'!$J$4</f>
        <v>Joe Lucin</v>
      </c>
      <c r="U51" s="62"/>
      <c r="V51" s="94">
        <f>+'TEB-144.055'!$F$12</f>
        <v>9049324.666666666</v>
      </c>
      <c r="W51" s="165">
        <f t="shared" ref="W51:W60" si="47">+I51/V51</f>
        <v>0.91443287812195495</v>
      </c>
      <c r="X51" s="15"/>
      <c r="Y51" s="161">
        <f t="shared" ref="Y51:Y60" si="48">+I51/H51</f>
        <v>0.80731707317073176</v>
      </c>
      <c r="Z51" s="11" t="str">
        <f t="shared" ref="Z51:Z60" si="49">(IF(Y51&lt;$Y$3,"FAIL",IF(Y51&gt;$Y$4,"FAIL","GOOD")))</f>
        <v>FAIL</v>
      </c>
      <c r="AA51" s="11"/>
      <c r="AB51" s="15"/>
      <c r="AC51" s="239">
        <f>VLOOKUP(H51,ECON_ADJUSTMENT!J$2:W$240,12,FALSE)</f>
        <v>9329284.7783234045</v>
      </c>
      <c r="AD51" s="15" t="str">
        <f t="shared" si="7"/>
        <v>GOOD</v>
      </c>
      <c r="AE51" s="15"/>
      <c r="AF51" s="15"/>
      <c r="AG51" s="54">
        <f t="shared" ref="AG51:AG60" si="50">+H51</f>
        <v>10250000</v>
      </c>
      <c r="AH51" s="54">
        <f t="shared" ref="AH51:AH60" si="51">+I51</f>
        <v>8275000</v>
      </c>
      <c r="AI51" s="54">
        <f t="shared" ref="AI51:AI60" si="52">+AG51-AH51</f>
        <v>1975000</v>
      </c>
      <c r="AK51" s="4"/>
      <c r="AL51" s="4"/>
      <c r="AM51" s="192"/>
      <c r="AN51" s="193"/>
      <c r="AO51" s="168"/>
      <c r="AP51" s="168"/>
      <c r="AQ51" s="192"/>
      <c r="AR51" s="193"/>
      <c r="AS51" s="194"/>
    </row>
    <row r="52" spans="2:47" x14ac:dyDescent="0.25">
      <c r="B52" s="191"/>
      <c r="C52" s="39">
        <v>2018</v>
      </c>
      <c r="D52" s="62" t="str">
        <f>+'PAT-774.176'!$F$4</f>
        <v>PAT-774.176</v>
      </c>
      <c r="E52" s="63" t="str">
        <f>+'PAT-774.176'!$F$5</f>
        <v>HCMF-Replace Track Slab and Rehab of Parking Lots &amp; Roads</v>
      </c>
      <c r="F52" s="64">
        <f>+'PAT-774.176'!$F$6</f>
        <v>43441</v>
      </c>
      <c r="G52" s="65" t="str">
        <f>+'PAT-774.176'!$G$7</f>
        <v>Public</v>
      </c>
      <c r="H52" s="94">
        <f>+'PAT-774.176'!$F$7</f>
        <v>5000000</v>
      </c>
      <c r="I52" s="94">
        <f>+'PAT-774.176'!$F$8</f>
        <v>4380000</v>
      </c>
      <c r="J52" s="94"/>
      <c r="K52" s="148">
        <f>+'PAT-774.176'!$G$9</f>
        <v>-0.124</v>
      </c>
      <c r="L52" s="11" t="str">
        <f>+'PAT-774.176'!$F$11</f>
        <v>GOOD</v>
      </c>
      <c r="M52" s="15">
        <f>+'PAT-774.176'!$H$12</f>
        <v>4</v>
      </c>
      <c r="N52" s="35" t="s">
        <v>25</v>
      </c>
      <c r="O52" s="15">
        <v>4</v>
      </c>
      <c r="P52" s="35" t="s">
        <v>459</v>
      </c>
      <c r="Q52" s="35"/>
      <c r="R52" s="15"/>
      <c r="S52" s="24"/>
      <c r="T52" s="62" t="str">
        <f>+'PAT-774.176'!$J$4</f>
        <v>Nathan Demaisip</v>
      </c>
      <c r="U52" s="62"/>
      <c r="V52" s="94">
        <f>+'PAT-774.176'!$F$12</f>
        <v>5853509.5</v>
      </c>
      <c r="W52" s="165">
        <f t="shared" si="47"/>
        <v>0.74826905124182341</v>
      </c>
      <c r="X52" s="15"/>
      <c r="Y52" s="161">
        <f t="shared" si="48"/>
        <v>0.876</v>
      </c>
      <c r="Z52" s="11" t="str">
        <f t="shared" si="49"/>
        <v>GOOD</v>
      </c>
      <c r="AA52" s="11"/>
      <c r="AB52" s="15"/>
      <c r="AC52" s="239">
        <f>VLOOKUP(H52,ECON_ADJUSTMENT!J$2:W$240,12,FALSE)</f>
        <v>4761474.7624893449</v>
      </c>
      <c r="AD52" s="15" t="str">
        <f t="shared" si="7"/>
        <v>GOOD</v>
      </c>
      <c r="AE52" s="15"/>
      <c r="AF52" s="15"/>
      <c r="AG52" s="54">
        <f t="shared" si="50"/>
        <v>5000000</v>
      </c>
      <c r="AH52" s="54">
        <f t="shared" si="51"/>
        <v>4380000</v>
      </c>
      <c r="AI52" s="54">
        <f t="shared" si="52"/>
        <v>620000</v>
      </c>
      <c r="AK52" s="4"/>
      <c r="AL52" s="4"/>
      <c r="AM52" s="192"/>
      <c r="AN52" s="193"/>
      <c r="AO52" s="168"/>
      <c r="AP52" s="168"/>
      <c r="AQ52" s="192"/>
      <c r="AR52" s="193"/>
      <c r="AS52" s="194"/>
    </row>
    <row r="53" spans="2:47" x14ac:dyDescent="0.25">
      <c r="B53" s="191"/>
      <c r="C53" s="39">
        <v>2018</v>
      </c>
      <c r="D53" s="62" t="str">
        <f>+'PAT-214.013'!$F$4</f>
        <v>PAT-214.013</v>
      </c>
      <c r="E53" s="63" t="str">
        <f>+'PAT-214.013'!$F$5</f>
        <v>JSQ - Public Restroom Rehabilitation</v>
      </c>
      <c r="F53" s="64">
        <f>+'PAT-214.013'!$F$6</f>
        <v>43440</v>
      </c>
      <c r="G53" s="65" t="str">
        <f>+'PAT-214.013'!$G$7</f>
        <v>SBE</v>
      </c>
      <c r="H53" s="94">
        <f>+'PAT-214.013'!$F$7</f>
        <v>1500000</v>
      </c>
      <c r="I53" s="94">
        <f>+'PAT-214.013'!$F$8</f>
        <v>2546000</v>
      </c>
      <c r="J53" s="94"/>
      <c r="K53" s="148">
        <f>+'PAT-214.013'!$G$9</f>
        <v>0.69733333333333336</v>
      </c>
      <c r="L53" s="11" t="str">
        <f>+'PAT-214.013'!$F$11</f>
        <v>FAIL</v>
      </c>
      <c r="M53" s="15">
        <f>+'PAT-214.013'!$H$12</f>
        <v>3</v>
      </c>
      <c r="N53" s="35" t="s">
        <v>25</v>
      </c>
      <c r="O53" s="15">
        <v>4</v>
      </c>
      <c r="P53" s="35" t="s">
        <v>459</v>
      </c>
      <c r="Q53" s="35"/>
      <c r="R53" s="15"/>
      <c r="S53" s="24"/>
      <c r="T53" s="62" t="str">
        <f>+'PAT-214.013'!$J$4</f>
        <v>Nathan Demaisip</v>
      </c>
      <c r="U53" s="62"/>
      <c r="V53" s="94">
        <f>+'PAT-214.013'!$F$12</f>
        <v>4262816.666666667</v>
      </c>
      <c r="W53" s="165">
        <f t="shared" si="47"/>
        <v>0.59725768173625415</v>
      </c>
      <c r="X53" s="15"/>
      <c r="Y53" s="161">
        <f t="shared" si="48"/>
        <v>1.6973333333333334</v>
      </c>
      <c r="Z53" s="11" t="str">
        <f t="shared" si="49"/>
        <v>FAIL</v>
      </c>
      <c r="AA53" s="11"/>
      <c r="AB53" s="15"/>
      <c r="AC53" s="239">
        <f>VLOOKUP(H53,ECON_ADJUSTMENT!J$2:W$240,12,FALSE)</f>
        <v>3543419.5396068683</v>
      </c>
      <c r="AD53" s="15" t="str">
        <f t="shared" si="7"/>
        <v>GOOD</v>
      </c>
      <c r="AE53" s="15"/>
      <c r="AF53" s="15"/>
      <c r="AG53" s="54">
        <f t="shared" si="50"/>
        <v>1500000</v>
      </c>
      <c r="AH53" s="54">
        <f t="shared" si="51"/>
        <v>2546000</v>
      </c>
      <c r="AI53" s="54">
        <f t="shared" si="52"/>
        <v>-1046000</v>
      </c>
      <c r="AK53" s="4"/>
      <c r="AL53" s="4"/>
      <c r="AM53" s="192"/>
      <c r="AN53" s="193"/>
      <c r="AO53" s="168"/>
      <c r="AP53" s="168"/>
      <c r="AQ53" s="192"/>
      <c r="AR53" s="193"/>
      <c r="AS53" s="194"/>
    </row>
    <row r="54" spans="2:47" x14ac:dyDescent="0.25">
      <c r="B54" s="191"/>
      <c r="C54" s="39">
        <v>2018</v>
      </c>
      <c r="D54" s="62" t="str">
        <f>+'EWR-154.386'!$F$4</f>
        <v>EWR-154.386</v>
      </c>
      <c r="E54" s="63" t="str">
        <f>+'EWR-154.386'!$F$5</f>
        <v>Term A Redev - Airside Utilities and Paving South phase 2</v>
      </c>
      <c r="F54" s="64">
        <f>+'EWR-154.386'!$F$6</f>
        <v>43438</v>
      </c>
      <c r="G54" s="65" t="str">
        <f>+'EWR-154.386'!$G$7</f>
        <v>Public</v>
      </c>
      <c r="H54" s="94">
        <f>+'EWR-154.386'!$F$7</f>
        <v>122920000</v>
      </c>
      <c r="I54" s="94">
        <f>+'EWR-154.386'!$F$8</f>
        <v>119769038</v>
      </c>
      <c r="J54" s="94"/>
      <c r="K54" s="148">
        <f>+'EWR-154.386'!$G$9</f>
        <v>-2.5634249918646275E-2</v>
      </c>
      <c r="L54" s="11" t="str">
        <f>+'EWR-154.386'!$F$11</f>
        <v>GOOD</v>
      </c>
      <c r="M54" s="15">
        <f>+'EWR-154.386'!$H$12</f>
        <v>2</v>
      </c>
      <c r="N54" s="35" t="s">
        <v>25</v>
      </c>
      <c r="O54" s="15">
        <v>4</v>
      </c>
      <c r="P54" s="35" t="s">
        <v>458</v>
      </c>
      <c r="Q54" s="35"/>
      <c r="R54" s="15"/>
      <c r="S54" s="24"/>
      <c r="T54" s="62" t="str">
        <f>+'EWR-154.386'!$J$4</f>
        <v>Joe Lucin</v>
      </c>
      <c r="U54" s="62"/>
      <c r="V54" s="94">
        <f>+'EWR-154.386'!$F$12</f>
        <v>122138179</v>
      </c>
      <c r="W54" s="165">
        <f t="shared" si="47"/>
        <v>0.98060278105177912</v>
      </c>
      <c r="X54" s="15"/>
      <c r="Y54" s="161">
        <f t="shared" si="48"/>
        <v>0.97436575008135373</v>
      </c>
      <c r="Z54" s="11" t="str">
        <f t="shared" si="49"/>
        <v>GOOD</v>
      </c>
      <c r="AA54" s="11"/>
      <c r="AB54" s="15"/>
      <c r="AC54" s="239">
        <f>VLOOKUP(H54,ECON_ADJUSTMENT!J$2:W$240,12,FALSE)</f>
        <v>109741098.56635107</v>
      </c>
      <c r="AD54" s="15" t="str">
        <f t="shared" si="7"/>
        <v>GOOD</v>
      </c>
      <c r="AE54" s="15"/>
      <c r="AF54" s="15"/>
      <c r="AG54" s="54">
        <f t="shared" si="50"/>
        <v>122920000</v>
      </c>
      <c r="AH54" s="54">
        <f t="shared" si="51"/>
        <v>119769038</v>
      </c>
      <c r="AI54" s="54">
        <f t="shared" si="52"/>
        <v>3150962</v>
      </c>
      <c r="AK54" s="4"/>
      <c r="AL54" s="4"/>
      <c r="AM54" s="192"/>
      <c r="AN54" s="193"/>
      <c r="AO54" s="168"/>
      <c r="AP54" s="168"/>
      <c r="AQ54" s="192"/>
      <c r="AR54" s="193"/>
      <c r="AS54" s="194"/>
    </row>
    <row r="55" spans="2:47" x14ac:dyDescent="0.25">
      <c r="B55" s="191"/>
      <c r="C55" s="39">
        <v>2018</v>
      </c>
      <c r="D55" s="62" t="str">
        <f>+'LGA-124.269'!$F$4</f>
        <v>LGA-124.269</v>
      </c>
      <c r="E55" s="63" t="str">
        <f>+'LGA-124.269'!$F$5</f>
        <v>Hangar 7S Drainage Rehabilitation</v>
      </c>
      <c r="F55" s="64">
        <f>+'LGA-124.269'!$F$6</f>
        <v>43438</v>
      </c>
      <c r="G55" s="65" t="str">
        <f>+'LGA-124.269'!$G$7</f>
        <v>SBE</v>
      </c>
      <c r="H55" s="94">
        <f>+'LGA-124.269'!$F$7</f>
        <v>448000</v>
      </c>
      <c r="I55" s="94">
        <f>+'LGA-124.269'!$F$8</f>
        <v>432222</v>
      </c>
      <c r="J55" s="94"/>
      <c r="K55" s="148">
        <f>+'LGA-124.269'!$G$9</f>
        <v>-3.521875E-2</v>
      </c>
      <c r="L55" s="11" t="str">
        <f>+'LGA-124.269'!$F$11</f>
        <v>GOOD</v>
      </c>
      <c r="M55" s="15">
        <f>+'LGA-124.269'!$H$12</f>
        <v>6</v>
      </c>
      <c r="N55" s="35" t="s">
        <v>93</v>
      </c>
      <c r="O55" s="15">
        <v>4</v>
      </c>
      <c r="P55" s="35" t="s">
        <v>458</v>
      </c>
      <c r="Q55" s="35"/>
      <c r="R55" s="15"/>
      <c r="S55" s="24"/>
      <c r="T55" s="62" t="str">
        <f>+'LGA-124.269'!$J$4</f>
        <v>Joe Lucin</v>
      </c>
      <c r="U55" s="62"/>
      <c r="V55" s="94">
        <f>+'LGA-124.269'!$F$12</f>
        <v>792267</v>
      </c>
      <c r="W55" s="165">
        <f t="shared" si="47"/>
        <v>0.54555093169348212</v>
      </c>
      <c r="X55" s="15"/>
      <c r="Y55" s="161">
        <f t="shared" si="48"/>
        <v>0.96478125000000003</v>
      </c>
      <c r="Z55" s="11" t="str">
        <f t="shared" si="49"/>
        <v>GOOD</v>
      </c>
      <c r="AA55" s="11"/>
      <c r="AB55" s="15"/>
      <c r="AC55" s="239">
        <f>VLOOKUP(H55,ECON_ADJUSTMENT!J$2:W$240,12,FALSE)</f>
        <v>1255167.1561056965</v>
      </c>
      <c r="AD55" s="15" t="str">
        <f t="shared" si="7"/>
        <v>FAIL</v>
      </c>
      <c r="AE55" s="15"/>
      <c r="AF55" s="15"/>
      <c r="AG55" s="54">
        <f t="shared" si="50"/>
        <v>448000</v>
      </c>
      <c r="AH55" s="54">
        <f t="shared" si="51"/>
        <v>432222</v>
      </c>
      <c r="AI55" s="54">
        <f t="shared" si="52"/>
        <v>15778</v>
      </c>
      <c r="AK55" s="4"/>
      <c r="AL55" s="4"/>
      <c r="AM55" s="192"/>
      <c r="AN55" s="193"/>
      <c r="AO55" s="168"/>
      <c r="AP55" s="168"/>
      <c r="AQ55" s="192"/>
      <c r="AR55" s="193"/>
      <c r="AS55" s="194"/>
    </row>
    <row r="56" spans="2:47" x14ac:dyDescent="0.25">
      <c r="B56" s="191"/>
      <c r="C56" s="39">
        <v>2018</v>
      </c>
      <c r="D56" s="62" t="str">
        <f>+'LGA-124.268'!$F$4</f>
        <v>LGA-124.268</v>
      </c>
      <c r="E56" s="63" t="str">
        <f>+'LGA-124.268'!$F$5</f>
        <v>Patrol Road Drainage Rehabilitation</v>
      </c>
      <c r="F56" s="64">
        <f>+'LGA-124.268'!$F$6</f>
        <v>43433</v>
      </c>
      <c r="G56" s="65" t="str">
        <f>+'LGA-124.268'!$G$7</f>
        <v>SBE</v>
      </c>
      <c r="H56" s="94">
        <f>+'LGA-124.268'!$F$7</f>
        <v>287000</v>
      </c>
      <c r="I56" s="94">
        <f>+'LGA-124.268'!$F$8</f>
        <v>369034</v>
      </c>
      <c r="J56" s="94"/>
      <c r="K56" s="148">
        <f>+'LGA-124.268'!$G$9</f>
        <v>0.28583275261324043</v>
      </c>
      <c r="L56" s="11" t="str">
        <f>+'LGA-124.268'!$F$11</f>
        <v>FAIL</v>
      </c>
      <c r="M56" s="15">
        <f>+'LGA-124.268'!$H$12</f>
        <v>5</v>
      </c>
      <c r="N56" s="35" t="s">
        <v>93</v>
      </c>
      <c r="O56" s="15">
        <v>4</v>
      </c>
      <c r="P56" s="35" t="s">
        <v>458</v>
      </c>
      <c r="Q56" s="35"/>
      <c r="R56" s="15"/>
      <c r="S56" s="24"/>
      <c r="T56" s="62" t="str">
        <f>+'LGA-124.268'!$J$4</f>
        <v>Joe Lucin</v>
      </c>
      <c r="U56" s="62"/>
      <c r="V56" s="94">
        <f>+'LGA-124.268'!$F$12</f>
        <v>503308</v>
      </c>
      <c r="W56" s="165">
        <f t="shared" si="47"/>
        <v>0.73321703608923361</v>
      </c>
      <c r="X56" s="15"/>
      <c r="Y56" s="161">
        <f t="shared" si="48"/>
        <v>1.2858327526132405</v>
      </c>
      <c r="Z56" s="11" t="str">
        <f t="shared" si="49"/>
        <v>FAIL</v>
      </c>
      <c r="AA56" s="11"/>
      <c r="AB56" s="15"/>
      <c r="AC56" s="239">
        <f>VLOOKUP(H56,ECON_ADJUSTMENT!J$2:W$240,12,FALSE)</f>
        <v>1115087.648953452</v>
      </c>
      <c r="AD56" s="15" t="str">
        <f t="shared" si="7"/>
        <v>FAIL</v>
      </c>
      <c r="AE56" s="15"/>
      <c r="AF56" s="15"/>
      <c r="AG56" s="54">
        <f t="shared" si="50"/>
        <v>287000</v>
      </c>
      <c r="AH56" s="54">
        <f t="shared" si="51"/>
        <v>369034</v>
      </c>
      <c r="AI56" s="54">
        <f t="shared" si="52"/>
        <v>-82034</v>
      </c>
      <c r="AK56" s="4"/>
      <c r="AL56" s="4"/>
      <c r="AM56" s="192"/>
      <c r="AN56" s="193"/>
      <c r="AO56" s="168"/>
      <c r="AP56" s="168"/>
      <c r="AQ56" s="192"/>
      <c r="AR56" s="193"/>
      <c r="AS56" s="194"/>
    </row>
    <row r="57" spans="2:47" x14ac:dyDescent="0.25">
      <c r="B57" s="191"/>
      <c r="C57" s="39">
        <v>2018</v>
      </c>
      <c r="D57" s="62" t="str">
        <f>+'EWR-154.299'!$F$4</f>
        <v>EWR-154.299</v>
      </c>
      <c r="E57" s="63" t="str">
        <f>+'EWR-154.299'!$F$5</f>
        <v>Repl CHIRP North Electric Substation and Chiller Upgrades</v>
      </c>
      <c r="F57" s="64">
        <f>+'EWR-154.299'!$F$6</f>
        <v>43419</v>
      </c>
      <c r="G57" s="65" t="str">
        <f>+'EWR-154.299'!$G$7</f>
        <v>Public</v>
      </c>
      <c r="H57" s="94">
        <f>+'EWR-154.299'!$F$7</f>
        <v>12570000</v>
      </c>
      <c r="I57" s="94">
        <f>+'EWR-154.299'!$F$8</f>
        <v>9714000</v>
      </c>
      <c r="J57" s="94"/>
      <c r="K57" s="148">
        <f>+'EWR-154.299'!$G$9</f>
        <v>-0.22720763723150358</v>
      </c>
      <c r="L57" s="11" t="str">
        <f>+'EWR-154.299'!$F$11</f>
        <v>FAIL</v>
      </c>
      <c r="M57" s="15">
        <f>+'EWR-154.299'!$H$12</f>
        <v>4</v>
      </c>
      <c r="N57" s="35" t="s">
        <v>25</v>
      </c>
      <c r="O57" s="15">
        <v>4</v>
      </c>
      <c r="P57" s="35" t="s">
        <v>458</v>
      </c>
      <c r="Q57" s="35"/>
      <c r="R57" s="15"/>
      <c r="S57" s="24"/>
      <c r="T57" s="62" t="str">
        <f>+'EWR-154.299'!$J$4</f>
        <v>Joe Lucin</v>
      </c>
      <c r="U57" s="62"/>
      <c r="V57" s="94">
        <f>+'EWR-154.299'!$F$12</f>
        <v>10579250</v>
      </c>
      <c r="W57" s="165">
        <f t="shared" si="47"/>
        <v>0.91821253869603237</v>
      </c>
      <c r="X57" s="15"/>
      <c r="Y57" s="161">
        <f t="shared" si="48"/>
        <v>0.77279236276849639</v>
      </c>
      <c r="Z57" s="11" t="str">
        <f t="shared" si="49"/>
        <v>FAIL</v>
      </c>
      <c r="AA57" s="11"/>
      <c r="AB57" s="15"/>
      <c r="AC57" s="239">
        <f>VLOOKUP(H57,ECON_ADJUSTMENT!J$2:W$240,12,FALSE)</f>
        <v>11347821.775796741</v>
      </c>
      <c r="AD57" s="15" t="str">
        <f t="shared" si="7"/>
        <v>GOOD</v>
      </c>
      <c r="AE57" s="15"/>
      <c r="AF57" s="15"/>
      <c r="AG57" s="54">
        <f t="shared" si="50"/>
        <v>12570000</v>
      </c>
      <c r="AH57" s="54">
        <f t="shared" si="51"/>
        <v>9714000</v>
      </c>
      <c r="AI57" s="54">
        <f t="shared" si="52"/>
        <v>2856000</v>
      </c>
      <c r="AK57" s="4"/>
      <c r="AL57" s="4"/>
      <c r="AM57" s="192"/>
      <c r="AN57" s="193"/>
      <c r="AO57" s="168"/>
      <c r="AP57" s="168"/>
      <c r="AQ57" s="192"/>
      <c r="AR57" s="193"/>
      <c r="AS57" s="194"/>
    </row>
    <row r="58" spans="2:47" x14ac:dyDescent="0.25">
      <c r="B58" s="191"/>
      <c r="C58" s="39">
        <v>2018</v>
      </c>
      <c r="D58" s="62" t="str">
        <f>+'JFK-164.020'!$F$4</f>
        <v>JFK-164.020</v>
      </c>
      <c r="E58" s="63" t="str">
        <f>+'JFK-164.020'!$F$5</f>
        <v>Reconstruct Runway 13L-31R and Associated Taxiways</v>
      </c>
      <c r="F58" s="64">
        <f>+'JFK-164.020'!$F$6</f>
        <v>43413</v>
      </c>
      <c r="G58" s="65" t="str">
        <f>+'JFK-164.020'!$G$7</f>
        <v>Public</v>
      </c>
      <c r="H58" s="94">
        <f>+'JFK-164.020'!$F$7</f>
        <v>186355200</v>
      </c>
      <c r="I58" s="94">
        <f>+'JFK-164.020'!$F$8</f>
        <v>152100000</v>
      </c>
      <c r="J58" s="94"/>
      <c r="K58" s="148">
        <f>+'JFK-164.020'!$G$9</f>
        <v>-0.18381671131259014</v>
      </c>
      <c r="L58" s="11" t="str">
        <f>+'JFK-164.020'!$F$11</f>
        <v>FAIL</v>
      </c>
      <c r="M58" s="15">
        <f>+'JFK-164.020'!$H$12</f>
        <v>3</v>
      </c>
      <c r="N58" s="35" t="s">
        <v>93</v>
      </c>
      <c r="O58" s="15">
        <v>4</v>
      </c>
      <c r="P58" s="35" t="s">
        <v>458</v>
      </c>
      <c r="Q58" s="35"/>
      <c r="R58" s="15"/>
      <c r="S58" s="24"/>
      <c r="T58" s="62" t="str">
        <f>+'JFK-164.020'!$J$4</f>
        <v>Wen Chang</v>
      </c>
      <c r="U58" s="62"/>
      <c r="V58" s="94">
        <f>+'JFK-164.020'!$F$12</f>
        <v>157872084</v>
      </c>
      <c r="W58" s="165">
        <f t="shared" si="47"/>
        <v>0.96343822255491351</v>
      </c>
      <c r="X58" s="15"/>
      <c r="Y58" s="161">
        <f t="shared" si="48"/>
        <v>0.81618328868740986</v>
      </c>
      <c r="Z58" s="11" t="str">
        <f t="shared" si="49"/>
        <v>FAIL</v>
      </c>
      <c r="AA58" s="11"/>
      <c r="AB58" s="15"/>
      <c r="AC58" s="239">
        <f>VLOOKUP(H58,ECON_ADJUSTMENT!J$2:W$240,12,FALSE)</f>
        <v>164933468.45519617</v>
      </c>
      <c r="AD58" s="15" t="str">
        <f t="shared" si="7"/>
        <v>GOOD</v>
      </c>
      <c r="AE58" s="15"/>
      <c r="AF58" s="15"/>
      <c r="AG58" s="54">
        <f t="shared" si="50"/>
        <v>186355200</v>
      </c>
      <c r="AH58" s="54">
        <f t="shared" si="51"/>
        <v>152100000</v>
      </c>
      <c r="AI58" s="54">
        <f t="shared" si="52"/>
        <v>34255200</v>
      </c>
      <c r="AK58" s="4"/>
      <c r="AL58" s="4"/>
      <c r="AM58" s="192"/>
      <c r="AN58" s="193"/>
      <c r="AO58" s="168"/>
      <c r="AP58" s="168"/>
      <c r="AQ58" s="192"/>
      <c r="AR58" s="193"/>
      <c r="AS58" s="194"/>
    </row>
    <row r="59" spans="2:47" x14ac:dyDescent="0.25">
      <c r="B59" s="191"/>
      <c r="C59" s="39">
        <v>2018</v>
      </c>
      <c r="D59" s="62" t="str">
        <f>+'LGA-924.120'!$F$4</f>
        <v>LGA-924.120</v>
      </c>
      <c r="E59" s="63" t="str">
        <f>+'LGA-924.120'!$F$5</f>
        <v>Runway Instrument Landing &amp; Approach Lighting Pier Repairs</v>
      </c>
      <c r="F59" s="64">
        <f>+'LGA-924.120'!$F$6</f>
        <v>43412</v>
      </c>
      <c r="G59" s="65" t="str">
        <f>+'LGA-924.120'!$G$7</f>
        <v>Public</v>
      </c>
      <c r="H59" s="94">
        <f>+'LGA-924.120'!$F$7</f>
        <v>784000</v>
      </c>
      <c r="I59" s="94">
        <f>+'LGA-924.120'!$F$8</f>
        <v>968530</v>
      </c>
      <c r="J59" s="94"/>
      <c r="K59" s="148">
        <f>+'LGA-924.120'!$G$9</f>
        <v>0.23536989795918367</v>
      </c>
      <c r="L59" s="11" t="str">
        <f>+'LGA-924.120'!$F$11</f>
        <v>FAIL</v>
      </c>
      <c r="M59" s="15">
        <f>+'LGA-924.120'!$H$12</f>
        <v>3</v>
      </c>
      <c r="N59" s="35" t="s">
        <v>93</v>
      </c>
      <c r="O59" s="15">
        <v>4</v>
      </c>
      <c r="P59" s="35" t="s">
        <v>458</v>
      </c>
      <c r="Q59" s="35"/>
      <c r="R59" s="15"/>
      <c r="S59" s="24"/>
      <c r="T59" s="62" t="str">
        <f>+'LGA-924.120'!$J$4</f>
        <v>Joe Lucin</v>
      </c>
      <c r="U59" s="62"/>
      <c r="V59" s="94">
        <f>+'LGA-924.120'!$F$12</f>
        <v>1009710</v>
      </c>
      <c r="W59" s="165">
        <f t="shared" si="47"/>
        <v>0.9592160125184459</v>
      </c>
      <c r="X59" s="15"/>
      <c r="Y59" s="161">
        <f t="shared" si="48"/>
        <v>1.2353698979591836</v>
      </c>
      <c r="Z59" s="11" t="str">
        <f t="shared" si="49"/>
        <v>FAIL</v>
      </c>
      <c r="AA59" s="11"/>
      <c r="AB59" s="15"/>
      <c r="AC59" s="239">
        <f>VLOOKUP(H59,ECON_ADJUSTMENT!J$2:W$240,12,FALSE)</f>
        <v>-372210.75672070379</v>
      </c>
      <c r="AD59" s="15" t="str">
        <f t="shared" si="7"/>
        <v>FAIL</v>
      </c>
      <c r="AE59" s="15"/>
      <c r="AF59" s="15"/>
      <c r="AG59" s="54">
        <f t="shared" si="50"/>
        <v>784000</v>
      </c>
      <c r="AH59" s="54">
        <f t="shared" si="51"/>
        <v>968530</v>
      </c>
      <c r="AI59" s="54">
        <f t="shared" si="52"/>
        <v>-184530</v>
      </c>
      <c r="AK59" s="4"/>
      <c r="AL59" s="4"/>
      <c r="AM59" s="192"/>
      <c r="AN59" s="193"/>
      <c r="AO59" s="168"/>
      <c r="AP59" s="168"/>
      <c r="AQ59" s="192"/>
      <c r="AR59" s="193"/>
      <c r="AS59" s="194"/>
    </row>
    <row r="60" spans="2:47" x14ac:dyDescent="0.25">
      <c r="B60" s="191"/>
      <c r="C60" s="39">
        <v>2018</v>
      </c>
      <c r="D60" s="62" t="str">
        <f>+'PAT-024.200'!$F$4</f>
        <v>PAT-024.200</v>
      </c>
      <c r="E60" s="63" t="str">
        <f>+'PAT-024.200'!$F$5</f>
        <v>Upgrade of Fire Supression System</v>
      </c>
      <c r="F60" s="64">
        <f>+'PAT-024.200'!$F$6</f>
        <v>43412</v>
      </c>
      <c r="G60" s="65" t="str">
        <f>+'PAT-024.200'!$G$7</f>
        <v>Public</v>
      </c>
      <c r="H60" s="94">
        <f>+'PAT-024.200'!$F$7</f>
        <v>9720000</v>
      </c>
      <c r="I60" s="94">
        <f>+'PAT-024.200'!$F$8</f>
        <v>7666000</v>
      </c>
      <c r="J60" s="94"/>
      <c r="K60" s="148">
        <f>+'PAT-024.200'!$G$9</f>
        <v>-0.21131687242798353</v>
      </c>
      <c r="L60" s="11" t="str">
        <f>+'PAT-024.200'!$F$11</f>
        <v>FAIL</v>
      </c>
      <c r="M60" s="15">
        <f>+'PAT-024.200'!$H$12</f>
        <v>4</v>
      </c>
      <c r="N60" s="35" t="s">
        <v>226</v>
      </c>
      <c r="O60" s="15">
        <v>4</v>
      </c>
      <c r="P60" s="35" t="s">
        <v>459</v>
      </c>
      <c r="Q60" s="35"/>
      <c r="R60" s="15"/>
      <c r="S60" s="24"/>
      <c r="T60" s="62" t="str">
        <f>+'PAT-024.200'!$J$4</f>
        <v>Nathan Demaisip</v>
      </c>
      <c r="U60" s="62"/>
      <c r="V60" s="94">
        <f>+'PAT-024.200'!$F$12</f>
        <v>8557038.75</v>
      </c>
      <c r="W60" s="165">
        <f t="shared" si="47"/>
        <v>0.89587066553835581</v>
      </c>
      <c r="X60" s="15"/>
      <c r="Y60" s="161">
        <f t="shared" si="48"/>
        <v>0.78868312757201642</v>
      </c>
      <c r="Z60" s="11" t="str">
        <f t="shared" si="49"/>
        <v>FAIL</v>
      </c>
      <c r="AA60" s="11"/>
      <c r="AB60" s="15"/>
      <c r="AC60" s="239">
        <f>VLOOKUP(H60,ECON_ADJUSTMENT!J$2:W$240,12,FALSE)</f>
        <v>8868153.4814868234</v>
      </c>
      <c r="AD60" s="15" t="str">
        <f t="shared" si="7"/>
        <v>GOOD</v>
      </c>
      <c r="AE60" s="15"/>
      <c r="AF60" s="15"/>
      <c r="AG60" s="54">
        <f t="shared" si="50"/>
        <v>9720000</v>
      </c>
      <c r="AH60" s="54">
        <f t="shared" si="51"/>
        <v>7666000</v>
      </c>
      <c r="AI60" s="54">
        <f t="shared" si="52"/>
        <v>2054000</v>
      </c>
      <c r="AK60" s="4"/>
      <c r="AL60" s="4"/>
      <c r="AM60" s="192"/>
      <c r="AN60" s="193"/>
      <c r="AO60" s="168"/>
      <c r="AP60" s="168"/>
      <c r="AQ60" s="192"/>
      <c r="AR60" s="193"/>
      <c r="AS60" s="194"/>
    </row>
    <row r="61" spans="2:47" x14ac:dyDescent="0.25">
      <c r="B61" s="191"/>
      <c r="C61" s="39">
        <v>2018</v>
      </c>
      <c r="D61" s="62" t="str">
        <f>+'AK-196 Void'!$F$4</f>
        <v>AK-196</v>
      </c>
      <c r="E61" s="63" t="str">
        <f>+'AK-196 Void'!$F$5</f>
        <v>SI Bridges - Maintenance Pavement Repairs via Work Order</v>
      </c>
      <c r="F61" s="64">
        <f>+'AK-196 Void'!$F$6</f>
        <v>43411</v>
      </c>
      <c r="G61" s="65"/>
      <c r="H61" s="94"/>
      <c r="I61" s="94"/>
      <c r="J61" s="27"/>
      <c r="K61" s="26"/>
      <c r="L61" s="11"/>
      <c r="M61" s="15"/>
      <c r="N61" s="35"/>
      <c r="O61" s="15"/>
      <c r="P61" s="35"/>
      <c r="Q61" s="35"/>
      <c r="R61" s="15"/>
      <c r="S61" s="24" t="s">
        <v>227</v>
      </c>
      <c r="T61" s="62"/>
      <c r="U61" s="62"/>
      <c r="V61" s="94"/>
      <c r="W61" s="165"/>
      <c r="X61" s="15"/>
      <c r="Y61" s="161"/>
      <c r="Z61" s="11"/>
      <c r="AA61" s="11"/>
      <c r="AB61" s="15"/>
      <c r="AC61" s="239"/>
      <c r="AD61" s="15"/>
      <c r="AE61" s="15"/>
      <c r="AF61" s="15"/>
      <c r="AG61" s="54"/>
      <c r="AH61" s="54"/>
      <c r="AI61" s="54"/>
      <c r="AL61" s="4"/>
      <c r="AM61" s="192"/>
      <c r="AN61" s="193"/>
      <c r="AO61" s="168"/>
      <c r="AP61" s="168"/>
      <c r="AQ61" s="192"/>
      <c r="AR61" s="193"/>
      <c r="AS61" s="194"/>
    </row>
    <row r="62" spans="2:47" x14ac:dyDescent="0.25">
      <c r="B62" s="191"/>
      <c r="C62" s="39">
        <v>2018</v>
      </c>
      <c r="D62" s="62" t="str">
        <f>+'HT-224.125'!$F$4</f>
        <v>HT-224.125</v>
      </c>
      <c r="E62" s="63" t="str">
        <f>+'HT-224.125'!$F$5</f>
        <v>NY Emergency Garage Bldg - Parapet Repairs and Roof Replacement</v>
      </c>
      <c r="F62" s="64">
        <f>+'HT-224.125'!$F$6</f>
        <v>43410</v>
      </c>
      <c r="G62" s="65" t="str">
        <f>+'HT-224.125'!$G$7</f>
        <v>SBE</v>
      </c>
      <c r="H62" s="94">
        <f>+'HT-224.125'!$F$7</f>
        <v>2215000</v>
      </c>
      <c r="I62" s="94">
        <f>+'HT-224.125'!$F$8</f>
        <v>1984098</v>
      </c>
      <c r="J62" s="94"/>
      <c r="K62" s="148">
        <f>+'HT-224.125'!$G$9</f>
        <v>-0.10424469525959368</v>
      </c>
      <c r="L62" s="11" t="str">
        <f>+'HT-224.125'!$F$11</f>
        <v>GOOD</v>
      </c>
      <c r="M62" s="15">
        <f>+'HT-224.125'!$H$12</f>
        <v>4</v>
      </c>
      <c r="N62" s="35" t="s">
        <v>93</v>
      </c>
      <c r="O62" s="15">
        <v>4</v>
      </c>
      <c r="P62" s="35" t="s">
        <v>457</v>
      </c>
      <c r="Q62" s="35"/>
      <c r="R62" s="15"/>
      <c r="S62" s="24"/>
      <c r="T62" s="62" t="str">
        <f>+'HT-224.125'!$J$4</f>
        <v>Aye Thann</v>
      </c>
      <c r="U62" s="62"/>
      <c r="V62" s="94">
        <f>+'HT-224.125'!$F$12</f>
        <v>2858292.5</v>
      </c>
      <c r="W62" s="165">
        <f>+I62/V62</f>
        <v>0.69415498938614573</v>
      </c>
      <c r="X62" s="15"/>
      <c r="Y62" s="161">
        <f>+I62/H62</f>
        <v>0.89575530474040632</v>
      </c>
      <c r="Z62" s="11" t="str">
        <f>(IF(Y62&lt;$Y$3,"FAIL",IF(Y62&gt;$Y$4,"FAIL","GOOD")))</f>
        <v>GOOD</v>
      </c>
      <c r="AA62" s="11"/>
      <c r="AB62" s="15"/>
      <c r="AC62" s="239">
        <f>VLOOKUP(H62,ECON_ADJUSTMENT!J$2:W$240,12,FALSE)</f>
        <v>3423928.2094751317</v>
      </c>
      <c r="AD62" s="15" t="str">
        <f t="shared" si="7"/>
        <v>FAIL</v>
      </c>
      <c r="AE62" s="15"/>
      <c r="AF62" s="15"/>
      <c r="AG62" s="54">
        <f t="shared" ref="AG62:AH64" si="53">+H62</f>
        <v>2215000</v>
      </c>
      <c r="AH62" s="54">
        <f t="shared" si="53"/>
        <v>1984098</v>
      </c>
      <c r="AI62" s="54">
        <f>+AG62-AH62</f>
        <v>230902</v>
      </c>
      <c r="AK62" s="4"/>
      <c r="AL62" s="4"/>
      <c r="AM62" s="192"/>
      <c r="AN62" s="193"/>
      <c r="AO62" s="168"/>
      <c r="AP62" s="168"/>
      <c r="AQ62" s="192"/>
      <c r="AR62" s="193"/>
      <c r="AS62" s="194"/>
    </row>
    <row r="63" spans="2:47" x14ac:dyDescent="0.25">
      <c r="B63" s="191"/>
      <c r="C63" s="39">
        <v>2018</v>
      </c>
      <c r="D63" s="62" t="str">
        <f>+'PAT-774.174'!$F$4</f>
        <v>PAT-774.174</v>
      </c>
      <c r="E63" s="63" t="str">
        <f>+'PAT-774.174'!$F$5</f>
        <v>Grove Street Headhouse Permanent Flood Protection</v>
      </c>
      <c r="F63" s="64">
        <f>+'PAT-774.174'!$F$6</f>
        <v>43405</v>
      </c>
      <c r="G63" s="65" t="str">
        <f>+'PAT-774.174'!$G$7</f>
        <v>Public</v>
      </c>
      <c r="H63" s="94">
        <f>+'PAT-774.174'!$F$7</f>
        <v>9650000</v>
      </c>
      <c r="I63" s="94">
        <f>+'PAT-774.174'!$F$8</f>
        <v>9200000</v>
      </c>
      <c r="J63" s="94"/>
      <c r="K63" s="148">
        <f>+'PAT-774.174'!$G$9</f>
        <v>-4.6632124352331605E-2</v>
      </c>
      <c r="L63" s="11" t="str">
        <f>+'PAT-774.174'!$F$11</f>
        <v>GOOD</v>
      </c>
      <c r="M63" s="15">
        <f>+'PAT-774.174'!$H$12</f>
        <v>1</v>
      </c>
      <c r="N63" s="35" t="s">
        <v>25</v>
      </c>
      <c r="O63" s="15">
        <v>4</v>
      </c>
      <c r="P63" s="35" t="s">
        <v>459</v>
      </c>
      <c r="Q63" s="35"/>
      <c r="R63" s="15"/>
      <c r="S63" s="24" t="s">
        <v>1436</v>
      </c>
      <c r="T63" s="62" t="str">
        <f>+'PAT-774.174'!$J$4</f>
        <v>Nathan Demaisip</v>
      </c>
      <c r="U63" s="62"/>
      <c r="V63" s="94">
        <f>+'PAT-774.174'!$F$12</f>
        <v>9200000</v>
      </c>
      <c r="W63" s="165">
        <f>+I63/V63</f>
        <v>1</v>
      </c>
      <c r="X63" s="15"/>
      <c r="Y63" s="161">
        <f>+I63/H63</f>
        <v>0.95336787564766834</v>
      </c>
      <c r="Z63" s="11" t="str">
        <f>(IF(Y63&lt;$Y$3,"FAIL",IF(Y63&gt;$Y$4,"FAIL","GOOD")))</f>
        <v>GOOD</v>
      </c>
      <c r="AA63" s="11"/>
      <c r="AB63" s="15"/>
      <c r="AC63" s="239">
        <f>VLOOKUP(H63,ECON_ADJUSTMENT!J$2:W$240,12,FALSE)</f>
        <v>8807249.3479423691</v>
      </c>
      <c r="AD63" s="15" t="str">
        <f t="shared" si="7"/>
        <v>GOOD</v>
      </c>
      <c r="AE63" s="15"/>
      <c r="AF63" s="15"/>
      <c r="AG63" s="54">
        <f t="shared" si="53"/>
        <v>9650000</v>
      </c>
      <c r="AH63" s="54">
        <f t="shared" si="53"/>
        <v>9200000</v>
      </c>
      <c r="AI63" s="54">
        <f>+AG63-AH63</f>
        <v>450000</v>
      </c>
      <c r="AK63" s="4"/>
      <c r="AL63" s="4"/>
      <c r="AM63" s="192"/>
      <c r="AN63" s="193"/>
      <c r="AO63" s="168"/>
      <c r="AP63" s="168"/>
      <c r="AQ63" s="192"/>
      <c r="AR63" s="193"/>
      <c r="AS63" s="194"/>
    </row>
    <row r="64" spans="2:47" x14ac:dyDescent="0.25">
      <c r="B64" s="191"/>
      <c r="C64" s="39">
        <v>2018</v>
      </c>
      <c r="D64" s="62" t="str">
        <f>+'PAT-784.175'!$F$4</f>
        <v>PAT-784.175</v>
      </c>
      <c r="E64" s="63" t="str">
        <f>+'PAT-784.175'!$F$5</f>
        <v>Extend C-Yard Rail Bridge over Waldo Tunnel Portal</v>
      </c>
      <c r="F64" s="64">
        <f>+'PAT-784.175'!$F$6</f>
        <v>43404</v>
      </c>
      <c r="G64" s="65" t="str">
        <f>+'PAT-784.175'!$G$7</f>
        <v>Public</v>
      </c>
      <c r="H64" s="94">
        <f>+'PAT-784.175'!$F$7</f>
        <v>6500000</v>
      </c>
      <c r="I64" s="94">
        <f>+'PAT-784.175'!$F$8</f>
        <v>4149491</v>
      </c>
      <c r="J64" s="94"/>
      <c r="K64" s="148">
        <f>+'PAT-784.175'!$G$9</f>
        <v>-0.36161676923076924</v>
      </c>
      <c r="L64" s="11" t="str">
        <f>+'PAT-784.175'!$F$11</f>
        <v>FAIL</v>
      </c>
      <c r="M64" s="15">
        <f>+'PAT-784.175'!$H$12</f>
        <v>8</v>
      </c>
      <c r="N64" s="35" t="s">
        <v>25</v>
      </c>
      <c r="O64" s="15">
        <v>4</v>
      </c>
      <c r="P64" s="35" t="s">
        <v>459</v>
      </c>
      <c r="Q64" s="35"/>
      <c r="R64" s="15"/>
      <c r="S64" s="24" t="s">
        <v>932</v>
      </c>
      <c r="T64" s="62" t="str">
        <f>+'PAT-784.175'!$J$4</f>
        <v>Nathan Demaisip</v>
      </c>
      <c r="U64" s="62"/>
      <c r="V64" s="94">
        <f>+'PAT-784.175'!$F$12</f>
        <v>5708325.25</v>
      </c>
      <c r="W64" s="165">
        <f>+I64/V64</f>
        <v>0.72691916074684082</v>
      </c>
      <c r="X64" s="15"/>
      <c r="Y64" s="161">
        <f>+I64/H64</f>
        <v>0.63838323076923076</v>
      </c>
      <c r="Z64" s="11" t="str">
        <f>(IF(Y64&lt;$Y$3,"FAIL",IF(Y64&gt;$Y$4,"FAIL","GOOD")))</f>
        <v>FAIL</v>
      </c>
      <c r="AA64" s="11"/>
      <c r="AB64" s="15"/>
      <c r="AC64" s="239">
        <f>VLOOKUP(H64,ECON_ADJUSTMENT!J$2:W$240,12,FALSE)</f>
        <v>6066563.3384419344</v>
      </c>
      <c r="AD64" s="15" t="str">
        <f t="shared" si="7"/>
        <v>GOOD</v>
      </c>
      <c r="AE64" s="15"/>
      <c r="AF64" s="15"/>
      <c r="AG64" s="54">
        <f t="shared" si="53"/>
        <v>6500000</v>
      </c>
      <c r="AH64" s="54">
        <f t="shared" si="53"/>
        <v>4149491</v>
      </c>
      <c r="AI64" s="54">
        <f>+AG64-AH64</f>
        <v>2350509</v>
      </c>
      <c r="AK64" s="4"/>
      <c r="AL64" s="4"/>
      <c r="AM64" s="192"/>
      <c r="AN64" s="193"/>
      <c r="AO64" s="168"/>
      <c r="AP64" s="168"/>
      <c r="AQ64" s="192"/>
      <c r="AR64" s="193"/>
      <c r="AS64" s="194"/>
    </row>
    <row r="65" spans="2:47" x14ac:dyDescent="0.25">
      <c r="B65" s="191"/>
      <c r="C65" s="39">
        <v>2018</v>
      </c>
      <c r="D65" s="62" t="str">
        <f>+'EWR-154.306 Void'!$F$4</f>
        <v>EWR-154.306</v>
      </c>
      <c r="E65" s="63" t="str">
        <f>+'EWR-154.306 Void'!$F$5</f>
        <v>Rehabilitation of Runway 11-29</v>
      </c>
      <c r="F65" s="64">
        <f>+'EWR-154.306 Void'!$F$6</f>
        <v>43398</v>
      </c>
      <c r="G65" s="65"/>
      <c r="H65" s="94"/>
      <c r="I65" s="94"/>
      <c r="J65" s="27"/>
      <c r="K65" s="26"/>
      <c r="L65" s="11"/>
      <c r="M65" s="15"/>
      <c r="N65" s="35"/>
      <c r="O65" s="15"/>
      <c r="P65" s="35"/>
      <c r="Q65" s="35"/>
      <c r="R65" s="15"/>
      <c r="S65" s="24" t="s">
        <v>227</v>
      </c>
      <c r="T65" s="62"/>
      <c r="U65" s="62"/>
      <c r="V65" s="94"/>
      <c r="W65" s="165"/>
      <c r="X65" s="15"/>
      <c r="Y65" s="161"/>
      <c r="Z65" s="11"/>
      <c r="AA65" s="11"/>
      <c r="AB65" s="15"/>
      <c r="AC65" s="239"/>
      <c r="AD65" s="15"/>
      <c r="AE65" s="15"/>
      <c r="AF65" s="15"/>
      <c r="AG65" s="54"/>
      <c r="AH65" s="54"/>
      <c r="AI65" s="54"/>
      <c r="AQ65" s="192"/>
      <c r="AR65" s="193"/>
      <c r="AS65" s="194"/>
    </row>
    <row r="66" spans="2:47" x14ac:dyDescent="0.25">
      <c r="B66" s="191"/>
      <c r="C66" s="39">
        <v>2018</v>
      </c>
      <c r="D66" s="62" t="str">
        <f>+'PAT-630'!$F$4</f>
        <v>PAT-630</v>
      </c>
      <c r="E66" s="63" t="str">
        <f>+'PAT-630'!$F$5</f>
        <v>South Street Compressor Upgrade</v>
      </c>
      <c r="F66" s="64">
        <f>+'PAT-630'!$F$6</f>
        <v>43397</v>
      </c>
      <c r="G66" s="65" t="str">
        <f>+'PAT-630'!$G$7</f>
        <v>Public</v>
      </c>
      <c r="H66" s="94">
        <f>+'PAT-630'!$F$7</f>
        <v>2971000</v>
      </c>
      <c r="I66" s="94">
        <f>+'PAT-630'!$F$8</f>
        <v>2384000</v>
      </c>
      <c r="J66" s="94"/>
      <c r="K66" s="148">
        <f>+'PAT-630'!$G$9</f>
        <v>-0.1975765735442612</v>
      </c>
      <c r="L66" s="11" t="str">
        <f>+'PAT-630'!$F$11</f>
        <v>GOOD</v>
      </c>
      <c r="M66" s="15">
        <f>+'PAT-630'!$H$12</f>
        <v>2</v>
      </c>
      <c r="N66" s="35" t="s">
        <v>25</v>
      </c>
      <c r="O66" s="15">
        <v>4</v>
      </c>
      <c r="P66" s="35" t="s">
        <v>459</v>
      </c>
      <c r="Q66" s="35"/>
      <c r="R66" s="15"/>
      <c r="S66" s="24"/>
      <c r="T66" s="62" t="str">
        <f>+'PAT-630'!$J$4</f>
        <v>Nathan Demaisip</v>
      </c>
      <c r="U66" s="62"/>
      <c r="V66" s="94">
        <f>+'PAT-630'!$F$12</f>
        <v>3291500</v>
      </c>
      <c r="W66" s="165">
        <f>+I66/V66</f>
        <v>0.72428983746012454</v>
      </c>
      <c r="X66" s="15"/>
      <c r="Y66" s="161">
        <f>+I66/H66</f>
        <v>0.80242342645573883</v>
      </c>
      <c r="Z66" s="11" t="str">
        <f>(IF(Y66&lt;$Y$3,"FAIL",IF(Y66&gt;$Y$4,"FAIL","GOOD")))</f>
        <v>FAIL</v>
      </c>
      <c r="AA66" s="11"/>
      <c r="AB66" s="15"/>
      <c r="AC66" s="239">
        <f>VLOOKUP(H66,ECON_ADJUSTMENT!J$2:W$240,12,FALSE)</f>
        <v>2903558.6492512599</v>
      </c>
      <c r="AD66" s="15" t="str">
        <f t="shared" si="7"/>
        <v>GOOD</v>
      </c>
      <c r="AE66" s="15"/>
      <c r="AF66" s="15"/>
      <c r="AG66" s="54">
        <f t="shared" ref="AG66:AH68" si="54">+H66</f>
        <v>2971000</v>
      </c>
      <c r="AH66" s="54">
        <f t="shared" si="54"/>
        <v>2384000</v>
      </c>
      <c r="AI66" s="54">
        <f>+AG66-AH66</f>
        <v>587000</v>
      </c>
      <c r="AK66" s="4"/>
      <c r="AL66" s="4"/>
      <c r="AM66" s="192"/>
      <c r="AN66" s="193"/>
      <c r="AO66" s="168"/>
      <c r="AP66" s="168"/>
      <c r="AQ66" s="192"/>
      <c r="AR66" s="193"/>
      <c r="AS66" s="194"/>
    </row>
    <row r="67" spans="2:47" x14ac:dyDescent="0.25">
      <c r="B67" s="191"/>
      <c r="C67" s="39">
        <v>2018</v>
      </c>
      <c r="D67" s="62" t="str">
        <f>+'BT-254.153'!$F$4</f>
        <v>BT-254.153</v>
      </c>
      <c r="E67" s="63" t="str">
        <f>+'BT-254.153'!$F$5</f>
        <v>Partial South Wing 3rd Flr Wearing Course and Waterproof Membrane</v>
      </c>
      <c r="F67" s="64">
        <f>+'BT-254.153'!$F$6</f>
        <v>43391</v>
      </c>
      <c r="G67" s="65" t="str">
        <f>+'BT-254.153'!$G$7</f>
        <v>Public</v>
      </c>
      <c r="H67" s="94">
        <f>+'BT-254.153'!$F$7</f>
        <v>7950000</v>
      </c>
      <c r="I67" s="94">
        <f>+'BT-254.153'!$F$8</f>
        <v>6875775</v>
      </c>
      <c r="J67" s="94"/>
      <c r="K67" s="148">
        <f>+'BT-254.153'!$G$9</f>
        <v>-0.13512264150943396</v>
      </c>
      <c r="L67" s="11" t="str">
        <f>+'BT-254.153'!$F$11</f>
        <v>GOOD</v>
      </c>
      <c r="M67" s="15">
        <f>+'BT-254.153'!$H$12</f>
        <v>2</v>
      </c>
      <c r="N67" s="35" t="s">
        <v>93</v>
      </c>
      <c r="O67" s="15">
        <v>4</v>
      </c>
      <c r="P67" s="35" t="s">
        <v>457</v>
      </c>
      <c r="Q67" s="35"/>
      <c r="R67" s="15"/>
      <c r="S67" s="24"/>
      <c r="T67" s="62" t="str">
        <f>+'BT-254.153'!$J$4</f>
        <v>Boris Lenderman</v>
      </c>
      <c r="U67" s="62"/>
      <c r="V67" s="94">
        <f>+'BT-254.153'!$F$12</f>
        <v>7451400</v>
      </c>
      <c r="W67" s="165">
        <f>+I67/V67</f>
        <v>0.92274941621708673</v>
      </c>
      <c r="X67" s="15"/>
      <c r="Y67" s="161">
        <f>+I67/H67</f>
        <v>0.86487735849056602</v>
      </c>
      <c r="Z67" s="11" t="str">
        <f>(IF(Y67&lt;$Y$3,"FAIL",IF(Y67&gt;$Y$4,"FAIL","GOOD")))</f>
        <v>GOOD</v>
      </c>
      <c r="AA67" s="11"/>
      <c r="AB67" s="15"/>
      <c r="AC67" s="239">
        <f>VLOOKUP(H67,ECON_ADJUSTMENT!J$2:W$240,12,FALSE)</f>
        <v>7328148.961862769</v>
      </c>
      <c r="AD67" s="15" t="str">
        <f t="shared" si="7"/>
        <v>GOOD</v>
      </c>
      <c r="AE67" s="15"/>
      <c r="AF67" s="15"/>
      <c r="AG67" s="54">
        <f t="shared" si="54"/>
        <v>7950000</v>
      </c>
      <c r="AH67" s="54">
        <f t="shared" si="54"/>
        <v>6875775</v>
      </c>
      <c r="AI67" s="54">
        <f>+AG67-AH67</f>
        <v>1074225</v>
      </c>
      <c r="AK67" s="4"/>
      <c r="AL67" s="4"/>
      <c r="AM67" s="192"/>
      <c r="AN67" s="193"/>
      <c r="AO67" s="168"/>
      <c r="AP67" s="168"/>
      <c r="AQ67" s="192"/>
      <c r="AR67" s="193"/>
      <c r="AS67" s="194"/>
    </row>
    <row r="68" spans="2:47" x14ac:dyDescent="0.25">
      <c r="B68" s="191"/>
      <c r="C68" s="39">
        <v>2018</v>
      </c>
      <c r="D68" s="62" t="str">
        <f>+'JFK-174.017'!$F$4</f>
        <v>JFK-174.017</v>
      </c>
      <c r="E68" s="63" t="str">
        <f>+'JFK-174.017'!$F$5</f>
        <v>Replacement of 86 Pad Substation</v>
      </c>
      <c r="F68" s="64">
        <f>+'JFK-174.017'!$F$6</f>
        <v>43389</v>
      </c>
      <c r="G68" s="65" t="str">
        <f>+'JFK-174.017'!$G$7</f>
        <v>Public</v>
      </c>
      <c r="H68" s="94">
        <f>+'JFK-174.017'!$F$7</f>
        <v>3800000</v>
      </c>
      <c r="I68" s="94">
        <f>+'JFK-174.017'!$F$8</f>
        <v>3781700</v>
      </c>
      <c r="J68" s="94"/>
      <c r="K68" s="148">
        <f>+'JFK-174.017'!$G$9</f>
        <v>-4.8157894736842108E-3</v>
      </c>
      <c r="L68" s="11" t="str">
        <f>+'JFK-174.017'!$F$11</f>
        <v>GOOD</v>
      </c>
      <c r="M68" s="15">
        <f>+'JFK-174.017'!$H$12</f>
        <v>8</v>
      </c>
      <c r="N68" s="35" t="s">
        <v>93</v>
      </c>
      <c r="O68" s="15">
        <v>4</v>
      </c>
      <c r="P68" s="35" t="s">
        <v>458</v>
      </c>
      <c r="Q68" s="35"/>
      <c r="R68" s="15"/>
      <c r="S68" s="24"/>
      <c r="T68" s="62" t="str">
        <f>+'JFK-174.017'!$J$4</f>
        <v>Dean Stracuzza</v>
      </c>
      <c r="U68" s="62"/>
      <c r="V68" s="94">
        <f>+'JFK-174.017'!$F$12</f>
        <v>4748686.375</v>
      </c>
      <c r="W68" s="165">
        <f>+I68/V68</f>
        <v>0.79636760597819012</v>
      </c>
      <c r="X68" s="15"/>
      <c r="Y68" s="161">
        <f>+I68/H68</f>
        <v>0.99518421052631578</v>
      </c>
      <c r="Z68" s="11" t="str">
        <f>(IF(Y68&lt;$Y$3,"FAIL",IF(Y68&gt;$Y$4,"FAIL","GOOD")))</f>
        <v>GOOD</v>
      </c>
      <c r="AA68" s="11"/>
      <c r="AB68" s="15"/>
      <c r="AC68" s="239">
        <f>VLOOKUP(H68,ECON_ADJUSTMENT!J$2:W$240,12,FALSE)</f>
        <v>3624837.6022277242</v>
      </c>
      <c r="AD68" s="15" t="str">
        <f t="shared" si="7"/>
        <v>GOOD</v>
      </c>
      <c r="AE68" s="15"/>
      <c r="AF68" s="15"/>
      <c r="AG68" s="54">
        <f t="shared" si="54"/>
        <v>3800000</v>
      </c>
      <c r="AH68" s="54">
        <f t="shared" si="54"/>
        <v>3781700</v>
      </c>
      <c r="AI68" s="54">
        <f>+AG68-AH68</f>
        <v>18300</v>
      </c>
      <c r="AK68" s="4"/>
      <c r="AL68" s="4"/>
      <c r="AM68" s="192"/>
      <c r="AN68" s="193"/>
      <c r="AO68" s="168"/>
      <c r="AP68" s="168"/>
      <c r="AQ68" s="192"/>
      <c r="AR68" s="193"/>
      <c r="AS68" s="194"/>
    </row>
    <row r="69" spans="2:47" x14ac:dyDescent="0.25">
      <c r="B69" s="191"/>
      <c r="C69" s="39">
        <v>2018</v>
      </c>
      <c r="D69" s="62" t="str">
        <f>+'HT-924.152 Void'!$F$4</f>
        <v>HT-924.152</v>
      </c>
      <c r="E69" s="63" t="str">
        <f>+'HT-924.152 Void'!$F$5</f>
        <v>Maintenance Pavement Repairs via Work Order</v>
      </c>
      <c r="F69" s="64">
        <f>+'HT-924.152 Void'!$F$6</f>
        <v>43383</v>
      </c>
      <c r="G69" s="65"/>
      <c r="H69" s="94"/>
      <c r="I69" s="94"/>
      <c r="J69" s="27"/>
      <c r="K69" s="26"/>
      <c r="L69" s="11"/>
      <c r="M69" s="15"/>
      <c r="N69" s="35"/>
      <c r="O69" s="15"/>
      <c r="P69" s="35"/>
      <c r="Q69" s="35"/>
      <c r="R69" s="15"/>
      <c r="S69" s="24" t="s">
        <v>227</v>
      </c>
      <c r="T69" s="62"/>
      <c r="U69" s="62"/>
      <c r="V69" s="94"/>
      <c r="W69" s="165"/>
      <c r="X69" s="15"/>
      <c r="Y69" s="161"/>
      <c r="Z69" s="11"/>
      <c r="AA69" s="11"/>
      <c r="AB69" s="15"/>
      <c r="AC69" s="239"/>
      <c r="AD69" s="15"/>
      <c r="AE69" s="15"/>
      <c r="AF69" s="15"/>
      <c r="AG69" s="54"/>
      <c r="AH69" s="54"/>
      <c r="AI69" s="54"/>
      <c r="AL69" s="4"/>
      <c r="AM69" s="192"/>
      <c r="AN69" s="193"/>
      <c r="AO69" s="168"/>
      <c r="AP69" s="168"/>
      <c r="AQ69" s="192"/>
      <c r="AR69" s="193"/>
      <c r="AS69" s="194"/>
    </row>
    <row r="70" spans="2:47" x14ac:dyDescent="0.25">
      <c r="B70" s="191"/>
      <c r="C70" s="39">
        <v>2018</v>
      </c>
      <c r="D70" s="62" t="str">
        <f>+'GWB-924.168'!$F$4</f>
        <v>GWB-924.168</v>
      </c>
      <c r="E70" s="63" t="str">
        <f>+'GWB-924.168'!$F$5</f>
        <v>Rock Slope Priority Repairs</v>
      </c>
      <c r="F70" s="64">
        <f>+'GWB-924.168'!$F$6</f>
        <v>43382</v>
      </c>
      <c r="G70" s="65" t="str">
        <f>+'GWB-924.168'!$G$7</f>
        <v>Public</v>
      </c>
      <c r="H70" s="94">
        <f>+'GWB-924.168'!$F$7</f>
        <v>1130000</v>
      </c>
      <c r="I70" s="94">
        <f>+'GWB-924.168'!$F$8</f>
        <v>1383700</v>
      </c>
      <c r="J70" s="94"/>
      <c r="K70" s="148">
        <f>+'GWB-924.168'!$G$9</f>
        <v>0.22451327433628318</v>
      </c>
      <c r="L70" s="11" t="str">
        <f>+'GWB-924.168'!$F$11</f>
        <v>FAIL</v>
      </c>
      <c r="M70" s="15">
        <f>+'GWB-924.168'!$H$12</f>
        <v>4</v>
      </c>
      <c r="N70" s="35" t="s">
        <v>25</v>
      </c>
      <c r="O70" s="15">
        <v>4</v>
      </c>
      <c r="P70" s="35" t="s">
        <v>457</v>
      </c>
      <c r="Q70" s="35"/>
      <c r="R70" s="15"/>
      <c r="S70" s="24"/>
      <c r="T70" s="62" t="str">
        <f>+'GWB-924.168'!$J$4</f>
        <v>Joe Lucin</v>
      </c>
      <c r="U70" s="62"/>
      <c r="V70" s="94">
        <f>+'GWB-924.168'!$F$12</f>
        <v>1772637.5</v>
      </c>
      <c r="W70" s="165">
        <f>+I70/V70</f>
        <v>0.78058824773818669</v>
      </c>
      <c r="X70" s="15"/>
      <c r="Y70" s="161">
        <f>+I70/H70</f>
        <v>1.2245132743362832</v>
      </c>
      <c r="Z70" s="11" t="str">
        <f>(IF(Y70&lt;$Y$3,"FAIL",IF(Y70&gt;$Y$4,"FAIL","GOOD")))</f>
        <v>FAIL</v>
      </c>
      <c r="AA70" s="11"/>
      <c r="AB70" s="15"/>
      <c r="AC70" s="239">
        <f>VLOOKUP(H70,ECON_ADJUSTMENT!J$2:W$240,12,FALSE)</f>
        <v>560196.38569631253</v>
      </c>
      <c r="AD70" s="15" t="str">
        <f t="shared" si="7"/>
        <v>FAIL</v>
      </c>
      <c r="AE70" s="15"/>
      <c r="AF70" s="15"/>
      <c r="AG70" s="54">
        <f>+H70</f>
        <v>1130000</v>
      </c>
      <c r="AH70" s="54">
        <f>+I70</f>
        <v>1383700</v>
      </c>
      <c r="AI70" s="54">
        <f>+AG70-AH70</f>
        <v>-253700</v>
      </c>
      <c r="AK70" s="4"/>
      <c r="AL70" s="4"/>
      <c r="AM70" s="192"/>
      <c r="AN70" s="193"/>
      <c r="AO70" s="168"/>
      <c r="AP70" s="168"/>
      <c r="AQ70" s="192"/>
      <c r="AR70" s="193"/>
      <c r="AS70" s="194"/>
    </row>
    <row r="71" spans="2:47" x14ac:dyDescent="0.25">
      <c r="B71" s="191"/>
      <c r="C71" s="39">
        <v>2018</v>
      </c>
      <c r="D71" s="62" t="str">
        <f>+'HT-924.110'!$F$4</f>
        <v>HT-924.110</v>
      </c>
      <c r="E71" s="63" t="str">
        <f>+'HT-924.110'!$F$5</f>
        <v>NJ Admin Bldg Second Means of Egress</v>
      </c>
      <c r="F71" s="64">
        <f>+'HT-924.110'!$F$6</f>
        <v>43382</v>
      </c>
      <c r="G71" s="65"/>
      <c r="H71" s="94"/>
      <c r="I71" s="94"/>
      <c r="J71" s="94"/>
      <c r="K71" s="148"/>
      <c r="L71" s="11"/>
      <c r="M71" s="15"/>
      <c r="N71" s="35"/>
      <c r="O71" s="15"/>
      <c r="P71" s="35"/>
      <c r="Q71" s="35"/>
      <c r="R71" s="15"/>
      <c r="S71" s="24" t="s">
        <v>227</v>
      </c>
      <c r="T71" s="62"/>
      <c r="U71" s="62"/>
      <c r="V71" s="94"/>
      <c r="W71" s="165"/>
      <c r="X71" s="15"/>
      <c r="Y71" s="161"/>
      <c r="Z71" s="11"/>
      <c r="AA71" s="11"/>
      <c r="AB71" s="15"/>
      <c r="AC71" s="239"/>
      <c r="AD71" s="15"/>
      <c r="AE71" s="15"/>
      <c r="AF71" s="15"/>
      <c r="AG71" s="54"/>
      <c r="AH71" s="54"/>
      <c r="AI71" s="54"/>
      <c r="AK71" s="4"/>
      <c r="AL71" s="4"/>
      <c r="AM71" s="192"/>
      <c r="AN71" s="193"/>
      <c r="AO71" s="168"/>
      <c r="AP71" s="168"/>
      <c r="AQ71" s="192"/>
      <c r="AR71" s="193"/>
      <c r="AS71" s="194"/>
    </row>
    <row r="72" spans="2:47" x14ac:dyDescent="0.25">
      <c r="B72" s="164">
        <f>(COUNTIF(L51:L72,"G*")/COUNTA(L51:L72))</f>
        <v>0.5</v>
      </c>
      <c r="C72" s="39">
        <v>2018</v>
      </c>
      <c r="D72" s="62" t="str">
        <f>+'PAT-784.169'!$F$4</f>
        <v>PAT-784.169</v>
      </c>
      <c r="E72" s="63" t="str">
        <f>+'PAT-784.169'!$F$5</f>
        <v>Exchange Place and Newport Head House Flood Protection</v>
      </c>
      <c r="F72" s="64">
        <f>+'PAT-784.169'!$F$6</f>
        <v>43376</v>
      </c>
      <c r="G72" s="65" t="str">
        <f>+'PAT-784.169'!$G$7</f>
        <v>Public</v>
      </c>
      <c r="H72" s="94">
        <f>+'PAT-784.169'!$F$7</f>
        <v>21700000</v>
      </c>
      <c r="I72" s="94">
        <f>+'PAT-784.169'!$F$8</f>
        <v>15765000</v>
      </c>
      <c r="J72" s="94"/>
      <c r="K72" s="148">
        <f>+'PAT-784.169'!$G$9</f>
        <v>-0.27350230414746546</v>
      </c>
      <c r="L72" s="11" t="str">
        <f>+'PAT-784.169'!$F$11</f>
        <v>GOOD</v>
      </c>
      <c r="M72" s="15">
        <f>+'PAT-784.169'!$H$12</f>
        <v>5</v>
      </c>
      <c r="N72" s="35" t="s">
        <v>25</v>
      </c>
      <c r="O72" s="15">
        <v>4</v>
      </c>
      <c r="P72" s="35" t="s">
        <v>459</v>
      </c>
      <c r="Q72" s="35"/>
      <c r="R72" s="15"/>
      <c r="S72" s="24"/>
      <c r="T72" s="62" t="str">
        <f>+'PAT-784.169'!$J$4</f>
        <v>Nathan Demaisip</v>
      </c>
      <c r="U72" s="62"/>
      <c r="V72" s="94">
        <f>+'PAT-784.169'!$F$12</f>
        <v>26085716</v>
      </c>
      <c r="W72" s="165">
        <f>+I72/V72</f>
        <v>0.60435373903480361</v>
      </c>
      <c r="X72" s="15"/>
      <c r="Y72" s="161">
        <f>+I72/H72</f>
        <v>0.72649769585253454</v>
      </c>
      <c r="Z72" s="11" t="str">
        <f>(IF(Y72&lt;$Y$3,"FAIL",IF(Y72&gt;$Y$4,"FAIL","GOOD")))</f>
        <v>FAIL</v>
      </c>
      <c r="AA72" s="11"/>
      <c r="AB72" s="15"/>
      <c r="AC72" s="239">
        <f>VLOOKUP(H72,ECON_ADJUSTMENT!J$2:W$240,12,FALSE)</f>
        <v>21673721.4610704</v>
      </c>
      <c r="AD72" s="15" t="str">
        <f t="shared" ref="AD72:AD135" si="55">(IF(AC72&lt;(I72*0.9),"FAIL",IF(AC72&gt;(V72*1.1),"FAIL","GOOD")))</f>
        <v>GOOD</v>
      </c>
      <c r="AE72" s="15"/>
      <c r="AF72" s="15"/>
      <c r="AG72" s="54">
        <f>+H72</f>
        <v>21700000</v>
      </c>
      <c r="AH72" s="54">
        <f>+I72</f>
        <v>15765000</v>
      </c>
      <c r="AI72" s="54">
        <f>+AG72-AH72</f>
        <v>5935000</v>
      </c>
      <c r="AK72" s="4">
        <f>SUM(H51:H72)</f>
        <v>405750200</v>
      </c>
      <c r="AL72" s="4">
        <f>SUM(I51:I72)</f>
        <v>351743588</v>
      </c>
      <c r="AM72" s="169">
        <f>+AL72/AK72</f>
        <v>0.86689689370455025</v>
      </c>
      <c r="AN72" s="1" t="s">
        <v>1324</v>
      </c>
      <c r="AO72" s="170">
        <f>+AK72+AK87+AK99+AK116</f>
        <v>1162036350</v>
      </c>
      <c r="AP72" s="170">
        <f>+AL72+AL87+AL99+AL116</f>
        <v>924649762</v>
      </c>
      <c r="AQ72" s="171">
        <f>+AP72/AO72</f>
        <v>0.79571500667771711</v>
      </c>
      <c r="AR72" s="172" t="s">
        <v>1323</v>
      </c>
      <c r="AS72" s="173"/>
      <c r="AU72" s="164">
        <f>(COUNTIF(L51:L116,"G*")/COUNTA(L51:L116))</f>
        <v>0.58181818181818179</v>
      </c>
    </row>
    <row r="73" spans="2:47" ht="7.5" customHeight="1" x14ac:dyDescent="0.25">
      <c r="C73" s="39"/>
      <c r="G73" s="45"/>
      <c r="Q73" s="11"/>
      <c r="AC73" s="239"/>
      <c r="AD73" s="15"/>
    </row>
    <row r="74" spans="2:47" x14ac:dyDescent="0.25">
      <c r="C74" s="39">
        <v>2018</v>
      </c>
      <c r="D74" s="62" t="str">
        <f>+'GWB-244.204A'!$F$4</f>
        <v>GWB-244.204A</v>
      </c>
      <c r="E74" s="63" t="str">
        <f>+'GWB-244.204A'!$F$5</f>
        <v>Rehab Center and Lemoine Avenue Bridges</v>
      </c>
      <c r="F74" s="64">
        <f>+'GWB-244.204A'!$F$6</f>
        <v>43368</v>
      </c>
      <c r="G74" s="65" t="str">
        <f>+'GWB-244.204A'!$G$7</f>
        <v>Public</v>
      </c>
      <c r="H74" s="94">
        <f>+'GWB-244.204A'!$F$7</f>
        <v>64356250</v>
      </c>
      <c r="I74" s="94">
        <f>+'GWB-244.204A'!$F$8</f>
        <v>51485000</v>
      </c>
      <c r="J74" s="27"/>
      <c r="K74" s="26">
        <f>+'GWB-244.204A'!$G$9</f>
        <v>-0.2</v>
      </c>
      <c r="L74" s="11" t="str">
        <f>+'GWB-244.204A'!$F$11</f>
        <v>GOOD</v>
      </c>
      <c r="M74" s="15">
        <f>+'GWB-244.204A'!$H$12</f>
        <v>8</v>
      </c>
      <c r="N74" s="35" t="s">
        <v>25</v>
      </c>
      <c r="O74" s="15">
        <v>3</v>
      </c>
      <c r="P74" s="35" t="s">
        <v>457</v>
      </c>
      <c r="Q74" s="35"/>
      <c r="R74" s="15"/>
      <c r="S74" s="24"/>
      <c r="T74" s="62" t="str">
        <f>+'GWB-244.204A'!$J$4</f>
        <v>Boris Lenderman</v>
      </c>
      <c r="U74" s="62"/>
      <c r="V74" s="94">
        <f>+'GWB-244.204A'!$F$12</f>
        <v>75310398.875</v>
      </c>
      <c r="W74" s="165">
        <f t="shared" ref="W74:W79" si="56">+I74/V74</f>
        <v>0.68363732989191395</v>
      </c>
      <c r="X74" s="15"/>
      <c r="Y74" s="161">
        <f t="shared" ref="Y74:Y79" si="57">+I74/H74</f>
        <v>0.8</v>
      </c>
      <c r="Z74" s="11" t="str">
        <f t="shared" ref="Z74:Z79" si="58">(IF(Y74&lt;$Y$3,"FAIL",IF(Y74&gt;$Y$4,"FAIL","GOOD")))</f>
        <v>FAIL</v>
      </c>
      <c r="AA74" s="11"/>
      <c r="AB74" s="15"/>
      <c r="AC74" s="239">
        <f>VLOOKUP(H74,ECON_ADJUSTMENT!J$2:W$240,12,FALSE)</f>
        <v>58787177.839722134</v>
      </c>
      <c r="AD74" s="15" t="str">
        <f t="shared" si="55"/>
        <v>GOOD</v>
      </c>
      <c r="AE74" s="15"/>
      <c r="AF74" s="15"/>
      <c r="AG74" s="54">
        <f t="shared" ref="AG74:AH79" si="59">+H74</f>
        <v>64356250</v>
      </c>
      <c r="AH74" s="54">
        <f t="shared" si="59"/>
        <v>51485000</v>
      </c>
      <c r="AI74" s="54">
        <f t="shared" ref="AI74:AI79" si="60">+AG74-AH74</f>
        <v>12871250</v>
      </c>
    </row>
    <row r="75" spans="2:47" x14ac:dyDescent="0.25">
      <c r="C75" s="39">
        <v>2018</v>
      </c>
      <c r="D75" s="62" t="str">
        <f>+'EWR-154.348'!$F$4</f>
        <v>EWR-154.348</v>
      </c>
      <c r="E75" s="63" t="str">
        <f>+'EWR-154.348'!$F$5</f>
        <v>Airtrain Station P4 Elev Shaft Glass Replacement</v>
      </c>
      <c r="F75" s="64">
        <f>+'EWR-154.348'!$F$6</f>
        <v>43368</v>
      </c>
      <c r="G75" s="65" t="str">
        <f>+'EWR-154.348'!$G$7</f>
        <v>SBE</v>
      </c>
      <c r="H75" s="94">
        <f>+'EWR-154.348'!$F$7</f>
        <v>760000</v>
      </c>
      <c r="I75" s="94">
        <f>+'EWR-154.348'!$F$8</f>
        <v>994150</v>
      </c>
      <c r="J75" s="27"/>
      <c r="K75" s="26">
        <f>+'EWR-154.348'!$G$9</f>
        <v>0.30809210526315789</v>
      </c>
      <c r="L75" s="11" t="str">
        <f>+'EWR-154.348'!$F$11</f>
        <v>FAIL</v>
      </c>
      <c r="M75" s="15">
        <f>+'EWR-154.348'!$H$12</f>
        <v>3</v>
      </c>
      <c r="N75" s="35" t="s">
        <v>25</v>
      </c>
      <c r="O75" s="15">
        <v>3</v>
      </c>
      <c r="P75" s="35" t="s">
        <v>458</v>
      </c>
      <c r="Q75" s="35"/>
      <c r="R75" s="15"/>
      <c r="S75" s="24"/>
      <c r="T75" s="62" t="str">
        <f>+'EWR-154.348'!$J$4</f>
        <v>Joe Lucin</v>
      </c>
      <c r="U75" s="62"/>
      <c r="V75" s="94">
        <f>+'PAT-024.203'!$F$12</f>
        <v>2705657.5</v>
      </c>
      <c r="W75" s="165">
        <f t="shared" si="56"/>
        <v>0.36743379381906244</v>
      </c>
      <c r="X75" s="15"/>
      <c r="Y75" s="161">
        <f t="shared" si="57"/>
        <v>1.308092105263158</v>
      </c>
      <c r="Z75" s="11" t="str">
        <f t="shared" si="58"/>
        <v>FAIL</v>
      </c>
      <c r="AA75" s="11"/>
      <c r="AB75" s="15"/>
      <c r="AC75" s="239">
        <f>VLOOKUP(H75,ECON_ADJUSTMENT!J$2:W$240,12,FALSE)</f>
        <v>2157992.2908011209</v>
      </c>
      <c r="AD75" s="15" t="str">
        <f t="shared" si="55"/>
        <v>GOOD</v>
      </c>
      <c r="AE75" s="15"/>
      <c r="AF75" s="15"/>
      <c r="AG75" s="54">
        <f t="shared" si="59"/>
        <v>760000</v>
      </c>
      <c r="AH75" s="54">
        <f t="shared" si="59"/>
        <v>994150</v>
      </c>
      <c r="AI75" s="54">
        <f t="shared" si="60"/>
        <v>-234150</v>
      </c>
    </row>
    <row r="76" spans="2:47" x14ac:dyDescent="0.25">
      <c r="C76" s="39">
        <v>2018</v>
      </c>
      <c r="D76" s="62" t="str">
        <f>+'PAT-024.203'!$F$4</f>
        <v>PAT-024.203</v>
      </c>
      <c r="E76" s="63" t="str">
        <f>+'PAT-024.203'!$F$5</f>
        <v>Redundant Fluid Cooler at PATH Train Control Center</v>
      </c>
      <c r="F76" s="64">
        <f>+'PAT-024.203'!$F$6</f>
        <v>43363</v>
      </c>
      <c r="G76" s="65" t="str">
        <f>+'PAT-024.203'!$G$7</f>
        <v>SBE</v>
      </c>
      <c r="H76" s="94">
        <f>+'PAT-024.203'!$F$7</f>
        <v>1700000</v>
      </c>
      <c r="I76" s="94">
        <f>+'PAT-024.203'!$F$8</f>
        <v>1560315</v>
      </c>
      <c r="J76" s="27"/>
      <c r="K76" s="26">
        <f>+'PAT-024.203'!$G$9</f>
        <v>-8.2167647058823526E-2</v>
      </c>
      <c r="L76" s="11" t="str">
        <f>+'PAT-024.203'!$F$11</f>
        <v>GOOD</v>
      </c>
      <c r="M76" s="15">
        <f>+'PAT-024.203'!$H$12</f>
        <v>2</v>
      </c>
      <c r="N76" s="35" t="s">
        <v>25</v>
      </c>
      <c r="O76" s="15">
        <v>3</v>
      </c>
      <c r="P76" s="35" t="s">
        <v>459</v>
      </c>
      <c r="Q76" s="35"/>
      <c r="R76" s="15"/>
      <c r="S76" s="24"/>
      <c r="T76" s="62" t="str">
        <f>+'PAT-024.203'!$J$4</f>
        <v>Nathan Demaisip</v>
      </c>
      <c r="U76" s="62"/>
      <c r="V76" s="94">
        <f>+'PAT-024.203'!$F$12</f>
        <v>2705657.5</v>
      </c>
      <c r="W76" s="165">
        <f t="shared" si="56"/>
        <v>0.57668607353295831</v>
      </c>
      <c r="X76" s="15"/>
      <c r="Y76" s="161">
        <f t="shared" si="57"/>
        <v>0.91783235294117649</v>
      </c>
      <c r="Z76" s="11" t="str">
        <f t="shared" si="58"/>
        <v>GOOD</v>
      </c>
      <c r="AA76" s="11"/>
      <c r="AB76" s="15"/>
      <c r="AC76" s="239">
        <f>VLOOKUP(H76,ECON_ADJUSTMENT!J$2:W$240,12,FALSE)</f>
        <v>2344481.0875007901</v>
      </c>
      <c r="AD76" s="15" t="str">
        <f t="shared" si="55"/>
        <v>GOOD</v>
      </c>
      <c r="AE76" s="15"/>
      <c r="AF76" s="15"/>
      <c r="AG76" s="54">
        <f t="shared" si="59"/>
        <v>1700000</v>
      </c>
      <c r="AH76" s="54">
        <f t="shared" si="59"/>
        <v>1560315</v>
      </c>
      <c r="AI76" s="54">
        <f t="shared" si="60"/>
        <v>139685</v>
      </c>
    </row>
    <row r="77" spans="2:47" x14ac:dyDescent="0.25">
      <c r="C77" s="39">
        <v>2018</v>
      </c>
      <c r="D77" s="62" t="str">
        <f>+'PAT-784.162'!$F$4</f>
        <v>PAT-784.162</v>
      </c>
      <c r="E77" s="63" t="str">
        <f>+'PAT-784.162'!$F$5</f>
        <v>Hoboken Flood Resiliency</v>
      </c>
      <c r="F77" s="64">
        <f>+'PAT-784.162'!$F$6</f>
        <v>43356</v>
      </c>
      <c r="G77" s="65" t="str">
        <f>+'PAT-784.162'!$G$7</f>
        <v>Public</v>
      </c>
      <c r="H77" s="94">
        <f>+'PAT-784.162'!$F$7</f>
        <v>5960000</v>
      </c>
      <c r="I77" s="94">
        <f>+'PAT-784.162'!$F$8</f>
        <v>6956000</v>
      </c>
      <c r="J77" s="27"/>
      <c r="K77" s="26">
        <f>+'PAT-784.162'!$G$9</f>
        <v>0.16711409395973154</v>
      </c>
      <c r="L77" s="11" t="str">
        <f>+'PAT-784.162'!$F$11</f>
        <v>FAIL</v>
      </c>
      <c r="M77" s="15">
        <f>+'PAT-784.162'!$H$12</f>
        <v>4</v>
      </c>
      <c r="N77" s="35" t="s">
        <v>25</v>
      </c>
      <c r="O77" s="15">
        <v>3</v>
      </c>
      <c r="P77" s="35" t="s">
        <v>459</v>
      </c>
      <c r="Q77" s="35"/>
      <c r="R77" s="15"/>
      <c r="S77" s="24"/>
      <c r="T77" s="62" t="str">
        <f>+'PAT-784.162'!$J$4</f>
        <v>Nathan Demaisip</v>
      </c>
      <c r="U77" s="62"/>
      <c r="V77" s="94">
        <f>+'PAT-784.162'!$F$12</f>
        <v>8933697.75</v>
      </c>
      <c r="W77" s="165">
        <f t="shared" si="56"/>
        <v>0.77862495403988785</v>
      </c>
      <c r="X77" s="15"/>
      <c r="Y77" s="161">
        <f t="shared" si="57"/>
        <v>1.1671140939597315</v>
      </c>
      <c r="Z77" s="11" t="str">
        <f t="shared" si="58"/>
        <v>FAIL</v>
      </c>
      <c r="AA77" s="11"/>
      <c r="AB77" s="15"/>
      <c r="AC77" s="239">
        <f>VLOOKUP(H77,ECON_ADJUSTMENT!J$2:W$240,12,FALSE)</f>
        <v>5596731.4510990009</v>
      </c>
      <c r="AD77" s="15" t="str">
        <f t="shared" si="55"/>
        <v>FAIL</v>
      </c>
      <c r="AE77" s="15"/>
      <c r="AF77" s="15"/>
      <c r="AG77" s="54">
        <f t="shared" si="59"/>
        <v>5960000</v>
      </c>
      <c r="AH77" s="54">
        <f t="shared" si="59"/>
        <v>6956000</v>
      </c>
      <c r="AI77" s="54">
        <f t="shared" si="60"/>
        <v>-996000</v>
      </c>
    </row>
    <row r="78" spans="2:47" x14ac:dyDescent="0.25">
      <c r="C78" s="39">
        <v>2018</v>
      </c>
      <c r="D78" s="62" t="str">
        <f>+'SWF-164.032'!$F$4</f>
        <v>SWF-164.032</v>
      </c>
      <c r="E78" s="63" t="str">
        <f>+'SWF-164.032'!$F$5</f>
        <v>Terminal Expansion - Federal Inspection Services Facility</v>
      </c>
      <c r="F78" s="64">
        <f>+'SWF-164.032'!$F$6</f>
        <v>43350</v>
      </c>
      <c r="G78" s="65" t="str">
        <f>+'SWF-164.032'!$G$7</f>
        <v>Public</v>
      </c>
      <c r="H78" s="94">
        <f>+'SWF-164.032'!$F$7</f>
        <v>17920000</v>
      </c>
      <c r="I78" s="94">
        <f>+'SWF-164.032'!$F$8</f>
        <v>21068000</v>
      </c>
      <c r="J78" s="27"/>
      <c r="K78" s="26">
        <f>+'SWF-164.032'!$G$9</f>
        <v>0.17566964285714284</v>
      </c>
      <c r="L78" s="11" t="str">
        <f>+'SWF-164.032'!$F$11</f>
        <v>FAIL</v>
      </c>
      <c r="M78" s="15">
        <f>+'SWF-164.032'!$H$12</f>
        <v>2</v>
      </c>
      <c r="N78" s="35" t="s">
        <v>93</v>
      </c>
      <c r="O78" s="15">
        <v>3</v>
      </c>
      <c r="P78" s="35" t="s">
        <v>458</v>
      </c>
      <c r="Q78" s="35"/>
      <c r="R78" s="15"/>
      <c r="S78" s="24"/>
      <c r="T78" s="62" t="str">
        <f>+'SWF-164.032'!$J$4</f>
        <v>Andy Victors</v>
      </c>
      <c r="U78" s="62"/>
      <c r="V78" s="94">
        <f>+'SWF-164.032'!$F$12</f>
        <v>22772500</v>
      </c>
      <c r="W78" s="165">
        <f t="shared" si="56"/>
        <v>0.92515094961027555</v>
      </c>
      <c r="X78" s="15"/>
      <c r="Y78" s="161">
        <f t="shared" si="57"/>
        <v>1.1756696428571429</v>
      </c>
      <c r="Z78" s="11" t="str">
        <f t="shared" si="58"/>
        <v>FAIL</v>
      </c>
      <c r="AA78" s="11"/>
      <c r="AB78" s="15"/>
      <c r="AC78" s="239">
        <f>VLOOKUP(H78,ECON_ADJUSTMENT!J$2:W$240,12,FALSE)</f>
        <v>18384898.249669876</v>
      </c>
      <c r="AD78" s="15" t="str">
        <f t="shared" si="55"/>
        <v>FAIL</v>
      </c>
      <c r="AE78" s="15"/>
      <c r="AF78" s="15"/>
      <c r="AG78" s="54">
        <f t="shared" si="59"/>
        <v>17920000</v>
      </c>
      <c r="AH78" s="54">
        <f t="shared" si="59"/>
        <v>21068000</v>
      </c>
      <c r="AI78" s="54">
        <f t="shared" si="60"/>
        <v>-3148000</v>
      </c>
    </row>
    <row r="79" spans="2:47" x14ac:dyDescent="0.25">
      <c r="C79" s="39">
        <v>2018</v>
      </c>
      <c r="D79" s="62" t="str">
        <f>+'LT-944.096B'!$F$4</f>
        <v>LT-944.096B</v>
      </c>
      <c r="E79" s="63" t="str">
        <f>+'LT-944.096B'!$F$5</f>
        <v>Replacement of Aboveground Storage Tanks</v>
      </c>
      <c r="F79" s="64">
        <f>+'LT-944.096B'!$F$6</f>
        <v>43340</v>
      </c>
      <c r="G79" s="65" t="str">
        <f>+'LT-944.096B'!$G$7</f>
        <v>Public</v>
      </c>
      <c r="H79" s="94">
        <f>+'LT-944.096B'!$F$7</f>
        <v>2500000</v>
      </c>
      <c r="I79" s="94">
        <f>+'LT-944.096B'!$F$8</f>
        <v>2952000</v>
      </c>
      <c r="J79" s="27"/>
      <c r="K79" s="26">
        <f>+'LT-944.096B'!$G$9</f>
        <v>0.18079999999999999</v>
      </c>
      <c r="L79" s="11" t="str">
        <f>+'LT-944.096B'!$F$11</f>
        <v>FAIL</v>
      </c>
      <c r="M79" s="15">
        <f>+'LT-944.096B'!$H$12</f>
        <v>3</v>
      </c>
      <c r="N79" s="35" t="s">
        <v>93</v>
      </c>
      <c r="O79" s="15">
        <v>3</v>
      </c>
      <c r="P79" s="35" t="s">
        <v>457</v>
      </c>
      <c r="Q79" s="35"/>
      <c r="R79" s="15"/>
      <c r="S79" s="24"/>
      <c r="T79" s="62" t="str">
        <f>+'GWB-924.137'!$J$4</f>
        <v>Boris Lenderman</v>
      </c>
      <c r="U79" s="62"/>
      <c r="V79" s="94">
        <f>+'GWB-924.137'!$F$12</f>
        <v>2139150</v>
      </c>
      <c r="W79" s="165">
        <f t="shared" si="56"/>
        <v>1.379987378164224</v>
      </c>
      <c r="X79" s="15"/>
      <c r="Y79" s="161">
        <f t="shared" si="57"/>
        <v>1.1808000000000001</v>
      </c>
      <c r="Z79" s="11" t="str">
        <f t="shared" si="58"/>
        <v>FAIL</v>
      </c>
      <c r="AA79" s="11"/>
      <c r="AB79" s="15"/>
      <c r="AC79" s="239">
        <f>VLOOKUP(H79,ECON_ADJUSTMENT!J$2:W$240,12,FALSE)</f>
        <v>2493760.8364021471</v>
      </c>
      <c r="AD79" s="15" t="str">
        <f t="shared" si="55"/>
        <v>FAIL</v>
      </c>
      <c r="AE79" s="15"/>
      <c r="AF79" s="15"/>
      <c r="AG79" s="54">
        <f t="shared" si="59"/>
        <v>2500000</v>
      </c>
      <c r="AH79" s="54">
        <f t="shared" si="59"/>
        <v>2952000</v>
      </c>
      <c r="AI79" s="54">
        <f t="shared" si="60"/>
        <v>-452000</v>
      </c>
    </row>
    <row r="80" spans="2:47" x14ac:dyDescent="0.25">
      <c r="C80" s="39">
        <v>2018</v>
      </c>
      <c r="D80" s="62" t="str">
        <f>+'GWB-924.137'!$F$4</f>
        <v>GWB-924.137</v>
      </c>
      <c r="E80" s="63" t="str">
        <f>+'GWB-924.137'!$F$5</f>
        <v>NJ Administration Building - Sprinkler System Rehabiliation</v>
      </c>
      <c r="F80" s="64">
        <f>+'GWB-924.137'!$F$6</f>
        <v>43326</v>
      </c>
      <c r="G80" s="65"/>
      <c r="H80" s="94"/>
      <c r="I80" s="94"/>
      <c r="J80" s="27"/>
      <c r="K80" s="26"/>
      <c r="L80" s="11"/>
      <c r="M80" s="15"/>
      <c r="N80" s="35"/>
      <c r="O80" s="15"/>
      <c r="P80" s="35"/>
      <c r="Q80" s="35"/>
      <c r="R80" s="15"/>
      <c r="S80" s="24" t="s">
        <v>227</v>
      </c>
      <c r="T80" s="62"/>
      <c r="U80" s="62"/>
      <c r="V80" s="94"/>
      <c r="W80" s="165"/>
      <c r="X80" s="15"/>
      <c r="Y80" s="161"/>
      <c r="Z80" s="11"/>
      <c r="AA80" s="11"/>
      <c r="AB80" s="15"/>
      <c r="AC80" s="239"/>
      <c r="AD80" s="15"/>
      <c r="AE80" s="15"/>
      <c r="AF80" s="15"/>
      <c r="AG80" s="54"/>
      <c r="AH80" s="54"/>
      <c r="AI80" s="54"/>
    </row>
    <row r="81" spans="2:45" x14ac:dyDescent="0.25">
      <c r="C81" s="39">
        <v>2018</v>
      </c>
      <c r="D81" s="62" t="str">
        <f>+'LT-924.183'!$F$4</f>
        <v>LT-924.183</v>
      </c>
      <c r="E81" s="63" t="str">
        <f>+'LT-924.183'!$F$5</f>
        <v>South Tube Pavement Fine Milling</v>
      </c>
      <c r="F81" s="64">
        <f>+'LT-924.183'!$F$6</f>
        <v>43326</v>
      </c>
      <c r="G81" s="65" t="str">
        <f>+'LT-924.183'!$G$7</f>
        <v>SBE</v>
      </c>
      <c r="H81" s="94">
        <f>+'LT-924.183'!$F$7</f>
        <v>1300000</v>
      </c>
      <c r="I81" s="94">
        <f>+'LT-924.183'!$F$8</f>
        <v>695800</v>
      </c>
      <c r="J81" s="27"/>
      <c r="K81" s="26">
        <f>+'LT-924.183'!$G$9</f>
        <v>-0.46476923076923077</v>
      </c>
      <c r="L81" s="11" t="str">
        <f>+'LT-924.183'!$F$11</f>
        <v>FAIL</v>
      </c>
      <c r="M81" s="15">
        <f>+'LT-924.183'!$H$12</f>
        <v>2</v>
      </c>
      <c r="N81" s="35" t="s">
        <v>226</v>
      </c>
      <c r="O81" s="15">
        <v>3</v>
      </c>
      <c r="P81" s="35" t="s">
        <v>457</v>
      </c>
      <c r="Q81" s="35"/>
      <c r="R81" s="15"/>
      <c r="S81" s="24" t="s">
        <v>932</v>
      </c>
      <c r="T81" s="62" t="str">
        <f>+'LT-924.183'!$J$4</f>
        <v>Boris Lenderman</v>
      </c>
      <c r="U81" s="62"/>
      <c r="V81" s="94">
        <f>+'LT-924.183'!$F$12</f>
        <v>1057500</v>
      </c>
      <c r="W81" s="165">
        <f t="shared" ref="W81:W87" si="61">+I81/V81</f>
        <v>0.65796690307328609</v>
      </c>
      <c r="X81" s="15"/>
      <c r="Y81" s="161">
        <f t="shared" ref="Y81:Y87" si="62">+I81/H81</f>
        <v>0.53523076923076918</v>
      </c>
      <c r="Z81" s="11" t="str">
        <f t="shared" ref="Z81:Z87" si="63">(IF(Y81&lt;$Y$3,"FAIL",IF(Y81&gt;$Y$4,"FAIL","GOOD")))</f>
        <v>FAIL</v>
      </c>
      <c r="AA81" s="11"/>
      <c r="AB81" s="15"/>
      <c r="AC81" s="239">
        <f>VLOOKUP(H81,ECON_ADJUSTMENT!J$2:W$240,12,FALSE)</f>
        <v>1996457.4672467667</v>
      </c>
      <c r="AD81" s="15" t="str">
        <f t="shared" si="55"/>
        <v>FAIL</v>
      </c>
      <c r="AE81" s="15"/>
      <c r="AF81" s="15"/>
      <c r="AG81" s="54">
        <f t="shared" ref="AG81:AH87" si="64">+H81</f>
        <v>1300000</v>
      </c>
      <c r="AH81" s="54">
        <f t="shared" si="64"/>
        <v>695800</v>
      </c>
      <c r="AI81" s="54">
        <f t="shared" ref="AI81:AI87" si="65">+AG81-AH81</f>
        <v>604200</v>
      </c>
    </row>
    <row r="82" spans="2:45" x14ac:dyDescent="0.25">
      <c r="C82" s="39">
        <v>2018</v>
      </c>
      <c r="D82" s="62" t="str">
        <f>+'GWB-244.049'!$F$4</f>
        <v>GWB-244.049</v>
      </c>
      <c r="E82" s="63" t="str">
        <f>+'GWB-244.049'!$F$5</f>
        <v>Trans-Manhattan Expressway Median Barriers and Water Mains</v>
      </c>
      <c r="F82" s="64">
        <f>+'GWB-244.049'!$F$6</f>
        <v>43319</v>
      </c>
      <c r="G82" s="65" t="str">
        <f>+'GWB-244.049'!$G$7</f>
        <v>Public</v>
      </c>
      <c r="H82" s="94">
        <f>+'GWB-244.049'!$F$7</f>
        <v>54744000</v>
      </c>
      <c r="I82" s="94">
        <f>+'GWB-244.049'!$F$8</f>
        <v>34776250</v>
      </c>
      <c r="J82" s="27"/>
      <c r="K82" s="26">
        <f>+'GWB-244.049'!$G$9</f>
        <v>-0.36474773491158846</v>
      </c>
      <c r="L82" s="11" t="str">
        <f>+'GWB-244.049'!$F$11</f>
        <v>GOOD</v>
      </c>
      <c r="M82" s="15">
        <f>+'GWB-244.049'!$H$12</f>
        <v>4</v>
      </c>
      <c r="N82" s="35" t="s">
        <v>93</v>
      </c>
      <c r="O82" s="15">
        <v>3</v>
      </c>
      <c r="P82" s="35" t="s">
        <v>457</v>
      </c>
      <c r="Q82" s="35"/>
      <c r="R82" s="15"/>
      <c r="S82" s="24" t="s">
        <v>932</v>
      </c>
      <c r="T82" s="62" t="str">
        <f>+'GWB-244.049'!$J$4</f>
        <v>Boris Lenderman</v>
      </c>
      <c r="U82" s="62"/>
      <c r="V82" s="94">
        <f>+'GWB-244.049'!$F$12</f>
        <v>49859526.25</v>
      </c>
      <c r="W82" s="165">
        <f t="shared" si="61"/>
        <v>0.69748456544951631</v>
      </c>
      <c r="X82" s="15"/>
      <c r="Y82" s="161">
        <f t="shared" si="62"/>
        <v>0.63525226508841148</v>
      </c>
      <c r="Z82" s="11" t="str">
        <f t="shared" si="63"/>
        <v>FAIL</v>
      </c>
      <c r="AA82" s="11"/>
      <c r="AB82" s="15"/>
      <c r="AC82" s="239">
        <f>VLOOKUP(H82,ECON_ADJUSTMENT!J$2:W$240,12,FALSE)</f>
        <v>50423952.730255283</v>
      </c>
      <c r="AD82" s="15" t="str">
        <f t="shared" si="55"/>
        <v>GOOD</v>
      </c>
      <c r="AE82" s="15"/>
      <c r="AF82" s="15"/>
      <c r="AG82" s="54">
        <f t="shared" si="64"/>
        <v>54744000</v>
      </c>
      <c r="AH82" s="54">
        <f t="shared" si="64"/>
        <v>34776250</v>
      </c>
      <c r="AI82" s="54">
        <f t="shared" si="65"/>
        <v>19967750</v>
      </c>
    </row>
    <row r="83" spans="2:45" x14ac:dyDescent="0.25">
      <c r="C83" s="39">
        <v>2018</v>
      </c>
      <c r="D83" s="62" t="str">
        <f>+'PN-654.562A'!$F$4</f>
        <v>PN-654.562A</v>
      </c>
      <c r="E83" s="63" t="str">
        <f>+'PN-654.562A'!$F$5</f>
        <v>Bldg 267 Roof Collapse Repair</v>
      </c>
      <c r="F83" s="64">
        <f>+'PN-654.562A'!$F$6</f>
        <v>43314</v>
      </c>
      <c r="G83" s="65" t="str">
        <f>+'PN-654.562A'!$G$7</f>
        <v>SBE</v>
      </c>
      <c r="H83" s="94">
        <f>+'PN-654.562A'!$F$7</f>
        <v>1980000</v>
      </c>
      <c r="I83" s="94">
        <f>+'PN-654.562A'!$F$8</f>
        <v>2882170</v>
      </c>
      <c r="J83" s="27"/>
      <c r="K83" s="26">
        <f>+'PN-654.562A'!$G$9</f>
        <v>0.45564141414141413</v>
      </c>
      <c r="L83" s="11" t="str">
        <f>+'PN-654.562A'!$F$11</f>
        <v>FAIL</v>
      </c>
      <c r="M83" s="15">
        <f>+'PN-654.562A'!$H$12</f>
        <v>6</v>
      </c>
      <c r="N83" s="35" t="s">
        <v>25</v>
      </c>
      <c r="O83" s="15">
        <v>3</v>
      </c>
      <c r="P83" s="35" t="s">
        <v>492</v>
      </c>
      <c r="Q83" s="35"/>
      <c r="R83" s="15"/>
      <c r="S83" s="24"/>
      <c r="T83" s="62" t="str">
        <f>+'PN-654.562A'!$J$4</f>
        <v>Ed Minall</v>
      </c>
      <c r="U83" s="62"/>
      <c r="V83" s="94">
        <f>+'PN-654.562A'!$F$12</f>
        <v>4467184.666666667</v>
      </c>
      <c r="W83" s="165">
        <f t="shared" si="61"/>
        <v>0.64518711785215355</v>
      </c>
      <c r="X83" s="15"/>
      <c r="Y83" s="161">
        <f t="shared" si="62"/>
        <v>1.4556414141414142</v>
      </c>
      <c r="Z83" s="11" t="str">
        <f t="shared" si="63"/>
        <v>FAIL</v>
      </c>
      <c r="AA83" s="11"/>
      <c r="AB83" s="15"/>
      <c r="AC83" s="239">
        <f>VLOOKUP(H83,ECON_ADJUSTMENT!J$2:W$240,12,FALSE)</f>
        <v>3961047.8839116967</v>
      </c>
      <c r="AD83" s="15" t="str">
        <f t="shared" si="55"/>
        <v>GOOD</v>
      </c>
      <c r="AE83" s="15"/>
      <c r="AF83" s="15"/>
      <c r="AG83" s="54">
        <f t="shared" si="64"/>
        <v>1980000</v>
      </c>
      <c r="AH83" s="54">
        <f t="shared" si="64"/>
        <v>2882170</v>
      </c>
      <c r="AI83" s="54">
        <f t="shared" si="65"/>
        <v>-902170</v>
      </c>
    </row>
    <row r="84" spans="2:45" x14ac:dyDescent="0.25">
      <c r="C84" s="39">
        <v>2018</v>
      </c>
      <c r="D84" s="62" t="str">
        <f>+'MFA-924.454'!$F$4</f>
        <v>MFA-924.454</v>
      </c>
      <c r="E84" s="63" t="str">
        <f>+'MFA-924.454'!$F$5</f>
        <v>EWR and TEB - Asphalt Repairs via Work Order</v>
      </c>
      <c r="F84" s="64">
        <f>+'MFA-924.454'!$F$6</f>
        <v>43311</v>
      </c>
      <c r="G84" s="65" t="str">
        <f>+'MFA-924.454'!$G$7</f>
        <v>PQL</v>
      </c>
      <c r="H84" s="94">
        <f>+'MFA-924.454'!$F$7</f>
        <v>9350000</v>
      </c>
      <c r="I84" s="94">
        <f>+'MFA-924.454'!$F$8</f>
        <v>6855365</v>
      </c>
      <c r="J84" s="27"/>
      <c r="K84" s="26">
        <f>+'MFA-924.454'!$G$9</f>
        <v>-0.26680588235294117</v>
      </c>
      <c r="L84" s="11" t="str">
        <f>+'MFA-924.454'!$F$11</f>
        <v>GOOD</v>
      </c>
      <c r="M84" s="15">
        <f>+'MFA-924.454'!$H$12</f>
        <v>3</v>
      </c>
      <c r="N84" s="35" t="s">
        <v>25</v>
      </c>
      <c r="O84" s="15">
        <v>3</v>
      </c>
      <c r="P84" s="35" t="s">
        <v>458</v>
      </c>
      <c r="Q84" s="35"/>
      <c r="R84" s="15"/>
      <c r="S84" s="24" t="s">
        <v>932</v>
      </c>
      <c r="T84" s="62" t="str">
        <f>+'MFA-924.454'!$J$4</f>
        <v>Joe Lucin</v>
      </c>
      <c r="U84" s="62"/>
      <c r="V84" s="94">
        <f>+'MFA-924.454'!$F$12</f>
        <v>10087545</v>
      </c>
      <c r="W84" s="165">
        <f t="shared" si="61"/>
        <v>0.67958705512590034</v>
      </c>
      <c r="X84" s="15"/>
      <c r="Y84" s="161">
        <f t="shared" si="62"/>
        <v>0.73319411764705877</v>
      </c>
      <c r="Z84" s="11" t="str">
        <f t="shared" si="63"/>
        <v>FAIL</v>
      </c>
      <c r="AA84" s="11"/>
      <c r="AB84" s="15"/>
      <c r="AC84" s="239">
        <f>VLOOKUP(H84,ECON_ADJUSTMENT!J$2:W$240,12,FALSE)</f>
        <v>10465949.386591632</v>
      </c>
      <c r="AD84" s="15" t="str">
        <f t="shared" si="55"/>
        <v>GOOD</v>
      </c>
      <c r="AE84" s="15"/>
      <c r="AF84" s="15"/>
      <c r="AG84" s="54">
        <f t="shared" si="64"/>
        <v>9350000</v>
      </c>
      <c r="AH84" s="54">
        <f t="shared" si="64"/>
        <v>6855365</v>
      </c>
      <c r="AI84" s="54">
        <f t="shared" si="65"/>
        <v>2494635</v>
      </c>
    </row>
    <row r="85" spans="2:45" x14ac:dyDescent="0.25">
      <c r="C85" s="39">
        <v>2018</v>
      </c>
      <c r="D85" s="62" t="str">
        <f>+'LGA-124.260'!$F$4</f>
        <v>LGA-124.260</v>
      </c>
      <c r="E85" s="63" t="str">
        <f>+'LGA-124.260'!$F$5</f>
        <v>Rehab of Runway 4-22 and Associated Taxiways</v>
      </c>
      <c r="F85" s="64">
        <f>+'LGA-124.260'!$F$6</f>
        <v>43299</v>
      </c>
      <c r="G85" s="65" t="str">
        <f>+'LGA-124.260'!$G$7</f>
        <v>PQL</v>
      </c>
      <c r="H85" s="94">
        <f>+'LGA-124.260'!$F$7</f>
        <v>34796400</v>
      </c>
      <c r="I85" s="94">
        <f>+'LGA-124.260'!$F$8</f>
        <v>34483510</v>
      </c>
      <c r="J85" s="27"/>
      <c r="K85" s="26">
        <f>+'LGA-124.260'!$G$9</f>
        <v>-8.9920221632122863E-3</v>
      </c>
      <c r="L85" s="11" t="str">
        <f>+'LGA-124.260'!$F$11</f>
        <v>GOOD</v>
      </c>
      <c r="M85" s="15">
        <f>+'LGA-124.260'!$H$12</f>
        <v>2</v>
      </c>
      <c r="N85" s="35" t="s">
        <v>93</v>
      </c>
      <c r="O85" s="15">
        <v>3</v>
      </c>
      <c r="P85" s="35" t="s">
        <v>458</v>
      </c>
      <c r="Q85" s="35"/>
      <c r="R85" s="15"/>
      <c r="S85" s="24"/>
      <c r="T85" s="62" t="str">
        <f>+'LGA-124.260'!$J$4</f>
        <v>Joe Lucin</v>
      </c>
      <c r="U85" s="62"/>
      <c r="V85" s="94">
        <f>+'LGA-124.260'!$F$12</f>
        <v>35471255</v>
      </c>
      <c r="W85" s="165">
        <f t="shared" si="61"/>
        <v>0.97215364948322236</v>
      </c>
      <c r="X85" s="15"/>
      <c r="Y85" s="161">
        <f t="shared" si="62"/>
        <v>0.99100797783678773</v>
      </c>
      <c r="Z85" s="11" t="str">
        <f t="shared" si="63"/>
        <v>GOOD</v>
      </c>
      <c r="AA85" s="11"/>
      <c r="AB85" s="15"/>
      <c r="AC85" s="239">
        <f>VLOOKUP(H85,ECON_ADJUSTMENT!J$2:W$240,12,FALSE)</f>
        <v>34988080.56564717</v>
      </c>
      <c r="AD85" s="15" t="str">
        <f t="shared" si="55"/>
        <v>GOOD</v>
      </c>
      <c r="AE85" s="15"/>
      <c r="AF85" s="15"/>
      <c r="AG85" s="54">
        <f t="shared" si="64"/>
        <v>34796400</v>
      </c>
      <c r="AH85" s="54">
        <f t="shared" si="64"/>
        <v>34483510</v>
      </c>
      <c r="AI85" s="54">
        <f t="shared" si="65"/>
        <v>312890</v>
      </c>
    </row>
    <row r="86" spans="2:45" x14ac:dyDescent="0.25">
      <c r="C86" s="39">
        <v>2018</v>
      </c>
      <c r="D86" s="62" t="str">
        <f>+'HT-224.082'!$F$4</f>
        <v>HT-224.082</v>
      </c>
      <c r="E86" s="63" t="str">
        <f>+'HT-224.082'!$F$5</f>
        <v>Repl Bulkhead Doors in Ventilation Buildings</v>
      </c>
      <c r="F86" s="64">
        <f>+'HT-224.082'!$F$6</f>
        <v>43299</v>
      </c>
      <c r="G86" s="65" t="str">
        <f>+'HT-224.082'!$G$7</f>
        <v>Public</v>
      </c>
      <c r="H86" s="94">
        <f>+'HT-224.082'!$F$7</f>
        <v>3570000</v>
      </c>
      <c r="I86" s="94">
        <f>+'HT-224.082'!$F$8</f>
        <v>3861000</v>
      </c>
      <c r="J86" s="27"/>
      <c r="K86" s="26">
        <f>+'HT-224.082'!$G$9</f>
        <v>8.1512605042016809E-2</v>
      </c>
      <c r="L86" s="11" t="str">
        <f>+'HT-224.082'!$F$11</f>
        <v>GOOD</v>
      </c>
      <c r="M86" s="15">
        <f>+'HT-224.082'!$H$12</f>
        <v>6</v>
      </c>
      <c r="N86" s="35" t="s">
        <v>226</v>
      </c>
      <c r="O86" s="15">
        <v>3</v>
      </c>
      <c r="P86" s="35" t="s">
        <v>457</v>
      </c>
      <c r="Q86" s="35"/>
      <c r="R86" s="15"/>
      <c r="S86" s="24"/>
      <c r="T86" s="62" t="str">
        <f>+'HT-224.082'!$J$4</f>
        <v>Boris Lenderman</v>
      </c>
      <c r="U86" s="62"/>
      <c r="V86" s="94">
        <f>+'HT-224.082'!$F$12</f>
        <v>5535683.333333333</v>
      </c>
      <c r="W86" s="165">
        <f t="shared" si="61"/>
        <v>0.69747486760141031</v>
      </c>
      <c r="X86" s="15"/>
      <c r="Y86" s="161">
        <f t="shared" si="62"/>
        <v>1.0815126050420167</v>
      </c>
      <c r="Z86" s="11" t="str">
        <f t="shared" si="63"/>
        <v>GOOD</v>
      </c>
      <c r="AA86" s="11"/>
      <c r="AB86" s="15"/>
      <c r="AC86" s="239">
        <f>VLOOKUP(H86,ECON_ADJUSTMENT!J$2:W$240,12,FALSE)</f>
        <v>3517290.3200812102</v>
      </c>
      <c r="AD86" s="15" t="str">
        <f t="shared" si="55"/>
        <v>GOOD</v>
      </c>
      <c r="AE86" s="15"/>
      <c r="AF86" s="15"/>
      <c r="AG86" s="54">
        <f t="shared" si="64"/>
        <v>3570000</v>
      </c>
      <c r="AH86" s="54">
        <f t="shared" si="64"/>
        <v>3861000</v>
      </c>
      <c r="AI86" s="54">
        <f t="shared" si="65"/>
        <v>-291000</v>
      </c>
    </row>
    <row r="87" spans="2:45" x14ac:dyDescent="0.25">
      <c r="B87" s="164">
        <f>(COUNTIF(L74:L87,"G*")/COUNTA(L74:L87))</f>
        <v>0.46153846153846156</v>
      </c>
      <c r="C87" s="39">
        <v>2018</v>
      </c>
      <c r="D87" s="62" t="str">
        <f>+'EWR-154.308 bafo'!$F$4</f>
        <v>EWR-154.308 bafo</v>
      </c>
      <c r="E87" s="63" t="str">
        <f>+'EWR-154.308 bafo'!$F$5</f>
        <v>Rehabilitation of Taxiway S</v>
      </c>
      <c r="F87" s="64">
        <f>+'EWR-154.308 bafo'!$F$6</f>
        <v>43287</v>
      </c>
      <c r="G87" s="65" t="str">
        <f>+'EWR-154.308 bafo'!$G$7</f>
        <v>PQL</v>
      </c>
      <c r="H87" s="94">
        <f>+'EWR-154.308 bafo'!$F$7</f>
        <v>3730000</v>
      </c>
      <c r="I87" s="94">
        <f>+'EWR-154.308 bafo'!$F$8</f>
        <v>4547000</v>
      </c>
      <c r="J87" s="27"/>
      <c r="K87" s="26">
        <f>+'EWR-154.308 bafo'!$G$9</f>
        <v>0.2190348525469169</v>
      </c>
      <c r="L87" s="11" t="str">
        <f>+'EWR-154.308 bafo'!$F$11</f>
        <v>FAIL</v>
      </c>
      <c r="M87" s="15">
        <f>+'EWR-154.308 bafo'!$H$12</f>
        <v>3</v>
      </c>
      <c r="N87" s="35" t="s">
        <v>25</v>
      </c>
      <c r="O87" s="15">
        <v>3</v>
      </c>
      <c r="P87" s="35" t="s">
        <v>458</v>
      </c>
      <c r="Q87" s="35"/>
      <c r="R87" s="15"/>
      <c r="S87" s="24"/>
      <c r="T87" s="62" t="str">
        <f>+'EWR-154.308 bafo'!$J$4</f>
        <v>Joe Lucin</v>
      </c>
      <c r="U87" s="62"/>
      <c r="V87" s="94">
        <f>+'EWR-154.308 bafo'!$F$12</f>
        <v>4717276.666666667</v>
      </c>
      <c r="W87" s="165">
        <f t="shared" si="61"/>
        <v>0.96390360822593257</v>
      </c>
      <c r="X87" s="15"/>
      <c r="Y87" s="161">
        <f t="shared" si="62"/>
        <v>1.2190348525469168</v>
      </c>
      <c r="Z87" s="11" t="str">
        <f t="shared" si="63"/>
        <v>FAIL</v>
      </c>
      <c r="AA87" s="11"/>
      <c r="AB87" s="15"/>
      <c r="AC87" s="239">
        <f>VLOOKUP(H87,ECON_ADJUSTMENT!J$2:W$240,12,FALSE)</f>
        <v>5483651.2225230504</v>
      </c>
      <c r="AD87" s="15" t="str">
        <f t="shared" si="55"/>
        <v>FAIL</v>
      </c>
      <c r="AE87" s="15"/>
      <c r="AF87" s="15"/>
      <c r="AG87" s="54">
        <f t="shared" si="64"/>
        <v>3730000</v>
      </c>
      <c r="AH87" s="54">
        <f t="shared" si="64"/>
        <v>4547000</v>
      </c>
      <c r="AI87" s="54">
        <f t="shared" si="65"/>
        <v>-817000</v>
      </c>
      <c r="AK87" s="4">
        <f>SUM(H74:H87)</f>
        <v>202666650</v>
      </c>
      <c r="AL87" s="4">
        <f>SUM(I74:I87)</f>
        <v>173116560</v>
      </c>
      <c r="AM87" s="174">
        <f>+AL87/AK87</f>
        <v>0.85419362287776501</v>
      </c>
      <c r="AN87" s="1" t="s">
        <v>1324</v>
      </c>
      <c r="AO87" s="175">
        <f>+AK87+AK99+AK116</f>
        <v>756286150</v>
      </c>
      <c r="AP87" s="175">
        <f>+AL87+AL99+AL116</f>
        <v>572906174</v>
      </c>
      <c r="AQ87" s="176">
        <f>+AP87/AO87</f>
        <v>0.75752567199597665</v>
      </c>
      <c r="AR87" s="177"/>
      <c r="AS87" s="178"/>
    </row>
    <row r="88" spans="2:45" ht="7.5" customHeight="1" x14ac:dyDescent="0.25">
      <c r="C88" s="39"/>
      <c r="G88" s="45"/>
      <c r="Q88" s="11"/>
      <c r="AC88" s="239"/>
      <c r="AD88" s="15"/>
    </row>
    <row r="89" spans="2:45" x14ac:dyDescent="0.25">
      <c r="C89" s="39">
        <v>2018</v>
      </c>
      <c r="D89" s="62" t="str">
        <f>+'PAT-774.170'!$F$4</f>
        <v>PAT-774.170</v>
      </c>
      <c r="E89" s="63" t="str">
        <f>+'PAT-774.170'!$F$5</f>
        <v>Repl Exchange Place and Newport Escalators and Elevators</v>
      </c>
      <c r="F89" s="64">
        <f>+'PAT-774.170'!$F$6</f>
        <v>43264</v>
      </c>
      <c r="G89" s="65" t="str">
        <f>+'PAT-774.170'!$G$7</f>
        <v>Public</v>
      </c>
      <c r="H89" s="94">
        <f>+'PAT-774.170'!$F$7</f>
        <v>38600000</v>
      </c>
      <c r="I89" s="94">
        <f>+'PAT-774.170'!$F$8</f>
        <v>35950000</v>
      </c>
      <c r="J89" s="27"/>
      <c r="K89" s="26">
        <f>+'PAT-774.170'!$G$9</f>
        <v>-6.8652849740932637E-2</v>
      </c>
      <c r="L89" s="11" t="str">
        <f>+'PAT-774.170'!$F$11</f>
        <v>GOOD</v>
      </c>
      <c r="M89" s="15">
        <f>+'PAT-774.170'!$H$12</f>
        <v>2</v>
      </c>
      <c r="N89" s="35" t="s">
        <v>25</v>
      </c>
      <c r="O89" s="15">
        <v>2</v>
      </c>
      <c r="P89" s="35" t="s">
        <v>459</v>
      </c>
      <c r="Q89" s="35"/>
      <c r="R89" s="15"/>
      <c r="S89" s="24"/>
      <c r="T89" s="62" t="str">
        <f>+'PAT-774.170'!$J$4</f>
        <v>Nathan Demaisip</v>
      </c>
      <c r="U89" s="62"/>
      <c r="V89" s="94">
        <f>+'PAT-774.170'!$F$12</f>
        <v>39922000</v>
      </c>
      <c r="W89" s="165">
        <f>+I89/V89</f>
        <v>0.90050598667401438</v>
      </c>
      <c r="X89" s="15"/>
      <c r="Y89" s="161">
        <f>+I89/H89</f>
        <v>0.93134715025906734</v>
      </c>
      <c r="Z89" s="11" t="str">
        <f>(IF(Y89&lt;$Y$3,"FAIL",IF(Y89&gt;$Y$4,"FAIL","GOOD")))</f>
        <v>GOOD</v>
      </c>
      <c r="AA89" s="11"/>
      <c r="AB89" s="15"/>
      <c r="AC89" s="239">
        <f>VLOOKUP(H89,ECON_ADJUSTMENT!J$2:W$240,12,FALSE)</f>
        <v>36377719.416802891</v>
      </c>
      <c r="AD89" s="15" t="str">
        <f t="shared" si="55"/>
        <v>GOOD</v>
      </c>
      <c r="AE89" s="15"/>
      <c r="AF89" s="15"/>
      <c r="AG89" s="54">
        <f t="shared" ref="AG89:AH92" si="66">+H89</f>
        <v>38600000</v>
      </c>
      <c r="AH89" s="54">
        <f t="shared" si="66"/>
        <v>35950000</v>
      </c>
      <c r="AI89" s="54">
        <f>+AG89-AH89</f>
        <v>2650000</v>
      </c>
    </row>
    <row r="90" spans="2:45" x14ac:dyDescent="0.25">
      <c r="C90" s="39">
        <v>2018</v>
      </c>
      <c r="D90" s="62" t="str">
        <f>+'MFP-694.514'!$F$4</f>
        <v>MFP-694.514</v>
      </c>
      <c r="E90" s="63" t="str">
        <f>+'MFP-694.514'!$F$5</f>
        <v>NY and NJ Marine Terminals - CCTV Upgrade and Expansion (Port Newark and Brooklyn)</v>
      </c>
      <c r="F90" s="64">
        <f>+'MFP-694.514'!$F$6</f>
        <v>43259</v>
      </c>
      <c r="G90" s="65" t="str">
        <f>+'MFP-694.514'!$G$7</f>
        <v>VVP</v>
      </c>
      <c r="H90" s="94">
        <f>+'MFP-694.514'!$F$7</f>
        <v>2770000</v>
      </c>
      <c r="I90" s="94">
        <f>+'MFP-694.514'!$F$8</f>
        <v>2542996</v>
      </c>
      <c r="J90" s="27"/>
      <c r="K90" s="26">
        <f>+'MFP-694.514'!$G$9</f>
        <v>-8.1950902527075806E-2</v>
      </c>
      <c r="L90" s="11" t="str">
        <f>+'MFP-694.514'!$F$11</f>
        <v>GOOD</v>
      </c>
      <c r="M90" s="15">
        <f>+'MFP-694.514'!$H$12</f>
        <v>6</v>
      </c>
      <c r="N90" s="35" t="s">
        <v>226</v>
      </c>
      <c r="O90" s="15">
        <v>2</v>
      </c>
      <c r="P90" s="35" t="s">
        <v>492</v>
      </c>
      <c r="Q90" s="35"/>
      <c r="R90" s="15"/>
      <c r="S90" s="24"/>
      <c r="T90" s="62" t="str">
        <f>+'MFP-694.514'!$J$4</f>
        <v>Nathan Demaisip</v>
      </c>
      <c r="U90" s="62"/>
      <c r="V90" s="94">
        <f>+'MFP-694.514'!$F$12</f>
        <v>4162248.5</v>
      </c>
      <c r="W90" s="165">
        <f>+I90/V90</f>
        <v>0.61096688484601536</v>
      </c>
      <c r="X90" s="15"/>
      <c r="Y90" s="161">
        <f>+I90/H90</f>
        <v>0.91804909747292418</v>
      </c>
      <c r="Z90" s="11" t="str">
        <f>(IF(Y90&lt;$Y$3,"FAIL",IF(Y90&gt;$Y$4,"FAIL","GOOD")))</f>
        <v>GOOD</v>
      </c>
      <c r="AA90" s="11"/>
      <c r="AB90" s="15"/>
      <c r="AC90" s="239">
        <f>VLOOKUP(H90,ECON_ADJUSTMENT!J$2:W$240,12,FALSE)</f>
        <v>4648394.5339133926</v>
      </c>
      <c r="AD90" s="15" t="str">
        <f t="shared" si="55"/>
        <v>FAIL</v>
      </c>
      <c r="AE90" s="15"/>
      <c r="AF90" s="15"/>
      <c r="AG90" s="54">
        <f t="shared" si="66"/>
        <v>2770000</v>
      </c>
      <c r="AH90" s="54">
        <f t="shared" si="66"/>
        <v>2542996</v>
      </c>
      <c r="AI90" s="54">
        <f>+AG90-AH90</f>
        <v>227004</v>
      </c>
    </row>
    <row r="91" spans="2:45" x14ac:dyDescent="0.25">
      <c r="C91" s="39">
        <v>2018</v>
      </c>
      <c r="D91" s="62" t="str">
        <f>+'PAT-024.099'!$F$4</f>
        <v>PAT-024.099</v>
      </c>
      <c r="E91" s="63" t="str">
        <f>+'PAT-024.099'!$F$5</f>
        <v>Exchange Place Substation #4 Roof Replacement</v>
      </c>
      <c r="F91" s="64">
        <f>+'PAT-024.099'!$F$6</f>
        <v>43251</v>
      </c>
      <c r="G91" s="65" t="str">
        <f>+'PAT-024.099'!$G$7</f>
        <v>Public</v>
      </c>
      <c r="H91" s="94">
        <f>+'PAT-024.099'!$F$7</f>
        <v>1567000</v>
      </c>
      <c r="I91" s="94">
        <f>+'PAT-024.099'!$F$8</f>
        <v>918315</v>
      </c>
      <c r="J91" s="27"/>
      <c r="K91" s="26">
        <f>+'PAT-024.099'!$G$9</f>
        <v>-0.41396617740906189</v>
      </c>
      <c r="L91" s="11" t="str">
        <f>+'PAT-024.099'!$F$11</f>
        <v>GOOD</v>
      </c>
      <c r="M91" s="15">
        <f>+'PAT-024.099'!$H$12</f>
        <v>5</v>
      </c>
      <c r="N91" s="35" t="s">
        <v>25</v>
      </c>
      <c r="O91" s="15">
        <v>2</v>
      </c>
      <c r="P91" s="35" t="s">
        <v>459</v>
      </c>
      <c r="Q91" s="35"/>
      <c r="R91" s="15"/>
      <c r="S91" s="24" t="s">
        <v>932</v>
      </c>
      <c r="T91" s="62" t="str">
        <f>+'PAT-024.099'!$J$4</f>
        <v>Nathan Demaisip</v>
      </c>
      <c r="U91" s="62"/>
      <c r="V91" s="94">
        <f>+'PAT-024.099'!$F$12</f>
        <v>2609788.4</v>
      </c>
      <c r="W91" s="165">
        <f t="shared" ref="W91:W97" si="67">+I91/V91</f>
        <v>0.351873354943259</v>
      </c>
      <c r="X91" s="15"/>
      <c r="Y91" s="161">
        <f>+I91/H91</f>
        <v>0.58603382259093806</v>
      </c>
      <c r="Z91" s="11" t="str">
        <f>(IF(Y91&lt;$Y$3,"FAIL",IF(Y91&gt;$Y$4,"FAIL","GOOD")))</f>
        <v>FAIL</v>
      </c>
      <c r="AA91" s="11"/>
      <c r="AB91" s="15"/>
      <c r="AC91" s="239">
        <f>VLOOKUP(H91,ECON_ADJUSTMENT!J$2:W$240,12,FALSE)</f>
        <v>940412.19082383323</v>
      </c>
      <c r="AD91" s="15" t="str">
        <f t="shared" si="55"/>
        <v>GOOD</v>
      </c>
      <c r="AE91" s="15"/>
      <c r="AF91" s="15"/>
      <c r="AG91" s="54">
        <f t="shared" si="66"/>
        <v>1567000</v>
      </c>
      <c r="AH91" s="54">
        <f t="shared" si="66"/>
        <v>918315</v>
      </c>
      <c r="AI91" s="54">
        <f>+AG91-AH91</f>
        <v>648685</v>
      </c>
    </row>
    <row r="92" spans="2:45" x14ac:dyDescent="0.25">
      <c r="C92" s="39">
        <v>2018</v>
      </c>
      <c r="D92" s="62" t="str">
        <f>+'EWR-154.395'!$F$4</f>
        <v>EWR-154.395</v>
      </c>
      <c r="E92" s="63" t="str">
        <f>+'EWR-154.395'!$F$5</f>
        <v>Bridges N61, 62, 63, At-Grade Roadways and Appurtenances</v>
      </c>
      <c r="F92" s="64">
        <f>+'EWR-154.395'!$F$6</f>
        <v>43250</v>
      </c>
      <c r="G92" s="65" t="str">
        <f>+'EWR-154.395'!$G$7</f>
        <v>Public</v>
      </c>
      <c r="H92" s="94">
        <f>+'EWR-154.395'!$F$7</f>
        <v>153277500</v>
      </c>
      <c r="I92" s="94">
        <f>+'EWR-154.395'!$F$8</f>
        <v>118434757</v>
      </c>
      <c r="J92" s="27"/>
      <c r="K92" s="26">
        <f>+'EWR-154.395'!$G$9</f>
        <v>-0.22731805385656734</v>
      </c>
      <c r="L92" s="11" t="str">
        <f>+'EWR-154.395'!$F$11</f>
        <v>FAIL</v>
      </c>
      <c r="M92" s="15">
        <f>+'EWR-154.395'!$H$12</f>
        <v>13</v>
      </c>
      <c r="N92" s="35" t="s">
        <v>25</v>
      </c>
      <c r="O92" s="15">
        <v>2</v>
      </c>
      <c r="P92" s="35" t="s">
        <v>458</v>
      </c>
      <c r="Q92" s="35"/>
      <c r="R92" s="15"/>
      <c r="S92" s="24"/>
      <c r="T92" s="62" t="str">
        <f>+'EWR-154.395'!$J$4</f>
        <v>Joe Lucin</v>
      </c>
      <c r="U92" s="62"/>
      <c r="V92" s="94">
        <f>+'EWR-154.395'!$F$12</f>
        <v>138481360</v>
      </c>
      <c r="W92" s="165">
        <f t="shared" si="67"/>
        <v>0.85523970157427687</v>
      </c>
      <c r="X92" s="15"/>
      <c r="Y92" s="161">
        <f>+I92/H92</f>
        <v>0.77268194614343266</v>
      </c>
      <c r="Z92" s="11" t="str">
        <f>(IF(Y92&lt;$Y$3,"FAIL",IF(Y92&gt;$Y$4,"FAIL","GOOD")))</f>
        <v>FAIL</v>
      </c>
      <c r="AA92" s="11"/>
      <c r="AB92" s="15"/>
      <c r="AC92" s="239">
        <f>VLOOKUP(H92,ECON_ADJUSTMENT!J$2:W$240,12,FALSE)</f>
        <v>136153916.19600487</v>
      </c>
      <c r="AD92" s="15" t="str">
        <f t="shared" si="55"/>
        <v>GOOD</v>
      </c>
      <c r="AE92" s="15"/>
      <c r="AF92" s="15"/>
      <c r="AG92" s="54">
        <f t="shared" si="66"/>
        <v>153277500</v>
      </c>
      <c r="AH92" s="54">
        <f t="shared" si="66"/>
        <v>118434757</v>
      </c>
      <c r="AI92" s="54">
        <f>+AG92-AH92</f>
        <v>34842743</v>
      </c>
    </row>
    <row r="93" spans="2:45" x14ac:dyDescent="0.25">
      <c r="C93" s="39">
        <v>2018</v>
      </c>
      <c r="D93" s="62" t="str">
        <f>+'GWB-244.204 Void'!$F$4</f>
        <v>GWB-244.204</v>
      </c>
      <c r="E93" s="63" t="str">
        <f>+'GWB-244.204 Void'!$F$5</f>
        <v>Rehab Center and Lemoine Avenue Bridges</v>
      </c>
      <c r="F93" s="64">
        <f>+'GWB-244.204 Void'!$F$6</f>
        <v>43242</v>
      </c>
      <c r="G93" s="65"/>
      <c r="H93" s="94"/>
      <c r="I93" s="94"/>
      <c r="J93" s="27"/>
      <c r="K93" s="26"/>
      <c r="L93" s="11"/>
      <c r="M93" s="15"/>
      <c r="N93" s="35"/>
      <c r="O93" s="15"/>
      <c r="P93" s="35"/>
      <c r="Q93" s="35"/>
      <c r="R93" s="15"/>
      <c r="S93" s="24" t="s">
        <v>227</v>
      </c>
      <c r="T93" s="62"/>
      <c r="U93" s="62"/>
      <c r="V93" s="94"/>
      <c r="W93" s="165"/>
      <c r="X93" s="15"/>
      <c r="Y93" s="161"/>
      <c r="Z93" s="11"/>
      <c r="AA93" s="11"/>
      <c r="AB93" s="15"/>
      <c r="AC93" s="239"/>
      <c r="AD93" s="15"/>
      <c r="AE93" s="15"/>
      <c r="AF93" s="15"/>
      <c r="AG93" s="54"/>
      <c r="AH93" s="54"/>
      <c r="AI93" s="54"/>
    </row>
    <row r="94" spans="2:45" x14ac:dyDescent="0.25">
      <c r="C94" s="39">
        <v>2018</v>
      </c>
      <c r="D94" s="62" t="str">
        <f>+'MFP-924.650'!$F$4</f>
        <v>MFP-924.650</v>
      </c>
      <c r="E94" s="63" t="str">
        <f>+'MFP-924.650'!$F$5</f>
        <v>NY Marine Terminals - Maintenance Dredging via Work Order</v>
      </c>
      <c r="F94" s="64">
        <f>+'MFP-924.650'!$F$6</f>
        <v>43230</v>
      </c>
      <c r="G94" s="65" t="str">
        <f>+'MFP-924.650'!$G$7</f>
        <v>Public</v>
      </c>
      <c r="H94" s="94">
        <f>+'MFP-924.650'!$F$7</f>
        <v>4390000</v>
      </c>
      <c r="I94" s="94">
        <f>+'MFP-924.650'!$F$8</f>
        <v>4220000</v>
      </c>
      <c r="J94" s="27"/>
      <c r="K94" s="26">
        <f>+'MFP-924.650'!$G$9</f>
        <v>-3.8724373576309798E-2</v>
      </c>
      <c r="L94" s="11" t="str">
        <f>+'MFP-924.650'!$F$11</f>
        <v>GOOD</v>
      </c>
      <c r="M94" s="15">
        <f>+'MFP-924.650'!$H$12</f>
        <v>4</v>
      </c>
      <c r="N94" s="35" t="s">
        <v>93</v>
      </c>
      <c r="O94" s="15">
        <v>2</v>
      </c>
      <c r="P94" s="35" t="s">
        <v>492</v>
      </c>
      <c r="Q94" s="35"/>
      <c r="R94" s="15"/>
      <c r="S94" s="24"/>
      <c r="T94" s="62" t="str">
        <f>+'MFP-924.650'!$J$4</f>
        <v>Ed Minall</v>
      </c>
      <c r="U94" s="62"/>
      <c r="V94" s="94">
        <f>+'MFP-924.650'!$F$12</f>
        <v>6081225</v>
      </c>
      <c r="W94" s="165">
        <f t="shared" si="67"/>
        <v>0.69393913232942372</v>
      </c>
      <c r="X94" s="15"/>
      <c r="Y94" s="161">
        <f>+I94/H94</f>
        <v>0.96127562642369024</v>
      </c>
      <c r="Z94" s="11" t="str">
        <f>(IF(Y94&lt;$Y$3,"FAIL",IF(Y94&gt;$Y$4,"FAIL","GOOD")))</f>
        <v>GOOD</v>
      </c>
      <c r="AA94" s="11"/>
      <c r="AB94" s="15"/>
      <c r="AC94" s="239">
        <f>VLOOKUP(H94,ECON_ADJUSTMENT!J$2:W$240,12,FALSE)</f>
        <v>4230738.7416019589</v>
      </c>
      <c r="AD94" s="15" t="str">
        <f t="shared" si="55"/>
        <v>GOOD</v>
      </c>
      <c r="AE94" s="15"/>
      <c r="AF94" s="15"/>
      <c r="AG94" s="54">
        <f>+H94</f>
        <v>4390000</v>
      </c>
      <c r="AH94" s="54">
        <f>+I94</f>
        <v>4220000</v>
      </c>
      <c r="AI94" s="54">
        <f>+AG94-AH94</f>
        <v>170000</v>
      </c>
    </row>
    <row r="95" spans="2:45" x14ac:dyDescent="0.25">
      <c r="C95" s="39">
        <v>2018</v>
      </c>
      <c r="D95" s="62" t="str">
        <f>+'LT-924.121'!$F$4</f>
        <v>LT-924.121</v>
      </c>
      <c r="E95" s="63" t="str">
        <f>+'LT-924.121'!$F$5</f>
        <v>Steel Repairs at 38th St Bridge and Concrete Repairs at NY Vent Bldg South</v>
      </c>
      <c r="F95" s="64">
        <f>+'LT-924.121'!$F$6</f>
        <v>43221</v>
      </c>
      <c r="G95" s="65" t="str">
        <f>+'LT-924.121'!$G$7</f>
        <v>SBE</v>
      </c>
      <c r="H95" s="94">
        <f>+'LT-924.121'!$F$7</f>
        <v>960000</v>
      </c>
      <c r="I95" s="94">
        <f>+'LT-924.121'!$F$8</f>
        <v>413834</v>
      </c>
      <c r="J95" s="27"/>
      <c r="K95" s="26">
        <f>+'LT-924.121'!$G$9</f>
        <v>-0.56892291666666661</v>
      </c>
      <c r="L95" s="11" t="str">
        <f>+'LT-924.121'!$F$11</f>
        <v>FAIL</v>
      </c>
      <c r="M95" s="15">
        <f>+'LT-924.121'!$H$12</f>
        <v>5</v>
      </c>
      <c r="N95" s="35" t="s">
        <v>93</v>
      </c>
      <c r="O95" s="15">
        <v>2</v>
      </c>
      <c r="P95" s="35" t="s">
        <v>457</v>
      </c>
      <c r="Q95" s="35"/>
      <c r="R95" s="15"/>
      <c r="S95" s="24"/>
      <c r="T95" s="62" t="str">
        <f>+'LT-924.121'!$J$4</f>
        <v>Ed Minall</v>
      </c>
      <c r="U95" s="62"/>
      <c r="V95" s="94">
        <f>+'LT-924.121'!$F$12</f>
        <v>710613.8</v>
      </c>
      <c r="W95" s="165">
        <f t="shared" si="67"/>
        <v>0.58236133325865602</v>
      </c>
      <c r="X95" s="15"/>
      <c r="Y95" s="161">
        <f>+I95/H95</f>
        <v>0.43107708333333333</v>
      </c>
      <c r="Z95" s="11" t="str">
        <f>(IF(Y95&lt;$Y$3,"FAIL",IF(Y95&gt;$Y$4,"FAIL","GOOD")))</f>
        <v>FAIL</v>
      </c>
      <c r="AA95" s="11"/>
      <c r="AB95" s="15"/>
      <c r="AC95" s="239">
        <f>VLOOKUP(H95,ECON_ADJUSTMENT!J$2:W$240,12,FALSE)</f>
        <v>1700637.3900308467</v>
      </c>
      <c r="AD95" s="15" t="str">
        <f t="shared" si="55"/>
        <v>FAIL</v>
      </c>
      <c r="AE95" s="15"/>
      <c r="AF95" s="15"/>
      <c r="AG95" s="54">
        <f>+H95</f>
        <v>960000</v>
      </c>
      <c r="AH95" s="54">
        <f>+I95</f>
        <v>413834</v>
      </c>
      <c r="AI95" s="54">
        <f>+AG95-AH95</f>
        <v>546166</v>
      </c>
    </row>
    <row r="96" spans="2:45" x14ac:dyDescent="0.25">
      <c r="C96" s="39">
        <v>2018</v>
      </c>
      <c r="D96" s="62" t="str">
        <f>+'EWR-154.308 Void'!$F$4</f>
        <v>EWR-154.308</v>
      </c>
      <c r="E96" s="63" t="str">
        <f>+'EWR-154.308 Void'!$F$5</f>
        <v>Rehabilitation of Taxiway S</v>
      </c>
      <c r="F96" s="64">
        <f>+'EWR-154.308 Void'!$F$6</f>
        <v>43207</v>
      </c>
      <c r="G96" s="65"/>
      <c r="H96" s="94"/>
      <c r="I96" s="94"/>
      <c r="J96" s="27"/>
      <c r="K96" s="26"/>
      <c r="L96" s="11"/>
      <c r="M96" s="15"/>
      <c r="N96" s="35"/>
      <c r="O96" s="15"/>
      <c r="P96" s="35"/>
      <c r="Q96" s="35"/>
      <c r="R96" s="15"/>
      <c r="S96" s="24" t="s">
        <v>227</v>
      </c>
      <c r="T96" s="62"/>
      <c r="U96" s="62"/>
      <c r="V96" s="94"/>
      <c r="W96" s="165"/>
      <c r="X96" s="15"/>
      <c r="Y96" s="161"/>
      <c r="Z96" s="11"/>
      <c r="AA96" s="11"/>
      <c r="AB96" s="15"/>
      <c r="AC96" s="239"/>
      <c r="AD96" s="15"/>
      <c r="AE96" s="15"/>
      <c r="AF96" s="15"/>
      <c r="AG96" s="54"/>
      <c r="AH96" s="54"/>
      <c r="AI96" s="54"/>
    </row>
    <row r="97" spans="2:45" x14ac:dyDescent="0.25">
      <c r="C97" s="39">
        <v>2018</v>
      </c>
      <c r="D97" s="62" t="str">
        <f>+'PAT-774.169'!$F$4</f>
        <v>PAT-774.169</v>
      </c>
      <c r="E97" s="63" t="str">
        <f>+'PAT-774.169'!$F$5</f>
        <v>Replace Elevators at Harrison Car Maintenance Facility</v>
      </c>
      <c r="F97" s="64">
        <f>+'PAT-774.169'!$F$6</f>
        <v>43195</v>
      </c>
      <c r="G97" s="65" t="str">
        <f>+'PAT-774.169'!$G$7</f>
        <v>Public</v>
      </c>
      <c r="H97" s="94">
        <f>+'PAT-774.169'!$F$7</f>
        <v>1520000</v>
      </c>
      <c r="I97" s="94">
        <f>+'PAT-774.169'!$F$8</f>
        <v>856934</v>
      </c>
      <c r="J97" s="27"/>
      <c r="K97" s="26">
        <f>+'PAT-774.169'!$G$9</f>
        <v>-0.43622763157894739</v>
      </c>
      <c r="L97" s="11" t="str">
        <f>+'PAT-774.169'!$F$11</f>
        <v>GOOD</v>
      </c>
      <c r="M97" s="15">
        <f>+'PAT-774.169'!$H$12</f>
        <v>4</v>
      </c>
      <c r="N97" s="35" t="s">
        <v>25</v>
      </c>
      <c r="O97" s="15">
        <v>2</v>
      </c>
      <c r="P97" s="35" t="s">
        <v>459</v>
      </c>
      <c r="Q97" s="35" t="s">
        <v>1281</v>
      </c>
      <c r="R97" s="15"/>
      <c r="S97" s="24" t="s">
        <v>932</v>
      </c>
      <c r="T97" s="62" t="str">
        <f>+'PAT-774.169'!$J$4</f>
        <v>Nathan Demaisip</v>
      </c>
      <c r="U97" s="62"/>
      <c r="V97" s="94">
        <f>+'PAT-774.169'!$F$12</f>
        <v>1906983.5</v>
      </c>
      <c r="W97" s="165">
        <f t="shared" si="67"/>
        <v>0.4493662373061959</v>
      </c>
      <c r="X97" s="15"/>
      <c r="Y97" s="161">
        <f>+I97/H97</f>
        <v>0.56377236842105261</v>
      </c>
      <c r="Z97" s="11" t="str">
        <f>(IF(Y97&lt;$Y$3,"FAIL",IF(Y97&gt;$Y$4,"FAIL","GOOD")))</f>
        <v>FAIL</v>
      </c>
      <c r="AA97" s="11"/>
      <c r="AB97" s="15"/>
      <c r="AC97" s="239">
        <f>VLOOKUP(H97,ECON_ADJUSTMENT!J$2:W$240,12,FALSE)</f>
        <v>268152.70454669953</v>
      </c>
      <c r="AD97" s="15" t="str">
        <f t="shared" si="55"/>
        <v>FAIL</v>
      </c>
      <c r="AE97" s="15"/>
      <c r="AF97" s="15"/>
      <c r="AG97" s="54">
        <f t="shared" ref="AG97:AH99" si="68">+H97</f>
        <v>1520000</v>
      </c>
      <c r="AH97" s="54">
        <f t="shared" si="68"/>
        <v>856934</v>
      </c>
      <c r="AI97" s="54">
        <f>+AG97-AH97</f>
        <v>663066</v>
      </c>
    </row>
    <row r="98" spans="2:45" x14ac:dyDescent="0.25">
      <c r="C98" s="39">
        <v>2018</v>
      </c>
      <c r="D98" s="62" t="str">
        <f>+'MFP-824.016'!$F$4</f>
        <v>MFP-824.016</v>
      </c>
      <c r="E98" s="63" t="str">
        <f>+'MFP-824.016'!$F$5</f>
        <v>NY Marine Terminals Priority Repairs by Work Order</v>
      </c>
      <c r="F98" s="64">
        <f>+'MFP-824.016'!$F$6</f>
        <v>43193</v>
      </c>
      <c r="G98" s="65" t="str">
        <f>+'MFP-824.016'!$G$7</f>
        <v>Public</v>
      </c>
      <c r="H98" s="94">
        <f>+'MFP-824.016'!$F$7</f>
        <v>9140000</v>
      </c>
      <c r="I98" s="94">
        <f>+'MFP-824.016'!$F$8</f>
        <v>4659626</v>
      </c>
      <c r="J98" s="27"/>
      <c r="K98" s="26">
        <f>+'MFP-824.016'!$G$9</f>
        <v>-0.49019409190371993</v>
      </c>
      <c r="L98" s="11" t="str">
        <f>+'MFP-824.016'!$F$11</f>
        <v>GOOD</v>
      </c>
      <c r="M98" s="15">
        <f>+'MFP-824.016'!$H$12</f>
        <v>5</v>
      </c>
      <c r="N98" s="35" t="s">
        <v>93</v>
      </c>
      <c r="O98" s="15">
        <v>2</v>
      </c>
      <c r="P98" s="35" t="s">
        <v>492</v>
      </c>
      <c r="Q98" s="35" t="s">
        <v>1282</v>
      </c>
      <c r="R98" s="15"/>
      <c r="S98" s="24" t="s">
        <v>932</v>
      </c>
      <c r="T98" s="62" t="str">
        <f>+'MFP-824.016'!$J$4</f>
        <v>Ed Minall</v>
      </c>
      <c r="U98" s="62"/>
      <c r="V98" s="94">
        <f>+'MFP-824.016'!$F$12</f>
        <v>10095414</v>
      </c>
      <c r="W98" s="165">
        <f t="shared" ref="W98:W161" si="69">+I98/V98</f>
        <v>0.46155868397274247</v>
      </c>
      <c r="X98" s="15"/>
      <c r="Y98" s="161">
        <f>+I98/H98</f>
        <v>0.50980590809628012</v>
      </c>
      <c r="Z98" s="11" t="str">
        <f>(IF(Y98&lt;$Y$3,"FAIL",IF(Y98&gt;$Y$4,"FAIL","GOOD")))</f>
        <v>FAIL</v>
      </c>
      <c r="AA98" s="11"/>
      <c r="AB98" s="15"/>
      <c r="AC98" s="239">
        <f>VLOOKUP(H98,ECON_ADJUSTMENT!J$2:W$240,12,FALSE)</f>
        <v>8363519.2321184892</v>
      </c>
      <c r="AD98" s="15" t="str">
        <f t="shared" si="55"/>
        <v>GOOD</v>
      </c>
      <c r="AE98" s="15"/>
      <c r="AF98" s="15"/>
      <c r="AG98" s="54">
        <f t="shared" si="68"/>
        <v>9140000</v>
      </c>
      <c r="AH98" s="54">
        <f t="shared" si="68"/>
        <v>4659626</v>
      </c>
      <c r="AI98" s="54">
        <f>+AG98-AH98</f>
        <v>4480374</v>
      </c>
    </row>
    <row r="99" spans="2:45" x14ac:dyDescent="0.25">
      <c r="B99" s="164">
        <f>(COUNTIF(L89:L99,"G*")/COUNTA(L89:L99))</f>
        <v>0.77777777777777779</v>
      </c>
      <c r="C99" s="39">
        <v>2018</v>
      </c>
      <c r="D99" s="62" t="str">
        <f>+'TEB-144.046'!$F$4</f>
        <v>TEB-144.046</v>
      </c>
      <c r="E99" s="63" t="str">
        <f>+'TEB-144.046'!$F$5</f>
        <v>Removal of Taxiway B and Construction of Taxiway V</v>
      </c>
      <c r="F99" s="64">
        <f>+'TEB-144.046'!$F$6</f>
        <v>43193</v>
      </c>
      <c r="G99" s="65" t="str">
        <f>+'TEB-144.046'!$G$7</f>
        <v>Public</v>
      </c>
      <c r="H99" s="94">
        <f>+'TEB-144.046'!$F$7</f>
        <v>3441000</v>
      </c>
      <c r="I99" s="94">
        <f>+'TEB-144.046'!$F$8</f>
        <v>2993080</v>
      </c>
      <c r="J99" s="27"/>
      <c r="K99" s="26">
        <f>+'TEB-144.046'!$G$9</f>
        <v>-0.13017146178436501</v>
      </c>
      <c r="L99" s="11" t="str">
        <f>+'TEB-144.046'!$F$11</f>
        <v>GOOD</v>
      </c>
      <c r="M99" s="15">
        <f>+'TEB-144.046'!$H$12</f>
        <v>3</v>
      </c>
      <c r="N99" s="35" t="s">
        <v>25</v>
      </c>
      <c r="O99" s="15">
        <v>2</v>
      </c>
      <c r="P99" s="35" t="s">
        <v>458</v>
      </c>
      <c r="Q99" s="35" t="s">
        <v>1283</v>
      </c>
      <c r="R99" s="15"/>
      <c r="S99" s="24"/>
      <c r="T99" s="62" t="str">
        <f>+'TEB-144.046'!$J$4</f>
        <v>Joe Lucin</v>
      </c>
      <c r="U99" s="62"/>
      <c r="V99" s="94">
        <f>+'TEB-144.046'!$F$12</f>
        <v>3534026.6666666665</v>
      </c>
      <c r="W99" s="165">
        <f t="shared" si="69"/>
        <v>0.84693192279250873</v>
      </c>
      <c r="X99" s="15"/>
      <c r="Y99" s="161">
        <f>+I99/H99</f>
        <v>0.86982853821563499</v>
      </c>
      <c r="Z99" s="11" t="str">
        <f>(IF(Y99&lt;$Y$3,"FAIL",IF(Y99&gt;$Y$4,"FAIL","GOOD")))</f>
        <v>GOOD</v>
      </c>
      <c r="AA99" s="74">
        <f>(COUNTIF(Z90:Z99,"G*")/COUNTA(Z90:Z99))</f>
        <v>0.375</v>
      </c>
      <c r="AB99" s="15"/>
      <c r="AC99" s="239">
        <f>VLOOKUP(H99,ECON_ADJUSTMENT!J$2:W$240,12,FALSE)</f>
        <v>3312486.4030497372</v>
      </c>
      <c r="AD99" s="15" t="str">
        <f t="shared" si="55"/>
        <v>GOOD</v>
      </c>
      <c r="AE99" s="15"/>
      <c r="AF99" s="15"/>
      <c r="AG99" s="54">
        <f t="shared" si="68"/>
        <v>3441000</v>
      </c>
      <c r="AH99" s="54">
        <f t="shared" si="68"/>
        <v>2993080</v>
      </c>
      <c r="AI99" s="54">
        <f>+AG99-AH99</f>
        <v>447920</v>
      </c>
      <c r="AK99" s="4">
        <f>SUM(H89:H99)</f>
        <v>215665500</v>
      </c>
      <c r="AL99" s="4">
        <f>SUM(I89:I99)</f>
        <v>170989542</v>
      </c>
      <c r="AM99" s="174">
        <f>+AL99/AK99</f>
        <v>0.79284606021825466</v>
      </c>
      <c r="AN99" s="1" t="s">
        <v>1324</v>
      </c>
      <c r="AO99" s="175">
        <f>+AK99+AK116</f>
        <v>553619500</v>
      </c>
      <c r="AP99" s="175">
        <f>+AL99+AL116</f>
        <v>399789614</v>
      </c>
      <c r="AQ99" s="176">
        <f>+AP99/AO99</f>
        <v>0.72213788351024488</v>
      </c>
      <c r="AR99" s="177"/>
      <c r="AS99" s="178"/>
    </row>
    <row r="100" spans="2:45" ht="7.5" customHeight="1" x14ac:dyDescent="0.25">
      <c r="C100" s="39"/>
      <c r="G100" s="45"/>
      <c r="P100" s="11"/>
      <c r="Q100" s="11"/>
      <c r="T100" s="15"/>
      <c r="U100" s="15"/>
      <c r="V100" s="94"/>
      <c r="W100" s="94"/>
      <c r="AC100" s="239"/>
      <c r="AD100" s="15"/>
      <c r="AG100" s="54"/>
      <c r="AH100" s="54"/>
      <c r="AI100" s="54"/>
    </row>
    <row r="101" spans="2:45" x14ac:dyDescent="0.25">
      <c r="C101" s="39">
        <v>2018</v>
      </c>
      <c r="D101" s="62" t="str">
        <f>+'LGA-124.261'!$F$4</f>
        <v>LGA-124.261</v>
      </c>
      <c r="E101" s="63" t="str">
        <f>+'LGA-124.261'!$F$5</f>
        <v>Rehab of Pump House 1 Retaining Wall</v>
      </c>
      <c r="F101" s="64">
        <f>+'LGA-124.261'!$F$6</f>
        <v>43179</v>
      </c>
      <c r="G101" s="65" t="str">
        <f>+'LGA-124.261'!$G$7</f>
        <v>Public</v>
      </c>
      <c r="H101" s="94">
        <f>+'LGA-124.261'!$F$7</f>
        <v>1440000</v>
      </c>
      <c r="I101" s="94">
        <f>+'LGA-124.261'!$F$8</f>
        <v>1928000</v>
      </c>
      <c r="J101" s="27"/>
      <c r="K101" s="26">
        <f>+'LGA-124.261'!$G$9</f>
        <v>0.33888888888888891</v>
      </c>
      <c r="L101" s="11" t="str">
        <f>+'LGA-124.261'!$F$11</f>
        <v>FAIL</v>
      </c>
      <c r="M101" s="15">
        <f>+'LGA-124.261'!$H$12</f>
        <v>7</v>
      </c>
      <c r="N101" s="35" t="s">
        <v>93</v>
      </c>
      <c r="O101" s="15">
        <v>1</v>
      </c>
      <c r="P101" s="35" t="s">
        <v>458</v>
      </c>
      <c r="Q101" s="35" t="s">
        <v>1282</v>
      </c>
      <c r="R101" s="15"/>
      <c r="S101" s="24"/>
      <c r="T101" s="62" t="str">
        <f>+'LGA-124.261'!$J$4</f>
        <v>Joe Lucin</v>
      </c>
      <c r="U101" s="62"/>
      <c r="V101" s="94">
        <f>+'LGA-124.261'!$F$12</f>
        <v>2393861.8571428573</v>
      </c>
      <c r="W101" s="165">
        <f t="shared" si="69"/>
        <v>0.8053931743167182</v>
      </c>
      <c r="X101" s="15"/>
      <c r="Y101" s="161">
        <f>+I101/H101</f>
        <v>1.3388888888888888</v>
      </c>
      <c r="Z101" s="11" t="str">
        <f t="shared" ref="Z101:Z108" si="70">(IF(Y101&lt;$Y$3,"FAIL",IF(Y101&gt;$Y$4,"FAIL","GOOD")))</f>
        <v>FAIL</v>
      </c>
      <c r="AA101" s="11"/>
      <c r="AB101" s="15"/>
      <c r="AC101" s="239">
        <f>VLOOKUP(H101,ECON_ADJUSTMENT!J$2:W$240,12,FALSE)</f>
        <v>829914.69139318075</v>
      </c>
      <c r="AD101" s="15" t="str">
        <f t="shared" si="55"/>
        <v>FAIL</v>
      </c>
      <c r="AE101" s="15"/>
      <c r="AF101" s="15"/>
      <c r="AG101" s="54">
        <f t="shared" ref="AG101:AG113" si="71">+H101</f>
        <v>1440000</v>
      </c>
      <c r="AH101" s="54">
        <f t="shared" ref="AH101:AH113" si="72">+I101</f>
        <v>1928000</v>
      </c>
      <c r="AI101" s="54">
        <f t="shared" ref="AI101:AI113" si="73">+AG101-AH101</f>
        <v>-488000</v>
      </c>
    </row>
    <row r="102" spans="2:45" x14ac:dyDescent="0.25">
      <c r="C102" s="39">
        <v>2018</v>
      </c>
      <c r="D102" s="62" t="str">
        <f>+'AKO-284.051'!$F$4</f>
        <v>AKO-284.051</v>
      </c>
      <c r="E102" s="63" t="str">
        <f>+'AKO-284.051'!$F$5</f>
        <v>Main Spain Pier and Fender Upgrades</v>
      </c>
      <c r="F102" s="64">
        <f>+'AKO-284.051'!$F$6</f>
        <v>43179</v>
      </c>
      <c r="G102" s="65" t="str">
        <f>+'AKO-284.051'!$G$7</f>
        <v>Public</v>
      </c>
      <c r="H102" s="94">
        <f>+'AKO-284.051'!$F$7</f>
        <v>27125000</v>
      </c>
      <c r="I102" s="94">
        <f>+'AKO-284.051'!$F$8</f>
        <v>22964560</v>
      </c>
      <c r="J102" s="27"/>
      <c r="K102" s="26">
        <f>+'AKO-284.051'!$G$9</f>
        <v>-0.15338027649769584</v>
      </c>
      <c r="L102" s="11" t="str">
        <f>+'AKO-284.051'!$F$11</f>
        <v>GOOD</v>
      </c>
      <c r="M102" s="15">
        <f>+'AKO-284.051'!$H$12</f>
        <v>10</v>
      </c>
      <c r="N102" s="35" t="s">
        <v>226</v>
      </c>
      <c r="O102" s="15">
        <v>1</v>
      </c>
      <c r="P102" s="35" t="s">
        <v>457</v>
      </c>
      <c r="Q102" s="35" t="s">
        <v>1282</v>
      </c>
      <c r="R102" s="15"/>
      <c r="S102" s="24"/>
      <c r="T102" s="62" t="str">
        <f>+'AKO-284.051'!$J$4</f>
        <v>Ed Minall</v>
      </c>
      <c r="U102" s="62"/>
      <c r="V102" s="94">
        <f>+'AKO-284.051'!$F$12</f>
        <v>31632465.399999999</v>
      </c>
      <c r="W102" s="165">
        <f t="shared" si="69"/>
        <v>0.72598071979555534</v>
      </c>
      <c r="X102" s="15"/>
      <c r="Y102" s="161">
        <f>+I102/H102</f>
        <v>0.84661972350230419</v>
      </c>
      <c r="Z102" s="11" t="str">
        <f t="shared" si="70"/>
        <v>FAIL</v>
      </c>
      <c r="AA102" s="11"/>
      <c r="AB102" s="15"/>
      <c r="AC102" s="239">
        <f>VLOOKUP(H102,ECON_ADJUSTMENT!J$2:W$240,12,FALSE)</f>
        <v>26393791.810765594</v>
      </c>
      <c r="AD102" s="15" t="str">
        <f t="shared" si="55"/>
        <v>GOOD</v>
      </c>
      <c r="AE102" s="15"/>
      <c r="AF102" s="15"/>
      <c r="AG102" s="54">
        <f t="shared" si="71"/>
        <v>27125000</v>
      </c>
      <c r="AH102" s="54">
        <f t="shared" si="72"/>
        <v>22964560</v>
      </c>
      <c r="AI102" s="54">
        <f t="shared" si="73"/>
        <v>4160440</v>
      </c>
    </row>
    <row r="103" spans="2:45" x14ac:dyDescent="0.25">
      <c r="C103" s="39">
        <v>2018</v>
      </c>
      <c r="D103" s="62" t="str">
        <f>+'AKO-284.049'!$F$4</f>
        <v>AKO-284.049</v>
      </c>
      <c r="E103" s="63" t="str">
        <f>+'AKO-284.049'!$F$5</f>
        <v>Tollhouse Building Roof</v>
      </c>
      <c r="F103" s="64">
        <f>+'AKO-284.049'!$F$6</f>
        <v>43174</v>
      </c>
      <c r="G103" s="65" t="str">
        <f>+'AKO-284.049'!$G$7</f>
        <v>Public</v>
      </c>
      <c r="H103" s="94">
        <f>+'AKO-284.049'!$F$7</f>
        <v>1150000</v>
      </c>
      <c r="I103" s="94">
        <f>+'AKO-284.049'!$F$8</f>
        <v>1253317</v>
      </c>
      <c r="J103" s="27"/>
      <c r="K103" s="26">
        <f>+'AKO-284.049'!$G$9</f>
        <v>8.9840869565217391E-2</v>
      </c>
      <c r="L103" s="11" t="str">
        <f>+'AKO-284.049'!$F$11</f>
        <v>GOOD</v>
      </c>
      <c r="M103" s="15">
        <f>+'AKO-284.049'!$H$12</f>
        <v>6</v>
      </c>
      <c r="N103" s="35" t="s">
        <v>93</v>
      </c>
      <c r="O103" s="15">
        <v>1</v>
      </c>
      <c r="P103" s="35" t="s">
        <v>457</v>
      </c>
      <c r="Q103" s="35" t="s">
        <v>1284</v>
      </c>
      <c r="R103" s="15"/>
      <c r="S103" s="24"/>
      <c r="T103" s="62" t="str">
        <f>+'AKO-284.049'!$J$4</f>
        <v>Joe Lucin</v>
      </c>
      <c r="U103" s="62"/>
      <c r="V103" s="94">
        <f>+'AKO-284.049'!$F$12</f>
        <v>1900429</v>
      </c>
      <c r="W103" s="165">
        <f t="shared" si="69"/>
        <v>0.65949162004999928</v>
      </c>
      <c r="X103" s="15"/>
      <c r="Y103" s="161">
        <f t="shared" ref="Y103:Y108" si="74">+I103/H103</f>
        <v>1.0898408695652173</v>
      </c>
      <c r="Z103" s="11" t="str">
        <f t="shared" si="70"/>
        <v>GOOD</v>
      </c>
      <c r="AA103" s="11"/>
      <c r="AB103" s="15"/>
      <c r="AC103" s="239">
        <f>VLOOKUP(H103,ECON_ADJUSTMENT!J$2:W$240,12,FALSE)</f>
        <v>-53769.144188272301</v>
      </c>
      <c r="AD103" s="15" t="str">
        <f t="shared" si="55"/>
        <v>FAIL</v>
      </c>
      <c r="AE103" s="15"/>
      <c r="AF103" s="15"/>
      <c r="AG103" s="54">
        <f t="shared" si="71"/>
        <v>1150000</v>
      </c>
      <c r="AH103" s="54">
        <f t="shared" si="72"/>
        <v>1253317</v>
      </c>
      <c r="AI103" s="54">
        <f t="shared" si="73"/>
        <v>-103317</v>
      </c>
    </row>
    <row r="104" spans="2:45" x14ac:dyDescent="0.25">
      <c r="C104" s="39">
        <v>2018</v>
      </c>
      <c r="D104" s="62" t="str">
        <f>+'LT-924.175'!$F$4</f>
        <v>LT-924.175</v>
      </c>
      <c r="E104" s="63" t="str">
        <f>+'LT-924.175'!$F$5</f>
        <v>Helix Guiderail Repair and Manhole Cover Relocation</v>
      </c>
      <c r="F104" s="64">
        <f>+'LT-924.175'!$F$6</f>
        <v>43173</v>
      </c>
      <c r="G104" s="65" t="str">
        <f>+'LT-924.175'!$G$7</f>
        <v>MWBE</v>
      </c>
      <c r="H104" s="94">
        <f>+'LT-924.175'!$F$7</f>
        <v>600000</v>
      </c>
      <c r="I104" s="94">
        <f>+'LT-924.175'!$F$8</f>
        <v>749000</v>
      </c>
      <c r="J104" s="27"/>
      <c r="K104" s="26">
        <f>+'LT-924.175'!$G$9</f>
        <v>0.24833333333333332</v>
      </c>
      <c r="L104" s="11" t="str">
        <f>+'LT-924.175'!$F$11</f>
        <v>FAIL</v>
      </c>
      <c r="M104" s="15">
        <f>+'LT-924.175'!$H$12</f>
        <v>3</v>
      </c>
      <c r="N104" s="35" t="s">
        <v>25</v>
      </c>
      <c r="O104" s="15">
        <v>1</v>
      </c>
      <c r="P104" s="35" t="s">
        <v>457</v>
      </c>
      <c r="Q104" s="35" t="s">
        <v>1283</v>
      </c>
      <c r="R104" s="15"/>
      <c r="S104" s="24"/>
      <c r="T104" s="62" t="str">
        <f>+'LT-924.175'!$J$4</f>
        <v>Boris Lenderman</v>
      </c>
      <c r="U104" s="62"/>
      <c r="V104" s="94">
        <f>+'LT-924.175'!$F$12</f>
        <v>994735</v>
      </c>
      <c r="W104" s="165">
        <f t="shared" si="69"/>
        <v>0.75296435734140243</v>
      </c>
      <c r="X104" s="15"/>
      <c r="Y104" s="161">
        <f t="shared" si="74"/>
        <v>1.2483333333333333</v>
      </c>
      <c r="Z104" s="11" t="str">
        <f t="shared" si="70"/>
        <v>FAIL</v>
      </c>
      <c r="AA104" s="11"/>
      <c r="AB104" s="15"/>
      <c r="AC104" s="239">
        <f>VLOOKUP(H104,ECON_ADJUSTMENT!J$2:W$240,12,FALSE)</f>
        <v>-532301.62203755463</v>
      </c>
      <c r="AD104" s="15" t="str">
        <f t="shared" si="55"/>
        <v>FAIL</v>
      </c>
      <c r="AE104" s="15"/>
      <c r="AF104" s="15"/>
      <c r="AG104" s="54">
        <f t="shared" si="71"/>
        <v>600000</v>
      </c>
      <c r="AH104" s="54">
        <f t="shared" si="72"/>
        <v>749000</v>
      </c>
      <c r="AI104" s="54">
        <f t="shared" si="73"/>
        <v>-149000</v>
      </c>
    </row>
    <row r="105" spans="2:45" x14ac:dyDescent="0.25">
      <c r="C105" s="39">
        <v>2018</v>
      </c>
      <c r="D105" s="62" t="str">
        <f>+'EWR-154.396'!$F$4</f>
        <v>EWR-154.396</v>
      </c>
      <c r="E105" s="63" t="str">
        <f>+'EWR-154.396'!$F$5</f>
        <v>Bridge N64 and Hotel Road Widening</v>
      </c>
      <c r="F105" s="64">
        <f>+'EWR-154.396'!$F$6</f>
        <v>43168</v>
      </c>
      <c r="G105" s="65" t="str">
        <f>+'EWR-154.396'!$G$7</f>
        <v>Public</v>
      </c>
      <c r="H105" s="94">
        <f>+'EWR-154.396'!$F$7</f>
        <v>10900000</v>
      </c>
      <c r="I105" s="94">
        <f>+'EWR-154.396'!$F$8</f>
        <v>10417536</v>
      </c>
      <c r="J105" s="27"/>
      <c r="K105" s="26">
        <f>+'EWR-154.396'!$G$9</f>
        <v>-4.4262752293577984E-2</v>
      </c>
      <c r="L105" s="11" t="str">
        <f>+'EWR-154.396'!$F$11</f>
        <v>GOOD</v>
      </c>
      <c r="M105" s="15">
        <f>+'EWR-154.396'!$H$12</f>
        <v>11</v>
      </c>
      <c r="N105" s="35" t="s">
        <v>25</v>
      </c>
      <c r="O105" s="15">
        <v>1</v>
      </c>
      <c r="P105" s="35" t="s">
        <v>458</v>
      </c>
      <c r="Q105" s="35" t="s">
        <v>1283</v>
      </c>
      <c r="R105" s="15"/>
      <c r="S105" s="24"/>
      <c r="T105" s="62" t="str">
        <f>+'EWR-154.396'!$J$4</f>
        <v>Joe Lucin</v>
      </c>
      <c r="U105" s="62"/>
      <c r="V105" s="94">
        <f>+'EWR-154.396'!$F$12</f>
        <v>12059792.454545455</v>
      </c>
      <c r="W105" s="165">
        <f t="shared" si="69"/>
        <v>0.86382382112003331</v>
      </c>
      <c r="X105" s="15"/>
      <c r="Y105" s="161">
        <f t="shared" si="74"/>
        <v>0.95573724770642199</v>
      </c>
      <c r="Z105" s="11" t="str">
        <f t="shared" si="70"/>
        <v>GOOD</v>
      </c>
      <c r="AA105" s="11"/>
      <c r="AB105" s="15"/>
      <c r="AC105" s="239">
        <f>VLOOKUP(H105,ECON_ADJUSTMENT!J$2:W$240,12,FALSE)</f>
        <v>9894823.161236193</v>
      </c>
      <c r="AD105" s="15" t="str">
        <f t="shared" si="55"/>
        <v>GOOD</v>
      </c>
      <c r="AE105" s="15"/>
      <c r="AF105" s="15"/>
      <c r="AG105" s="54">
        <f t="shared" si="71"/>
        <v>10900000</v>
      </c>
      <c r="AH105" s="54">
        <f t="shared" si="72"/>
        <v>10417536</v>
      </c>
      <c r="AI105" s="54">
        <f t="shared" si="73"/>
        <v>482464</v>
      </c>
    </row>
    <row r="106" spans="2:45" x14ac:dyDescent="0.25">
      <c r="C106" s="39">
        <v>2018</v>
      </c>
      <c r="D106" s="62" t="str">
        <f>+'PAT-784.172'!$F$4</f>
        <v>PAT-784.172</v>
      </c>
      <c r="E106" s="63" t="str">
        <f>+'PAT-784.172'!$F$5</f>
        <v>Hoboken Station Elevator Flood Resiliency</v>
      </c>
      <c r="F106" s="64">
        <f>+'PAT-784.172'!$F$6</f>
        <v>43167</v>
      </c>
      <c r="G106" s="65" t="str">
        <f>+'PAT-784.172'!$G$7</f>
        <v>Public</v>
      </c>
      <c r="H106" s="94">
        <f>+'PAT-784.172'!$F$7</f>
        <v>1600000</v>
      </c>
      <c r="I106" s="94">
        <f>+'PAT-784.172'!$F$8</f>
        <v>1948000</v>
      </c>
      <c r="J106" s="27"/>
      <c r="K106" s="26">
        <f>+'PAT-784.172'!$G$9</f>
        <v>0.2175</v>
      </c>
      <c r="L106" s="11" t="str">
        <f>+'PAT-784.172'!$F$11</f>
        <v>FAIL</v>
      </c>
      <c r="M106" s="15">
        <f>+'PAT-784.172'!$H$12</f>
        <v>2</v>
      </c>
      <c r="N106" s="35" t="s">
        <v>25</v>
      </c>
      <c r="O106" s="15">
        <v>1</v>
      </c>
      <c r="P106" s="35" t="s">
        <v>459</v>
      </c>
      <c r="Q106" s="35" t="s">
        <v>1284</v>
      </c>
      <c r="R106" s="15"/>
      <c r="S106" s="24"/>
      <c r="T106" s="62" t="str">
        <f>+'PAT-784.172'!$J$4</f>
        <v>Nathan Demaisip</v>
      </c>
      <c r="U106" s="62"/>
      <c r="V106" s="94">
        <f>+'PAT-784.172'!$F$12</f>
        <v>2353500</v>
      </c>
      <c r="W106" s="165">
        <f t="shared" si="69"/>
        <v>0.82770342043764611</v>
      </c>
      <c r="X106" s="15"/>
      <c r="Y106" s="161">
        <f t="shared" si="74"/>
        <v>1.2175</v>
      </c>
      <c r="Z106" s="11" t="str">
        <f t="shared" si="70"/>
        <v>FAIL</v>
      </c>
      <c r="AA106" s="11"/>
      <c r="AB106" s="15"/>
      <c r="AC106" s="239">
        <f>VLOOKUP(H106,ECON_ADJUSTMENT!J$2:W$240,12,FALSE)</f>
        <v>337757.42859750427</v>
      </c>
      <c r="AD106" s="15" t="str">
        <f t="shared" si="55"/>
        <v>FAIL</v>
      </c>
      <c r="AE106" s="15"/>
      <c r="AF106" s="15"/>
      <c r="AG106" s="54">
        <f t="shared" si="71"/>
        <v>1600000</v>
      </c>
      <c r="AH106" s="54">
        <f t="shared" si="72"/>
        <v>1948000</v>
      </c>
      <c r="AI106" s="54">
        <f t="shared" si="73"/>
        <v>-348000</v>
      </c>
    </row>
    <row r="107" spans="2:45" x14ac:dyDescent="0.25">
      <c r="C107" s="39">
        <v>2018</v>
      </c>
      <c r="D107" s="62" t="str">
        <f>+'EWR-924.231'!$F$4</f>
        <v>EWR-924.231</v>
      </c>
      <c r="E107" s="63" t="str">
        <f>+'EWR-924.231'!$F$5</f>
        <v>Priority and Safety Repairs</v>
      </c>
      <c r="F107" s="64">
        <f>+'EWR-924.231'!$F$6</f>
        <v>43160</v>
      </c>
      <c r="G107" s="65" t="str">
        <f>+'EWR-924.231'!$G$7</f>
        <v>Public</v>
      </c>
      <c r="H107" s="94">
        <f>+'EWR-924.231'!$F$7</f>
        <v>1273000</v>
      </c>
      <c r="I107" s="94">
        <f>+'EWR-924.231'!$F$8</f>
        <v>1050950</v>
      </c>
      <c r="J107" s="27"/>
      <c r="K107" s="26">
        <f>+'EWR-924.231'!$G$9</f>
        <v>-0.1744304791830322</v>
      </c>
      <c r="L107" s="11" t="str">
        <f>+'EWR-924.231'!$F$11</f>
        <v>GOOD</v>
      </c>
      <c r="M107" s="15">
        <f>+'EWR-924.231'!$H$12</f>
        <v>6</v>
      </c>
      <c r="N107" s="35" t="s">
        <v>25</v>
      </c>
      <c r="O107" s="15">
        <v>1</v>
      </c>
      <c r="P107" s="35" t="s">
        <v>458</v>
      </c>
      <c r="Q107" s="35" t="s">
        <v>1282</v>
      </c>
      <c r="R107" s="15"/>
      <c r="S107" s="24" t="s">
        <v>1240</v>
      </c>
      <c r="T107" s="62" t="str">
        <f>+'EWR-924.231'!$J$4</f>
        <v>Joe Lucin</v>
      </c>
      <c r="U107" s="62"/>
      <c r="V107" s="94">
        <f>+'EWR-924.231'!$F$12</f>
        <v>2050444.6666666667</v>
      </c>
      <c r="W107" s="165">
        <f t="shared" si="69"/>
        <v>0.51254735964589138</v>
      </c>
      <c r="X107" s="15"/>
      <c r="Y107" s="161">
        <f t="shared" si="74"/>
        <v>0.82556952081696777</v>
      </c>
      <c r="Z107" s="11" t="str">
        <f t="shared" si="70"/>
        <v>FAIL</v>
      </c>
      <c r="AA107" s="11"/>
      <c r="AB107" s="15"/>
      <c r="AC107" s="239">
        <f>VLOOKUP(H107,ECON_ADJUSTMENT!J$2:W$240,12,FALSE)</f>
        <v>53248.119039840065</v>
      </c>
      <c r="AD107" s="15" t="str">
        <f t="shared" si="55"/>
        <v>FAIL</v>
      </c>
      <c r="AE107" s="15"/>
      <c r="AF107" s="15"/>
      <c r="AG107" s="54">
        <f t="shared" si="71"/>
        <v>1273000</v>
      </c>
      <c r="AH107" s="54">
        <f t="shared" si="72"/>
        <v>1050950</v>
      </c>
      <c r="AI107" s="54">
        <f t="shared" si="73"/>
        <v>222050</v>
      </c>
    </row>
    <row r="108" spans="2:45" x14ac:dyDescent="0.25">
      <c r="C108" s="39">
        <v>2018</v>
      </c>
      <c r="D108" s="62" t="str">
        <f>+'JFK-184.010'!$F$4</f>
        <v>JFK-184.010</v>
      </c>
      <c r="E108" s="63" t="str">
        <f>+'JFK-184.010'!$F$5</f>
        <v>Replace Control Tower Roofs, HVAC Equipment and Curtain Wall Repairs</v>
      </c>
      <c r="F108" s="64">
        <f>+'JFK-184.010'!$F$6</f>
        <v>43147</v>
      </c>
      <c r="G108" s="65" t="str">
        <f>+'JFK-184.010'!$G$7</f>
        <v>Public</v>
      </c>
      <c r="H108" s="94">
        <f>+'JFK-184.010'!$F$7</f>
        <v>23100000</v>
      </c>
      <c r="I108" s="94">
        <f>+'JFK-184.010'!$F$8</f>
        <v>16848000</v>
      </c>
      <c r="J108" s="27"/>
      <c r="K108" s="26">
        <f>+'JFK-184.010'!$G$9</f>
        <v>-0.27064935064935064</v>
      </c>
      <c r="L108" s="11" t="str">
        <f>+'JFK-184.010'!$F$11</f>
        <v>GOOD</v>
      </c>
      <c r="M108" s="15">
        <f>+'JFK-184.010'!$H$12</f>
        <v>6</v>
      </c>
      <c r="N108" s="35" t="s">
        <v>93</v>
      </c>
      <c r="O108" s="15">
        <v>1</v>
      </c>
      <c r="P108" s="35" t="s">
        <v>458</v>
      </c>
      <c r="Q108" s="35" t="s">
        <v>1284</v>
      </c>
      <c r="R108" s="15"/>
      <c r="S108" s="24"/>
      <c r="T108" s="62" t="str">
        <f>+'JFK-184.010'!$J$4</f>
        <v>Wen Chang</v>
      </c>
      <c r="U108" s="62"/>
      <c r="V108" s="94">
        <f>+'JFK-184.010'!$F$12</f>
        <v>24152208.666666668</v>
      </c>
      <c r="W108" s="165">
        <f t="shared" si="69"/>
        <v>0.69757595392310978</v>
      </c>
      <c r="X108" s="15"/>
      <c r="Y108" s="161">
        <f t="shared" si="74"/>
        <v>0.7293506493506493</v>
      </c>
      <c r="Z108" s="11" t="str">
        <f t="shared" si="70"/>
        <v>FAIL</v>
      </c>
      <c r="AA108" s="11"/>
      <c r="AB108" s="15"/>
      <c r="AC108" s="239">
        <f>VLOOKUP(H108,ECON_ADJUSTMENT!J$2:W$240,12,FALSE)</f>
        <v>22891804.131959483</v>
      </c>
      <c r="AD108" s="15" t="str">
        <f t="shared" si="55"/>
        <v>GOOD</v>
      </c>
      <c r="AE108" s="15"/>
      <c r="AF108" s="15"/>
      <c r="AG108" s="54">
        <f t="shared" si="71"/>
        <v>23100000</v>
      </c>
      <c r="AH108" s="54">
        <f t="shared" si="72"/>
        <v>16848000</v>
      </c>
      <c r="AI108" s="54">
        <f t="shared" si="73"/>
        <v>6252000</v>
      </c>
    </row>
    <row r="109" spans="2:45" x14ac:dyDescent="0.25">
      <c r="C109" s="39">
        <v>2018</v>
      </c>
      <c r="D109" s="62" t="str">
        <f>+'LGA-124.264'!$F$4</f>
        <v>LGA-124.264</v>
      </c>
      <c r="E109" s="63" t="str">
        <f>+'LGA-124.264'!$F$5</f>
        <v>Rehab of Runway Decks Wearing Course (Epoxy Stage 3)</v>
      </c>
      <c r="F109" s="64">
        <f>+'LGA-124.264'!$F$6</f>
        <v>43139</v>
      </c>
      <c r="G109" s="65" t="str">
        <f>+'LGA-124.264'!$G$7</f>
        <v>PQL</v>
      </c>
      <c r="H109" s="94">
        <f>+'LGA-124.264'!$F$7</f>
        <v>10590000</v>
      </c>
      <c r="I109" s="94">
        <f>+'LGA-124.264'!$F$8</f>
        <v>9125000</v>
      </c>
      <c r="J109" s="27"/>
      <c r="K109" s="26">
        <f>+'LGA-124.264'!$G$9</f>
        <v>-0.13833805476864966</v>
      </c>
      <c r="L109" s="11" t="str">
        <f>+'LGA-124.264'!$F$11</f>
        <v>FAIL</v>
      </c>
      <c r="M109" s="15">
        <f>+'LGA-124.264'!$H$12</f>
        <v>2</v>
      </c>
      <c r="N109" s="35" t="s">
        <v>93</v>
      </c>
      <c r="O109" s="15">
        <v>1</v>
      </c>
      <c r="P109" s="35" t="s">
        <v>458</v>
      </c>
      <c r="Q109" s="35" t="s">
        <v>1283</v>
      </c>
      <c r="R109" s="15"/>
      <c r="S109" s="24"/>
      <c r="T109" s="62" t="str">
        <f>+'LGA-124.264'!$J$4</f>
        <v>Joe Lucin</v>
      </c>
      <c r="U109" s="62"/>
      <c r="V109" s="94">
        <f>+'LGA-124.264'!$F$12</f>
        <v>9478917</v>
      </c>
      <c r="W109" s="165">
        <f t="shared" si="69"/>
        <v>0.96266271769232714</v>
      </c>
      <c r="X109" s="15"/>
      <c r="Y109" s="161">
        <f t="shared" ref="Y109:Y116" si="75">+I109/H109</f>
        <v>0.86166194523135031</v>
      </c>
      <c r="Z109" s="11" t="str">
        <f t="shared" ref="Z109:Z116" si="76">(IF(Y109&lt;$Y$3,"FAIL",IF(Y109&gt;$Y$4,"FAIL","GOOD")))</f>
        <v>GOOD</v>
      </c>
      <c r="AA109" s="11"/>
      <c r="AB109" s="15"/>
      <c r="AC109" s="239">
        <f>VLOOKUP(H109,ECON_ADJUSTMENT!J$2:W$240,12,FALSE)</f>
        <v>11544822.609379105</v>
      </c>
      <c r="AD109" s="15" t="str">
        <f t="shared" si="55"/>
        <v>FAIL</v>
      </c>
      <c r="AE109" s="15"/>
      <c r="AF109" s="15"/>
      <c r="AG109" s="54">
        <f t="shared" si="71"/>
        <v>10590000</v>
      </c>
      <c r="AH109" s="54">
        <f t="shared" si="72"/>
        <v>9125000</v>
      </c>
      <c r="AI109" s="54">
        <f t="shared" si="73"/>
        <v>1465000</v>
      </c>
    </row>
    <row r="110" spans="2:45" x14ac:dyDescent="0.25">
      <c r="C110" s="39">
        <v>2018</v>
      </c>
      <c r="D110" s="62" t="str">
        <f>+'GWB-244.265'!$F$4</f>
        <v>GWB-244.265</v>
      </c>
      <c r="E110" s="63" t="str">
        <f>+'GWB-244.265'!$F$5</f>
        <v>Pedestrian Safety Fencing on NJ Approach Parapets</v>
      </c>
      <c r="F110" s="64">
        <f>+'GWB-244.265'!$F$6</f>
        <v>43138</v>
      </c>
      <c r="G110" s="65" t="str">
        <f>+'GWB-244.265'!$G$7</f>
        <v>MWBE</v>
      </c>
      <c r="H110" s="94">
        <f>+'GWB-244.265'!$F$7</f>
        <v>1056000</v>
      </c>
      <c r="I110" s="94">
        <f>+'GWB-244.265'!$F$8</f>
        <v>619790</v>
      </c>
      <c r="J110" s="27"/>
      <c r="K110" s="26">
        <f>+'GWB-244.265'!$G$9</f>
        <v>-0.41307765151515152</v>
      </c>
      <c r="L110" s="11" t="str">
        <f>+'GWB-244.265'!$F$11</f>
        <v>GOOD</v>
      </c>
      <c r="M110" s="15">
        <f>+'GWB-244.265'!$H$12</f>
        <v>6</v>
      </c>
      <c r="N110" s="35" t="s">
        <v>25</v>
      </c>
      <c r="O110" s="15">
        <v>1</v>
      </c>
      <c r="P110" s="35" t="s">
        <v>457</v>
      </c>
      <c r="Q110" s="35" t="s">
        <v>1282</v>
      </c>
      <c r="R110" s="15"/>
      <c r="S110" s="24"/>
      <c r="T110" s="62" t="str">
        <f>+'GWB-244.265'!$J$4</f>
        <v>Joe Lucin</v>
      </c>
      <c r="U110" s="62"/>
      <c r="V110" s="94">
        <f>+'GWB-244.265'!$F$12</f>
        <v>2319072.3333333335</v>
      </c>
      <c r="W110" s="165">
        <f t="shared" si="69"/>
        <v>0.26725772676057108</v>
      </c>
      <c r="X110" s="15"/>
      <c r="Y110" s="161">
        <f t="shared" si="75"/>
        <v>0.58692234848484848</v>
      </c>
      <c r="Z110" s="11" t="str">
        <f t="shared" si="76"/>
        <v>FAIL</v>
      </c>
      <c r="AA110" s="11"/>
      <c r="AB110" s="15"/>
      <c r="AC110" s="239">
        <f>VLOOKUP(H110,ECON_ADJUSTMENT!J$2:W$240,12,FALSE)</f>
        <v>1784163.0588918123</v>
      </c>
      <c r="AD110" s="15" t="str">
        <f t="shared" si="55"/>
        <v>GOOD</v>
      </c>
      <c r="AE110" s="15"/>
      <c r="AF110" s="15"/>
      <c r="AG110" s="54">
        <f t="shared" si="71"/>
        <v>1056000</v>
      </c>
      <c r="AH110" s="54">
        <f t="shared" si="72"/>
        <v>619790</v>
      </c>
      <c r="AI110" s="54">
        <f t="shared" si="73"/>
        <v>436210</v>
      </c>
    </row>
    <row r="111" spans="2:45" x14ac:dyDescent="0.25">
      <c r="C111" s="39">
        <v>2018</v>
      </c>
      <c r="D111" s="62" t="str">
        <f>+'LGA-774.264'!$F$4</f>
        <v>LGA-774.264</v>
      </c>
      <c r="E111" s="63" t="str">
        <f>+'LGA-774.264'!$F$5</f>
        <v>Flood Protection at the West End Substation</v>
      </c>
      <c r="F111" s="64">
        <f>+'LGA-774.264'!$F$6</f>
        <v>43125</v>
      </c>
      <c r="G111" s="65" t="str">
        <f>+'LGA-774.264'!$G$7</f>
        <v>Public</v>
      </c>
      <c r="H111" s="94">
        <f>+'LGA-774.264'!$F$7</f>
        <v>1700000</v>
      </c>
      <c r="I111" s="94">
        <f>+'LGA-774.264'!$F$8</f>
        <v>1555555</v>
      </c>
      <c r="J111" s="27"/>
      <c r="K111" s="26">
        <f>+'LGA-774.264'!$G$9</f>
        <v>-8.4967647058823523E-2</v>
      </c>
      <c r="L111" s="11" t="str">
        <f>+'LGA-774.264'!$F$11</f>
        <v>GOOD</v>
      </c>
      <c r="M111" s="15">
        <f>+'LGA-774.264'!$H$12</f>
        <v>9</v>
      </c>
      <c r="N111" s="35" t="s">
        <v>93</v>
      </c>
      <c r="O111" s="15">
        <v>1</v>
      </c>
      <c r="P111" s="35" t="s">
        <v>458</v>
      </c>
      <c r="Q111" s="35" t="s">
        <v>1285</v>
      </c>
      <c r="R111" s="15"/>
      <c r="S111" s="24"/>
      <c r="T111" s="62" t="str">
        <f>+'LGA-774.264'!$J$4</f>
        <v>Joe Lucin</v>
      </c>
      <c r="U111" s="62"/>
      <c r="V111" s="94">
        <f>+'LGA-774.264'!$F$12</f>
        <v>2601779.6666666665</v>
      </c>
      <c r="W111" s="165">
        <f t="shared" si="69"/>
        <v>0.59788114263839154</v>
      </c>
      <c r="X111" s="15"/>
      <c r="Y111" s="161">
        <f t="shared" si="75"/>
        <v>0.91503235294117646</v>
      </c>
      <c r="Z111" s="11" t="str">
        <f t="shared" si="76"/>
        <v>GOOD</v>
      </c>
      <c r="AA111" s="11"/>
      <c r="AB111" s="15"/>
      <c r="AC111" s="239">
        <f>VLOOKUP(H111,ECON_ADJUSTMENT!J$2:W$240,12,FALSE)</f>
        <v>2344481.0875007901</v>
      </c>
      <c r="AD111" s="15" t="str">
        <f t="shared" si="55"/>
        <v>GOOD</v>
      </c>
      <c r="AE111" s="15"/>
      <c r="AF111" s="15"/>
      <c r="AG111" s="54">
        <f t="shared" si="71"/>
        <v>1700000</v>
      </c>
      <c r="AH111" s="54">
        <f t="shared" si="72"/>
        <v>1555555</v>
      </c>
      <c r="AI111" s="54">
        <f t="shared" si="73"/>
        <v>144445</v>
      </c>
    </row>
    <row r="112" spans="2:45" x14ac:dyDescent="0.25">
      <c r="C112" s="39">
        <v>2018</v>
      </c>
      <c r="D112" s="62" t="str">
        <f>+'HH-634.514'!$F$4</f>
        <v>HH-634.514</v>
      </c>
      <c r="E112" s="63" t="str">
        <f>+'HH-634.514'!$F$5</f>
        <v>Howland Hook Upgrade of Pavement Subgrade</v>
      </c>
      <c r="F112" s="64">
        <f>+'HH-634.514'!$F$6</f>
        <v>43124</v>
      </c>
      <c r="G112" s="65" t="str">
        <f>+'HH-634.514'!$G$7</f>
        <v>Public</v>
      </c>
      <c r="H112" s="94">
        <f>+'HH-634.514'!$F$7</f>
        <v>22000000</v>
      </c>
      <c r="I112" s="94">
        <f>+'HH-634.514'!$F$8</f>
        <v>19988889</v>
      </c>
      <c r="J112" s="27"/>
      <c r="K112" s="26">
        <f>+'HH-634.514'!$G$9</f>
        <v>-9.1414136363636364E-2</v>
      </c>
      <c r="L112" s="11" t="str">
        <f>+'HH-634.514'!$F$11</f>
        <v>GOOD</v>
      </c>
      <c r="M112" s="15">
        <f>+'HH-634.514'!$H$12</f>
        <v>13</v>
      </c>
      <c r="N112" s="35" t="s">
        <v>93</v>
      </c>
      <c r="O112" s="15">
        <v>1</v>
      </c>
      <c r="P112" s="35" t="s">
        <v>492</v>
      </c>
      <c r="Q112" s="35" t="s">
        <v>1285</v>
      </c>
      <c r="R112" s="15"/>
      <c r="S112" s="24"/>
      <c r="T112" s="62" t="str">
        <f>+'HH-634.514'!$J$4</f>
        <v>Ed Minall</v>
      </c>
      <c r="U112" s="62"/>
      <c r="V112" s="94">
        <f>+'HH-634.514'!$F$12</f>
        <v>27586889.692307692</v>
      </c>
      <c r="W112" s="165">
        <f t="shared" si="69"/>
        <v>0.72457929193712933</v>
      </c>
      <c r="X112" s="15"/>
      <c r="Y112" s="161">
        <f t="shared" si="75"/>
        <v>0.90858586363636362</v>
      </c>
      <c r="Z112" s="11" t="str">
        <f t="shared" si="76"/>
        <v>GOOD</v>
      </c>
      <c r="AA112" s="11"/>
      <c r="AB112" s="15"/>
      <c r="AC112" s="239">
        <f>VLOOKUP(H112,ECON_ADJUSTMENT!J$2:W$240,12,FALSE)</f>
        <v>21934739.176260918</v>
      </c>
      <c r="AD112" s="15" t="str">
        <f t="shared" si="55"/>
        <v>GOOD</v>
      </c>
      <c r="AE112" s="15"/>
      <c r="AF112" s="15"/>
      <c r="AG112" s="54">
        <f t="shared" si="71"/>
        <v>22000000</v>
      </c>
      <c r="AH112" s="54">
        <f t="shared" si="72"/>
        <v>19988889</v>
      </c>
      <c r="AI112" s="54">
        <f t="shared" si="73"/>
        <v>2011111</v>
      </c>
    </row>
    <row r="113" spans="2:39" x14ac:dyDescent="0.25">
      <c r="C113" s="39">
        <v>2018</v>
      </c>
      <c r="D113" s="62" t="str">
        <f>+'PAT-924.802'!$F$4</f>
        <v>PAT-924.802</v>
      </c>
      <c r="E113" s="63" t="str">
        <f>+'PAT-924.802'!$F$5</f>
        <v>Fire Alarm System Upgrade</v>
      </c>
      <c r="F113" s="64">
        <f>+'PAT-924.802'!$F$6</f>
        <v>43118</v>
      </c>
      <c r="G113" s="65" t="str">
        <f>+'PAT-924.802'!$G$7</f>
        <v>VVP</v>
      </c>
      <c r="H113" s="94">
        <f>+'PAT-924.802'!$F$7</f>
        <v>26900000</v>
      </c>
      <c r="I113" s="94">
        <f>+'PAT-924.802'!$F$8</f>
        <v>24990000</v>
      </c>
      <c r="J113" s="27"/>
      <c r="K113" s="26">
        <f>+'PAT-924.802'!$G$9</f>
        <v>-7.1003717472118963E-2</v>
      </c>
      <c r="L113" s="11" t="str">
        <f>+'PAT-924.802'!$F$11</f>
        <v>GOOD</v>
      </c>
      <c r="M113" s="15">
        <f>+'PAT-924.802'!$H$12</f>
        <v>2</v>
      </c>
      <c r="N113" s="35" t="s">
        <v>226</v>
      </c>
      <c r="O113" s="15">
        <v>1</v>
      </c>
      <c r="P113" s="35" t="s">
        <v>459</v>
      </c>
      <c r="Q113" s="35" t="s">
        <v>1286</v>
      </c>
      <c r="R113" s="15"/>
      <c r="S113" s="24"/>
      <c r="T113" s="62" t="str">
        <f>+'PAT-924.802'!$J$4</f>
        <v>Nathan Demaisip</v>
      </c>
      <c r="U113" s="62"/>
      <c r="V113" s="94">
        <f>+'PAT-924.802'!$F$12</f>
        <v>35017000</v>
      </c>
      <c r="W113" s="165">
        <f t="shared" si="69"/>
        <v>0.71365336836393756</v>
      </c>
      <c r="X113" s="15"/>
      <c r="Y113" s="161">
        <f t="shared" si="75"/>
        <v>0.92899628252788102</v>
      </c>
      <c r="Z113" s="11" t="str">
        <f t="shared" si="76"/>
        <v>GOOD</v>
      </c>
      <c r="AA113" s="11"/>
      <c r="AB113" s="15"/>
      <c r="AC113" s="239">
        <f>VLOOKUP(H113,ECON_ADJUSTMENT!J$2:W$240,12,FALSE)</f>
        <v>28117746.278212488</v>
      </c>
      <c r="AD113" s="15" t="str">
        <f t="shared" si="55"/>
        <v>GOOD</v>
      </c>
      <c r="AE113" s="15"/>
      <c r="AF113" s="15"/>
      <c r="AG113" s="54">
        <f t="shared" si="71"/>
        <v>26900000</v>
      </c>
      <c r="AH113" s="54">
        <f t="shared" si="72"/>
        <v>24990000</v>
      </c>
      <c r="AI113" s="54">
        <f t="shared" si="73"/>
        <v>1910000</v>
      </c>
    </row>
    <row r="114" spans="2:39" x14ac:dyDescent="0.25">
      <c r="C114" s="39">
        <v>2018</v>
      </c>
      <c r="D114" s="62" t="str">
        <f>+'EWR-154.224 Void'!$F$4</f>
        <v>EWR-154.224</v>
      </c>
      <c r="E114" s="63" t="str">
        <f>+'EWR-154.224 Void'!$F$5</f>
        <v>Terminal B Exterior Curtain Wall Upgrade</v>
      </c>
      <c r="F114" s="64">
        <f>+'EWR-154.224 Void'!$F$6</f>
        <v>43117</v>
      </c>
      <c r="G114" s="65"/>
      <c r="H114" s="94"/>
      <c r="I114" s="94"/>
      <c r="J114" s="27"/>
      <c r="K114" s="26"/>
      <c r="L114" s="11"/>
      <c r="M114" s="15"/>
      <c r="N114" s="35"/>
      <c r="O114" s="15"/>
      <c r="P114" s="35"/>
      <c r="Q114" s="35"/>
      <c r="R114" s="15"/>
      <c r="S114" s="24" t="s">
        <v>227</v>
      </c>
      <c r="T114" s="62"/>
      <c r="U114" s="62"/>
      <c r="V114" s="94"/>
      <c r="W114" s="165"/>
      <c r="X114" s="15"/>
      <c r="Y114" s="161"/>
      <c r="Z114" s="11"/>
      <c r="AA114" s="11"/>
      <c r="AB114" s="15"/>
      <c r="AC114" s="239"/>
      <c r="AD114" s="15"/>
      <c r="AE114" s="15"/>
      <c r="AF114" s="15"/>
      <c r="AG114" s="54"/>
      <c r="AH114" s="54"/>
      <c r="AI114" s="54"/>
    </row>
    <row r="115" spans="2:39" x14ac:dyDescent="0.25">
      <c r="C115" s="39">
        <v>2018</v>
      </c>
      <c r="D115" s="62" t="str">
        <f>+'PAT-650'!$F$4</f>
        <v>PAT-650</v>
      </c>
      <c r="E115" s="63" t="str">
        <f>+'PAT-650'!$F$5</f>
        <v>Tunnels E and F Infrastructure Repairs</v>
      </c>
      <c r="F115" s="64">
        <f>+'PAT-650'!$F$6</f>
        <v>43110</v>
      </c>
      <c r="G115" s="65" t="str">
        <f>+'PAT-650'!$G$7</f>
        <v>PQL</v>
      </c>
      <c r="H115" s="94">
        <f>+'PAT-650'!$F$7</f>
        <v>200000000</v>
      </c>
      <c r="I115" s="94">
        <f>+'PAT-650'!$F$8</f>
        <v>108511400</v>
      </c>
      <c r="J115" s="27"/>
      <c r="K115" s="26">
        <f>+'PAT-650'!$G$9</f>
        <v>-0.45744299999999999</v>
      </c>
      <c r="L115" s="11" t="str">
        <f>+'PAT-650'!$F$11</f>
        <v>FAIL</v>
      </c>
      <c r="M115" s="15">
        <f>+'PAT-650'!$H$12</f>
        <v>5</v>
      </c>
      <c r="N115" s="35" t="s">
        <v>226</v>
      </c>
      <c r="O115" s="15">
        <v>1</v>
      </c>
      <c r="P115" s="35" t="s">
        <v>459</v>
      </c>
      <c r="Q115" s="35" t="s">
        <v>1286</v>
      </c>
      <c r="R115" s="15"/>
      <c r="S115" s="24" t="s">
        <v>932</v>
      </c>
      <c r="T115" s="62" t="str">
        <f>+'PAT-650'!$J$4</f>
        <v>Nathan Demaisip</v>
      </c>
      <c r="U115" s="62"/>
      <c r="V115" s="94">
        <f>+'PAT-650'!$F$12</f>
        <v>136419680</v>
      </c>
      <c r="W115" s="165">
        <f t="shared" si="69"/>
        <v>0.79542335827206168</v>
      </c>
      <c r="X115" s="15"/>
      <c r="Y115" s="161">
        <f t="shared" si="75"/>
        <v>0.54255699999999996</v>
      </c>
      <c r="Z115" s="11" t="str">
        <f t="shared" si="76"/>
        <v>FAIL</v>
      </c>
      <c r="AA115" s="11"/>
      <c r="AB115" s="15"/>
      <c r="AC115" s="239">
        <f>VLOOKUP(H115,ECON_ADJUSTMENT!J$2:W$240,12,FALSE)</f>
        <v>178724967.94314119</v>
      </c>
      <c r="AD115" s="15" t="str">
        <f t="shared" si="55"/>
        <v>FAIL</v>
      </c>
      <c r="AE115" s="15"/>
      <c r="AF115" s="15"/>
      <c r="AG115" s="54">
        <f>+H115</f>
        <v>200000000</v>
      </c>
      <c r="AH115" s="54">
        <f>+I115</f>
        <v>108511400</v>
      </c>
      <c r="AI115" s="54">
        <f>+AG115-AH115</f>
        <v>91488600</v>
      </c>
    </row>
    <row r="116" spans="2:39" x14ac:dyDescent="0.25">
      <c r="B116" s="164">
        <f>(COUNTIF(L101:L116,"G*")/COUNTA(L101:L116))</f>
        <v>0.66666666666666663</v>
      </c>
      <c r="C116" s="39">
        <v>2018</v>
      </c>
      <c r="D116" s="62" t="str">
        <f>+'GWB-244.267'!$F$4</f>
        <v>GWB-244.267</v>
      </c>
      <c r="E116" s="63" t="str">
        <f>+'GWB-244.267'!$F$5</f>
        <v>TME Hydrant and Water Main Rehabilitation</v>
      </c>
      <c r="F116" s="64">
        <f>+'GWB-244.267'!$F$6</f>
        <v>43108</v>
      </c>
      <c r="G116" s="65" t="str">
        <f>+'GWB-244.267'!$G$7</f>
        <v>PQL</v>
      </c>
      <c r="H116" s="94">
        <f>+'GWB-244.267'!$F$7</f>
        <v>8520000</v>
      </c>
      <c r="I116" s="94">
        <f>+'GWB-244.267'!$F$8</f>
        <v>6850075</v>
      </c>
      <c r="J116" s="27"/>
      <c r="K116" s="26">
        <f>+'GWB-244.267'!$G$9</f>
        <v>-0.19600058685446009</v>
      </c>
      <c r="L116" s="11" t="str">
        <f>+'GWB-244.267'!$F$11</f>
        <v>GOOD</v>
      </c>
      <c r="M116" s="15">
        <f>+'GWB-244.267'!$H$12</f>
        <v>5</v>
      </c>
      <c r="N116" s="35" t="s">
        <v>93</v>
      </c>
      <c r="O116" s="15">
        <v>1</v>
      </c>
      <c r="P116" s="35" t="s">
        <v>457</v>
      </c>
      <c r="Q116" s="35" t="s">
        <v>1283</v>
      </c>
      <c r="R116" s="15"/>
      <c r="S116" s="24"/>
      <c r="T116" s="62" t="str">
        <f>+'GWB-244.267'!$J$4</f>
        <v>Joe Lucin</v>
      </c>
      <c r="U116" s="62"/>
      <c r="V116" s="94">
        <f>+'GWB-244.267'!$F$12</f>
        <v>10472836.199999999</v>
      </c>
      <c r="W116" s="165">
        <f t="shared" si="69"/>
        <v>0.65408021945382866</v>
      </c>
      <c r="X116" s="15"/>
      <c r="Y116" s="161">
        <f t="shared" si="75"/>
        <v>0.80399941314553991</v>
      </c>
      <c r="Z116" s="11" t="str">
        <f t="shared" si="76"/>
        <v>FAIL</v>
      </c>
      <c r="AA116" s="74">
        <f>(COUNTIF(Z101:Z116,"G*")/COUNTA(Z101:Z116))</f>
        <v>0.4</v>
      </c>
      <c r="AB116" s="15"/>
      <c r="AC116" s="239">
        <f>VLOOKUP(H116,ECON_ADJUSTMENT!J$2:W$240,12,FALSE)</f>
        <v>9743800.3745645322</v>
      </c>
      <c r="AD116" s="15" t="str">
        <f t="shared" si="55"/>
        <v>GOOD</v>
      </c>
      <c r="AE116" s="15"/>
      <c r="AF116" s="15"/>
      <c r="AG116" s="54">
        <f>+H116</f>
        <v>8520000</v>
      </c>
      <c r="AH116" s="54">
        <f>+I116</f>
        <v>6850075</v>
      </c>
      <c r="AI116" s="54">
        <f>+AG116-AH116</f>
        <v>1669925</v>
      </c>
      <c r="AK116" s="4">
        <f>SUM(H101:H116)</f>
        <v>337954000</v>
      </c>
      <c r="AL116" s="4">
        <f>SUM(I101:I116)</f>
        <v>228800072</v>
      </c>
      <c r="AM116" s="7">
        <f>+AL116/AK116</f>
        <v>0.67701542813519</v>
      </c>
    </row>
    <row r="117" spans="2:39" ht="7.5" customHeight="1" x14ac:dyDescent="0.25">
      <c r="C117" s="39"/>
      <c r="G117" s="45"/>
      <c r="P117" s="11"/>
      <c r="Q117" s="11"/>
      <c r="T117" s="15"/>
      <c r="U117" s="15"/>
      <c r="V117" s="94"/>
      <c r="W117" s="165"/>
      <c r="AC117" s="239"/>
      <c r="AD117" s="15"/>
      <c r="AG117" s="54"/>
      <c r="AH117" s="54"/>
      <c r="AI117" s="54"/>
    </row>
    <row r="118" spans="2:39" x14ac:dyDescent="0.25">
      <c r="C118" s="39">
        <v>2017</v>
      </c>
      <c r="D118" s="102" t="str">
        <f>+'GWB-244.261'!$F$4</f>
        <v>GWB-244.261</v>
      </c>
      <c r="E118" s="63" t="str">
        <f>+'GWB-244.261'!$F$5</f>
        <v>Rehab of Low Voltage Power Systems</v>
      </c>
      <c r="F118" s="64">
        <f>+'GWB-244.261'!$F$6</f>
        <v>43088</v>
      </c>
      <c r="G118" s="65" t="str">
        <f>+'GWB-244.261'!$G$7</f>
        <v>MWBE</v>
      </c>
      <c r="H118" s="94">
        <f>+'GWB-244.261'!$F$7</f>
        <v>795000</v>
      </c>
      <c r="I118" s="27">
        <f>+'GWB-244.261'!$F$8</f>
        <v>353700</v>
      </c>
      <c r="J118" s="27"/>
      <c r="K118" s="26">
        <f>+'GWB-244.261'!$G$9</f>
        <v>-0.55509433962264154</v>
      </c>
      <c r="L118" s="11" t="str">
        <f>+'GWB-244.261'!$F$11</f>
        <v>GOOD</v>
      </c>
      <c r="M118" s="15">
        <f>+'GWB-244.261'!$H$12</f>
        <v>8</v>
      </c>
      <c r="N118" s="35" t="s">
        <v>226</v>
      </c>
      <c r="O118" s="15">
        <v>4</v>
      </c>
      <c r="P118" s="35" t="s">
        <v>457</v>
      </c>
      <c r="Q118" s="35" t="s">
        <v>1286</v>
      </c>
      <c r="R118" s="15"/>
      <c r="S118" s="24"/>
      <c r="T118" s="62" t="str">
        <f>+'GWB-244.261'!$J$4</f>
        <v>Gennadiy Zavokovsky</v>
      </c>
      <c r="U118" s="62"/>
      <c r="V118" s="94">
        <f>+'GWB-244.261'!$F$12</f>
        <v>838835.25</v>
      </c>
      <c r="W118" s="165">
        <f t="shared" si="69"/>
        <v>0.42165609993142278</v>
      </c>
      <c r="X118" s="15"/>
      <c r="Y118" s="161">
        <f t="shared" ref="Y118:Y134" si="77">+I118/H118</f>
        <v>0.44490566037735851</v>
      </c>
      <c r="Z118" s="11" t="str">
        <f t="shared" ref="Z118:Z181" si="78">(IF(Y118&lt;$Y$3,"FAIL",IF(Y118&gt;$Y$4,"FAIL","GOOD")))</f>
        <v>FAIL</v>
      </c>
      <c r="AA118" s="11"/>
      <c r="AB118" s="15"/>
      <c r="AC118" s="239">
        <f>VLOOKUP(H118,ECON_ADJUSTMENT!J$2:W$240,12,FALSE)</f>
        <v>1557077.6466760619</v>
      </c>
      <c r="AD118" s="15" t="str">
        <f t="shared" si="55"/>
        <v>FAIL</v>
      </c>
      <c r="AE118" s="15"/>
      <c r="AF118" s="15"/>
      <c r="AG118" s="54">
        <f>+H118</f>
        <v>795000</v>
      </c>
      <c r="AH118" s="54">
        <f>+I118</f>
        <v>353700</v>
      </c>
      <c r="AI118" s="54">
        <f>+AG118-AH118</f>
        <v>441300</v>
      </c>
    </row>
    <row r="119" spans="2:39" x14ac:dyDescent="0.25">
      <c r="C119" s="39">
        <v>2017</v>
      </c>
      <c r="D119" s="102" t="str">
        <f>+'TEB-144.056'!$F$4</f>
        <v>TEB-144.056</v>
      </c>
      <c r="E119" s="63" t="str">
        <f>+'TEB-144.056'!$F$5</f>
        <v>Rehabilitation of Sewage Pumps</v>
      </c>
      <c r="F119" s="64">
        <f>+'TEB-144.056'!$F$6</f>
        <v>43083</v>
      </c>
      <c r="G119" s="65" t="str">
        <f>+'TEB-144.056'!$G$7</f>
        <v>MWBE</v>
      </c>
      <c r="H119" s="94">
        <f>+'TEB-144.056'!$F$7</f>
        <v>979000</v>
      </c>
      <c r="I119" s="27">
        <f>+'TEB-144.056'!$F$8</f>
        <v>1168000</v>
      </c>
      <c r="J119" s="27"/>
      <c r="K119" s="26">
        <f>+'TEB-144.056'!$G$9</f>
        <v>0.1930541368743616</v>
      </c>
      <c r="L119" s="11" t="str">
        <f>+'TEB-144.056'!$F$11</f>
        <v>FAIL</v>
      </c>
      <c r="M119" s="15">
        <f>+'TEB-144.056'!$H$12</f>
        <v>2</v>
      </c>
      <c r="N119" s="35" t="s">
        <v>25</v>
      </c>
      <c r="O119" s="15">
        <v>4</v>
      </c>
      <c r="P119" s="35" t="s">
        <v>458</v>
      </c>
      <c r="Q119" s="35" t="s">
        <v>1281</v>
      </c>
      <c r="R119" s="15"/>
      <c r="S119" s="24"/>
      <c r="T119" s="62" t="str">
        <f>+'TEB-144.056'!$J$4</f>
        <v>Joe Lucin</v>
      </c>
      <c r="U119" s="62"/>
      <c r="V119" s="94">
        <f>+'TEB-144.056'!$F$12</f>
        <v>1452000</v>
      </c>
      <c r="W119" s="165">
        <f t="shared" si="69"/>
        <v>0.80440771349862261</v>
      </c>
      <c r="X119" s="15"/>
      <c r="Y119" s="161">
        <f t="shared" si="77"/>
        <v>1.1930541368743617</v>
      </c>
      <c r="Z119" s="11" t="str">
        <f t="shared" si="78"/>
        <v>FAIL</v>
      </c>
      <c r="AA119" s="11"/>
      <c r="AB119" s="15"/>
      <c r="AC119" s="239">
        <f>VLOOKUP(H119,ECON_ADJUSTMENT!J$2:W$240,12,FALSE)</f>
        <v>2348535.2228901987</v>
      </c>
      <c r="AD119" s="15" t="str">
        <f t="shared" si="55"/>
        <v>FAIL</v>
      </c>
      <c r="AE119" s="15"/>
      <c r="AF119" s="15"/>
      <c r="AG119" s="54">
        <f t="shared" ref="AG119:AG134" si="79">+H119</f>
        <v>979000</v>
      </c>
      <c r="AH119" s="54">
        <f t="shared" ref="AH119:AH134" si="80">+I119</f>
        <v>1168000</v>
      </c>
      <c r="AI119" s="54">
        <f t="shared" ref="AI119:AI134" si="81">+AG119-AH119</f>
        <v>-189000</v>
      </c>
    </row>
    <row r="120" spans="2:39" x14ac:dyDescent="0.25">
      <c r="C120" s="39">
        <v>2017</v>
      </c>
      <c r="D120" s="102" t="str">
        <f>+'PN-654.562 Void'!$F$4</f>
        <v>PN-654.562</v>
      </c>
      <c r="E120" s="63" t="str">
        <f>+'PN-654.562 Void'!$F$5</f>
        <v>Building 267 Roof Collapse Repair</v>
      </c>
      <c r="F120" s="64">
        <f>+'PN-654.562 Void'!$F$6</f>
        <v>43083</v>
      </c>
      <c r="G120" s="65"/>
      <c r="H120" s="94"/>
      <c r="I120" s="27"/>
      <c r="J120" s="27"/>
      <c r="K120" s="26"/>
      <c r="L120" s="11"/>
      <c r="M120" s="15"/>
      <c r="N120" s="35"/>
      <c r="O120" s="15"/>
      <c r="P120" s="35"/>
      <c r="Q120" s="35" t="s">
        <v>1282</v>
      </c>
      <c r="R120" s="15"/>
      <c r="S120" s="24" t="s">
        <v>227</v>
      </c>
      <c r="T120" s="62" t="str">
        <f>+'PN-654.562 Void'!$J$4</f>
        <v>Ed Minall</v>
      </c>
      <c r="U120" s="62"/>
      <c r="V120" s="94"/>
      <c r="W120" s="165"/>
      <c r="X120" s="15"/>
      <c r="Y120" s="161"/>
      <c r="Z120" s="11"/>
      <c r="AA120" s="11"/>
      <c r="AB120" s="15"/>
      <c r="AC120" s="239"/>
      <c r="AD120" s="15"/>
      <c r="AE120" s="15"/>
      <c r="AF120" s="15"/>
      <c r="AG120" s="54">
        <f t="shared" si="79"/>
        <v>0</v>
      </c>
      <c r="AH120" s="54">
        <f t="shared" si="80"/>
        <v>0</v>
      </c>
      <c r="AI120" s="54">
        <f t="shared" si="81"/>
        <v>0</v>
      </c>
    </row>
    <row r="121" spans="2:39" x14ac:dyDescent="0.25">
      <c r="C121" s="39">
        <v>2017</v>
      </c>
      <c r="D121" s="102" t="str">
        <f>+'LGA-924.287'!$F$4</f>
        <v>LGA-924.287</v>
      </c>
      <c r="E121" s="63" t="str">
        <f>+'LGA-924.287'!$F$5</f>
        <v>Airside Asphalt Paving Repairs via Work Order</v>
      </c>
      <c r="F121" s="64">
        <f>+'LGA-924.287'!$F$6</f>
        <v>43083</v>
      </c>
      <c r="G121" s="65" t="str">
        <f>+'LGA-924.287'!$G$7</f>
        <v>PQL</v>
      </c>
      <c r="H121" s="94">
        <f>+'LGA-924.287'!$F$7</f>
        <v>4872000</v>
      </c>
      <c r="I121" s="27">
        <f>+'LGA-924.287'!$F$8</f>
        <v>3997350</v>
      </c>
      <c r="J121" s="27"/>
      <c r="K121" s="26">
        <f>+'LGA-924.287'!$G$9</f>
        <v>-0.17952586206896551</v>
      </c>
      <c r="L121" s="11" t="str">
        <f>+'LGA-924.287'!$F$11</f>
        <v>GOOD</v>
      </c>
      <c r="M121" s="15">
        <f>+'LGA-924.287'!$H$12</f>
        <v>5</v>
      </c>
      <c r="N121" s="35" t="s">
        <v>93</v>
      </c>
      <c r="O121" s="15">
        <v>4</v>
      </c>
      <c r="P121" s="35" t="s">
        <v>458</v>
      </c>
      <c r="Q121" s="35" t="s">
        <v>1283</v>
      </c>
      <c r="R121" s="15"/>
      <c r="S121" s="24"/>
      <c r="T121" s="62" t="str">
        <f>+'LGA-924.287'!$J$4</f>
        <v>Joe Lucin</v>
      </c>
      <c r="U121" s="62"/>
      <c r="V121" s="94">
        <f>+'LGA-924.287'!$F$12</f>
        <v>6014201</v>
      </c>
      <c r="W121" s="165">
        <f t="shared" si="69"/>
        <v>0.6646518797758838</v>
      </c>
      <c r="X121" s="15"/>
      <c r="Y121" s="161">
        <f t="shared" si="77"/>
        <v>0.82047413793103452</v>
      </c>
      <c r="Z121" s="11" t="str">
        <f t="shared" si="78"/>
        <v>FAIL</v>
      </c>
      <c r="AA121" s="11"/>
      <c r="AB121" s="15"/>
      <c r="AC121" s="239">
        <f>VLOOKUP(H121,ECON_ADJUSTMENT!J$2:W$240,12,FALSE)</f>
        <v>6569824.9578478374</v>
      </c>
      <c r="AD121" s="15" t="str">
        <f t="shared" si="55"/>
        <v>GOOD</v>
      </c>
      <c r="AE121" s="15"/>
      <c r="AF121" s="15"/>
      <c r="AG121" s="54">
        <f t="shared" si="79"/>
        <v>4872000</v>
      </c>
      <c r="AH121" s="54">
        <f t="shared" si="80"/>
        <v>3997350</v>
      </c>
      <c r="AI121" s="54">
        <f t="shared" si="81"/>
        <v>874650</v>
      </c>
    </row>
    <row r="122" spans="2:39" x14ac:dyDescent="0.25">
      <c r="C122" s="39">
        <v>2017</v>
      </c>
      <c r="D122" s="102" t="str">
        <f>+'EWR-154.263'!$F$4</f>
        <v>EWR-154.263</v>
      </c>
      <c r="E122" s="63" t="str">
        <f>+'EWR-154.263'!$F$5</f>
        <v>Terminal B Satellite B2 Sterile Corridor Glass Door Replacement</v>
      </c>
      <c r="F122" s="64">
        <f>+'EWR-154.263'!$F$6</f>
        <v>43074</v>
      </c>
      <c r="G122" s="65" t="str">
        <f>+'EWR-154.263'!$G$7</f>
        <v>Public</v>
      </c>
      <c r="H122" s="94">
        <f>+'EWR-154.263'!$F$7</f>
        <v>1530000</v>
      </c>
      <c r="I122" s="27">
        <f>+'EWR-154.263'!$F$8</f>
        <v>1189000</v>
      </c>
      <c r="J122" s="27"/>
      <c r="K122" s="26">
        <f>+'EWR-154.263'!$G$9</f>
        <v>-0.22287581699346407</v>
      </c>
      <c r="L122" s="11" t="str">
        <f>+'EWR-154.263'!$F$11</f>
        <v>GOOD</v>
      </c>
      <c r="M122" s="15">
        <f>+'EWR-154.263'!$H$12</f>
        <v>3</v>
      </c>
      <c r="N122" s="35" t="s">
        <v>25</v>
      </c>
      <c r="O122" s="15">
        <v>4</v>
      </c>
      <c r="P122" s="35" t="s">
        <v>458</v>
      </c>
      <c r="Q122" s="35" t="s">
        <v>1284</v>
      </c>
      <c r="R122" s="15"/>
      <c r="S122" s="24"/>
      <c r="T122" s="62" t="str">
        <f>+'EWR-154.263'!$J$4</f>
        <v>Henry Yu</v>
      </c>
      <c r="U122" s="62"/>
      <c r="V122" s="94">
        <f>+'EWR-154.263'!$F$12</f>
        <v>1876333.3333333333</v>
      </c>
      <c r="W122" s="165">
        <f t="shared" si="69"/>
        <v>0.63368271451412328</v>
      </c>
      <c r="X122" s="15"/>
      <c r="Y122" s="161">
        <f t="shared" si="77"/>
        <v>0.77712418300653596</v>
      </c>
      <c r="Z122" s="11" t="str">
        <f t="shared" si="78"/>
        <v>FAIL</v>
      </c>
      <c r="AA122" s="11"/>
      <c r="AB122" s="15"/>
      <c r="AC122" s="239">
        <f>VLOOKUP(H122,ECON_ADJUSTMENT!J$2:W$240,12,FALSE)</f>
        <v>908220.00595033611</v>
      </c>
      <c r="AD122" s="15" t="str">
        <f t="shared" si="55"/>
        <v>FAIL</v>
      </c>
      <c r="AE122" s="15"/>
      <c r="AF122" s="15"/>
      <c r="AG122" s="54">
        <f t="shared" si="79"/>
        <v>1530000</v>
      </c>
      <c r="AH122" s="54">
        <f t="shared" si="80"/>
        <v>1189000</v>
      </c>
      <c r="AI122" s="54">
        <f t="shared" si="81"/>
        <v>341000</v>
      </c>
    </row>
    <row r="123" spans="2:39" x14ac:dyDescent="0.25">
      <c r="C123" s="39">
        <v>2017</v>
      </c>
      <c r="D123" s="102" t="str">
        <f>+'JFK-144.023'!$F$4</f>
        <v>JFK-144.023</v>
      </c>
      <c r="E123" s="63" t="str">
        <f>+'JFK-144.023'!$F$5</f>
        <v>AOA Light Circuit Replacement</v>
      </c>
      <c r="F123" s="64">
        <f>+'JFK-144.023'!$F$6</f>
        <v>43074</v>
      </c>
      <c r="G123" s="65" t="str">
        <f>+'JFK-144.023'!$G$7</f>
        <v>Public</v>
      </c>
      <c r="H123" s="94">
        <f>+'JFK-144.023'!$F$7</f>
        <v>38000000</v>
      </c>
      <c r="I123" s="27">
        <f>+'JFK-144.023'!$F$8</f>
        <v>28470000</v>
      </c>
      <c r="J123" s="27"/>
      <c r="K123" s="26">
        <f>+'JFK-144.023'!$G$9</f>
        <v>-0.25078947368421051</v>
      </c>
      <c r="L123" s="11" t="str">
        <f>+'JFK-144.023'!$F$11</f>
        <v>GOOD</v>
      </c>
      <c r="M123" s="15">
        <f>+'JFK-144.023'!$H$12</f>
        <v>4</v>
      </c>
      <c r="N123" s="35" t="s">
        <v>93</v>
      </c>
      <c r="O123" s="15">
        <v>4</v>
      </c>
      <c r="P123" s="35" t="s">
        <v>458</v>
      </c>
      <c r="Q123" s="35" t="s">
        <v>1286</v>
      </c>
      <c r="R123" s="15"/>
      <c r="S123" s="24" t="s">
        <v>1293</v>
      </c>
      <c r="T123" s="62" t="str">
        <f>+'JFK-144.023'!$J$4</f>
        <v>Henry Yu</v>
      </c>
      <c r="U123" s="62"/>
      <c r="V123" s="94">
        <f>+'JFK-144.023'!$F$12</f>
        <v>39946675.75</v>
      </c>
      <c r="W123" s="165">
        <f t="shared" si="69"/>
        <v>0.71270010496430358</v>
      </c>
      <c r="X123" s="15"/>
      <c r="Y123" s="161">
        <f t="shared" si="77"/>
        <v>0.74921052631578944</v>
      </c>
      <c r="Z123" s="11" t="str">
        <f t="shared" si="78"/>
        <v>FAIL</v>
      </c>
      <c r="AA123" s="11"/>
      <c r="AB123" s="15"/>
      <c r="AC123" s="239">
        <f>VLOOKUP(H123,ECON_ADJUSTMENT!J$2:W$240,12,FALSE)</f>
        <v>35855683.986421861</v>
      </c>
      <c r="AD123" s="15" t="str">
        <f t="shared" si="55"/>
        <v>GOOD</v>
      </c>
      <c r="AE123" s="15"/>
      <c r="AF123" s="15"/>
      <c r="AG123" s="54">
        <f t="shared" si="79"/>
        <v>38000000</v>
      </c>
      <c r="AH123" s="54">
        <f t="shared" si="80"/>
        <v>28470000</v>
      </c>
      <c r="AI123" s="54">
        <f t="shared" si="81"/>
        <v>9530000</v>
      </c>
    </row>
    <row r="124" spans="2:39" x14ac:dyDescent="0.25">
      <c r="C124" s="39">
        <v>2017</v>
      </c>
      <c r="D124" s="102" t="str">
        <f>+'EWR-154.235'!$F$4</f>
        <v>EWR-154.235</v>
      </c>
      <c r="E124" s="63" t="str">
        <f>+'EWR-154.235'!$F$5</f>
        <v>Rehab CTA Entrance and Bridges N1, N2, N5, N6</v>
      </c>
      <c r="F124" s="64">
        <f>+'EWR-154.235'!$F$6</f>
        <v>43068</v>
      </c>
      <c r="G124" s="65" t="str">
        <f>+'EWR-154.235'!$G$7</f>
        <v>Public</v>
      </c>
      <c r="H124" s="94">
        <f>+'EWR-154.235'!$F$7</f>
        <v>6600000</v>
      </c>
      <c r="I124" s="27">
        <f>+'EWR-154.235'!$F$8</f>
        <v>5189333</v>
      </c>
      <c r="J124" s="27"/>
      <c r="K124" s="26">
        <f>+'EWR-154.235'!$G$9</f>
        <v>-0.21373742424242423</v>
      </c>
      <c r="L124" s="11" t="str">
        <f>+'EWR-154.235'!$F$11</f>
        <v>GOOD</v>
      </c>
      <c r="M124" s="15">
        <f>+'EWR-154.235'!$H$12</f>
        <v>7</v>
      </c>
      <c r="N124" s="35" t="s">
        <v>25</v>
      </c>
      <c r="O124" s="15">
        <v>4</v>
      </c>
      <c r="P124" s="35" t="s">
        <v>458</v>
      </c>
      <c r="Q124" s="35" t="s">
        <v>1282</v>
      </c>
      <c r="R124" s="15"/>
      <c r="S124" s="24"/>
      <c r="T124" s="62" t="str">
        <f>+'EWR-154.235'!$J$4</f>
        <v>Henry Yu</v>
      </c>
      <c r="U124" s="62"/>
      <c r="V124" s="94">
        <f>+'EWR-154.235'!$F$12</f>
        <v>6327117.5714285718</v>
      </c>
      <c r="W124" s="165">
        <f t="shared" si="69"/>
        <v>0.82017331611372657</v>
      </c>
      <c r="X124" s="15"/>
      <c r="Y124" s="161">
        <f t="shared" si="77"/>
        <v>0.78626257575757574</v>
      </c>
      <c r="Z124" s="11" t="str">
        <f t="shared" si="78"/>
        <v>FAIL</v>
      </c>
      <c r="AA124" s="11"/>
      <c r="AB124" s="15"/>
      <c r="AC124" s="239">
        <f>VLOOKUP(H124,ECON_ADJUSTMENT!J$2:W$240,12,FALSE)</f>
        <v>6153569.2435054388</v>
      </c>
      <c r="AD124" s="15" t="str">
        <f t="shared" si="55"/>
        <v>GOOD</v>
      </c>
      <c r="AE124" s="15"/>
      <c r="AF124" s="15"/>
      <c r="AG124" s="54">
        <f t="shared" si="79"/>
        <v>6600000</v>
      </c>
      <c r="AH124" s="54">
        <f t="shared" si="80"/>
        <v>5189333</v>
      </c>
      <c r="AI124" s="54">
        <f t="shared" si="81"/>
        <v>1410667</v>
      </c>
    </row>
    <row r="125" spans="2:39" x14ac:dyDescent="0.25">
      <c r="C125" s="39">
        <v>2017</v>
      </c>
      <c r="D125" s="102" t="str">
        <f>+'LT-234.193'!$F$4</f>
        <v>LT-234.193</v>
      </c>
      <c r="E125" s="63" t="str">
        <f>+'LT-234.193'!$F$5</f>
        <v>Latent Salt Damage Repairs</v>
      </c>
      <c r="F125" s="64">
        <f>+'LT-234.193'!$F$6</f>
        <v>43054</v>
      </c>
      <c r="G125" s="65" t="str">
        <f>+'LT-234.193'!$G$7</f>
        <v>Public</v>
      </c>
      <c r="H125" s="94">
        <f>+'LT-234.193'!$F$7</f>
        <v>1350000</v>
      </c>
      <c r="I125" s="27">
        <f>+'LT-234.193'!$F$8</f>
        <v>2629000</v>
      </c>
      <c r="J125" s="27"/>
      <c r="K125" s="26">
        <f>+'LT-234.193'!$G$9</f>
        <v>0.94740740740740736</v>
      </c>
      <c r="L125" s="11" t="str">
        <f>+'LT-234.193'!$F$11</f>
        <v>FAIL</v>
      </c>
      <c r="M125" s="15">
        <f>+'LT-234.193'!$H$12</f>
        <v>1</v>
      </c>
      <c r="N125" s="35" t="s">
        <v>226</v>
      </c>
      <c r="O125" s="15">
        <v>4</v>
      </c>
      <c r="P125" s="35" t="s">
        <v>457</v>
      </c>
      <c r="Q125" s="35" t="s">
        <v>1286</v>
      </c>
      <c r="R125" s="15"/>
      <c r="S125" s="24" t="s">
        <v>782</v>
      </c>
      <c r="T125" s="62" t="str">
        <f>+'LT-234.193'!$J$4</f>
        <v>Joe Lucin</v>
      </c>
      <c r="U125" s="62"/>
      <c r="V125" s="94">
        <f>+'LT-234.193'!$F$12</f>
        <v>2629000</v>
      </c>
      <c r="W125" s="165">
        <f t="shared" si="69"/>
        <v>1</v>
      </c>
      <c r="X125" s="15"/>
      <c r="Y125" s="161">
        <f t="shared" si="77"/>
        <v>1.9474074074074075</v>
      </c>
      <c r="Z125" s="11" t="str">
        <f t="shared" si="78"/>
        <v>FAIL</v>
      </c>
      <c r="AA125" s="11"/>
      <c r="AB125" s="15"/>
      <c r="AC125" s="239">
        <f>VLOOKUP(H125,ECON_ADJUSTMENT!J$2:W$240,12,FALSE)</f>
        <v>1493192.9281718293</v>
      </c>
      <c r="AD125" s="15" t="str">
        <f t="shared" si="55"/>
        <v>FAIL</v>
      </c>
      <c r="AE125" s="15"/>
      <c r="AF125" s="15"/>
      <c r="AG125" s="54">
        <f t="shared" si="79"/>
        <v>1350000</v>
      </c>
      <c r="AH125" s="54">
        <f t="shared" si="80"/>
        <v>2629000</v>
      </c>
      <c r="AI125" s="54">
        <f t="shared" si="81"/>
        <v>-1279000</v>
      </c>
    </row>
    <row r="126" spans="2:39" x14ac:dyDescent="0.25">
      <c r="C126" s="39">
        <v>2017</v>
      </c>
      <c r="D126" s="102" t="str">
        <f>+'BT-254.085'!$F$4</f>
        <v>BT-254.085</v>
      </c>
      <c r="E126" s="63" t="str">
        <f>+'BT-254.085'!$F$5</f>
        <v>Internal Structural Enhancements (Column Hardening)</v>
      </c>
      <c r="F126" s="64">
        <f>+'BT-254.085'!$F$6</f>
        <v>43053</v>
      </c>
      <c r="G126" s="65" t="str">
        <f>+'BT-254.085'!$G$7</f>
        <v>VVP</v>
      </c>
      <c r="H126" s="94">
        <f>+'BT-254.085'!$F$7</f>
        <v>17250000</v>
      </c>
      <c r="I126" s="27">
        <f>+'BT-254.085'!$F$8</f>
        <v>22616488</v>
      </c>
      <c r="J126" s="27"/>
      <c r="K126" s="26">
        <f>+'BT-254.085'!$G$9</f>
        <v>0.3111007536231884</v>
      </c>
      <c r="L126" s="11" t="str">
        <f>+'BT-254.085'!$F$11</f>
        <v>FAIL</v>
      </c>
      <c r="M126" s="15">
        <f>+'BT-254.085'!$H$12</f>
        <v>4</v>
      </c>
      <c r="N126" s="35" t="s">
        <v>93</v>
      </c>
      <c r="O126" s="15">
        <v>4</v>
      </c>
      <c r="P126" s="35" t="s">
        <v>457</v>
      </c>
      <c r="Q126" s="35" t="s">
        <v>1282</v>
      </c>
      <c r="R126" s="15"/>
      <c r="S126" s="24"/>
      <c r="T126" s="62" t="str">
        <f>+'BT-254.085'!$J$4</f>
        <v>Nathan Demaisip</v>
      </c>
      <c r="U126" s="62"/>
      <c r="V126" s="94">
        <f>+'BT-254.085'!$F$12</f>
        <v>28461824.5</v>
      </c>
      <c r="W126" s="165">
        <f t="shared" si="69"/>
        <v>0.79462537617713158</v>
      </c>
      <c r="X126" s="15"/>
      <c r="Y126" s="161">
        <f t="shared" si="77"/>
        <v>1.3111007536231885</v>
      </c>
      <c r="Z126" s="11" t="str">
        <f t="shared" si="78"/>
        <v>FAIL</v>
      </c>
      <c r="AA126" s="11"/>
      <c r="AB126" s="15"/>
      <c r="AC126" s="239">
        <f>VLOOKUP(H126,ECON_ADJUSTMENT!J$2:W$240,12,FALSE)</f>
        <v>19721676.439584166</v>
      </c>
      <c r="AD126" s="15" t="str">
        <f t="shared" si="55"/>
        <v>FAIL</v>
      </c>
      <c r="AE126" s="15"/>
      <c r="AF126" s="15"/>
      <c r="AG126" s="54">
        <f t="shared" si="79"/>
        <v>17250000</v>
      </c>
      <c r="AH126" s="54">
        <f t="shared" si="80"/>
        <v>22616488</v>
      </c>
      <c r="AI126" s="54">
        <f t="shared" si="81"/>
        <v>-5366488</v>
      </c>
    </row>
    <row r="127" spans="2:39" x14ac:dyDescent="0.25">
      <c r="C127" s="39">
        <v>2017</v>
      </c>
      <c r="D127" s="62" t="str">
        <f>+'EWR-154.247'!$F$4</f>
        <v>EWR-154.247</v>
      </c>
      <c r="E127" s="63" t="str">
        <f>+'EWR-154.247'!$F$5</f>
        <v>Terminal B Automated Passport System Kiosks</v>
      </c>
      <c r="F127" s="64">
        <f>+'EWR-154.247'!$F$6</f>
        <v>43053</v>
      </c>
      <c r="G127" s="65" t="str">
        <f>+'EWR-154.247'!$G$7</f>
        <v>MWBE</v>
      </c>
      <c r="H127" s="94">
        <f>+'EWR-154.247'!$F$7</f>
        <v>820000</v>
      </c>
      <c r="I127" s="27">
        <f>+'EWR-154.247'!$F$8</f>
        <v>861500</v>
      </c>
      <c r="J127" s="27"/>
      <c r="K127" s="26">
        <f>+'EWR-154.247'!$G$9</f>
        <v>5.0609756097560979E-2</v>
      </c>
      <c r="L127" s="11" t="str">
        <f>+'EWR-154.247'!$F$11</f>
        <v>GOOD</v>
      </c>
      <c r="M127" s="15">
        <f>+'EWR-154.247'!$H$12</f>
        <v>4</v>
      </c>
      <c r="N127" s="35" t="s">
        <v>25</v>
      </c>
      <c r="O127" s="15">
        <v>4</v>
      </c>
      <c r="P127" s="35" t="s">
        <v>458</v>
      </c>
      <c r="Q127" s="35" t="s">
        <v>1286</v>
      </c>
      <c r="R127" s="15"/>
      <c r="S127" s="24"/>
      <c r="T127" s="62" t="str">
        <f>+'EWR-154.247'!$J$4</f>
        <v>Henry Yu</v>
      </c>
      <c r="U127" s="62"/>
      <c r="V127" s="94">
        <f>+'EWR-154.247'!$F$12</f>
        <v>1755273.5</v>
      </c>
      <c r="W127" s="165">
        <f t="shared" si="69"/>
        <v>0.4908067033428124</v>
      </c>
      <c r="X127" s="15"/>
      <c r="Y127" s="161">
        <f t="shared" si="77"/>
        <v>1.0506097560975609</v>
      </c>
      <c r="Z127" s="11" t="str">
        <f t="shared" si="78"/>
        <v>GOOD</v>
      </c>
      <c r="AA127" s="11"/>
      <c r="AB127" s="15"/>
      <c r="AC127" s="239">
        <f>VLOOKUP(H127,ECON_ADJUSTMENT!J$2:W$240,12,FALSE)</f>
        <v>1578829.1229419382</v>
      </c>
      <c r="AD127" s="15" t="str">
        <f t="shared" si="55"/>
        <v>GOOD</v>
      </c>
      <c r="AE127" s="15"/>
      <c r="AF127" s="15"/>
      <c r="AG127" s="54">
        <f t="shared" si="79"/>
        <v>820000</v>
      </c>
      <c r="AH127" s="54">
        <f t="shared" si="80"/>
        <v>861500</v>
      </c>
      <c r="AI127" s="54">
        <f t="shared" si="81"/>
        <v>-41500</v>
      </c>
    </row>
    <row r="128" spans="2:39" x14ac:dyDescent="0.25">
      <c r="C128" s="39">
        <v>2017</v>
      </c>
      <c r="D128" s="62" t="str">
        <f>+'PJ-654.502'!$F$4</f>
        <v>PJ-654.502</v>
      </c>
      <c r="E128" s="63" t="str">
        <f>+'PJ-654.502'!$F$5</f>
        <v>Greenville Yard phase 2</v>
      </c>
      <c r="F128" s="64">
        <f>+'PJ-654.502'!$F$6</f>
        <v>43048</v>
      </c>
      <c r="G128" s="65" t="str">
        <f>+'PJ-654.502'!$G$7</f>
        <v>Public</v>
      </c>
      <c r="H128" s="94">
        <f>+'PJ-654.502'!$F$7</f>
        <v>4860000</v>
      </c>
      <c r="I128" s="27">
        <f>+'PJ-654.502'!$F$8</f>
        <v>3418000</v>
      </c>
      <c r="J128" s="27"/>
      <c r="K128" s="26">
        <f>+'PJ-654.502'!$G$9</f>
        <v>-0.29670781893004117</v>
      </c>
      <c r="L128" s="11" t="str">
        <f>+'PJ-654.502'!$F$11</f>
        <v>GOOD</v>
      </c>
      <c r="M128" s="15">
        <f>+'PJ-654.502'!$H$12</f>
        <v>8</v>
      </c>
      <c r="N128" s="35" t="s">
        <v>25</v>
      </c>
      <c r="O128" s="15">
        <v>4</v>
      </c>
      <c r="P128" s="35" t="s">
        <v>492</v>
      </c>
      <c r="Q128" s="35" t="s">
        <v>1283</v>
      </c>
      <c r="R128" s="15"/>
      <c r="S128" s="24"/>
      <c r="T128" s="62" t="str">
        <f>+'PJ-654.502'!$J$4</f>
        <v>Ed Minall</v>
      </c>
      <c r="U128" s="62"/>
      <c r="V128" s="94">
        <f>+'PJ-654.502'!$F$12</f>
        <v>4623479.5</v>
      </c>
      <c r="W128" s="165">
        <f t="shared" si="69"/>
        <v>0.73927006705663989</v>
      </c>
      <c r="X128" s="15"/>
      <c r="Y128" s="161">
        <f t="shared" si="77"/>
        <v>0.70329218106995883</v>
      </c>
      <c r="Z128" s="11" t="str">
        <f t="shared" si="78"/>
        <v>FAIL</v>
      </c>
      <c r="AA128" s="11"/>
      <c r="AB128" s="15"/>
      <c r="AC128" s="239">
        <f>VLOOKUP(H128,ECON_ADJUSTMENT!J$2:W$240,12,FALSE)</f>
        <v>4547100.1959008863</v>
      </c>
      <c r="AD128" s="15" t="str">
        <f t="shared" si="55"/>
        <v>GOOD</v>
      </c>
      <c r="AE128" s="15"/>
      <c r="AF128" s="15"/>
      <c r="AG128" s="54">
        <f t="shared" si="79"/>
        <v>4860000</v>
      </c>
      <c r="AH128" s="54">
        <f t="shared" si="80"/>
        <v>3418000</v>
      </c>
      <c r="AI128" s="54">
        <f t="shared" si="81"/>
        <v>1442000</v>
      </c>
    </row>
    <row r="129" spans="2:39" x14ac:dyDescent="0.25">
      <c r="C129" s="39">
        <v>2017</v>
      </c>
      <c r="D129" s="62" t="str">
        <f>+'EWR-154.383'!$F$4</f>
        <v>EWR-154.383</v>
      </c>
      <c r="E129" s="63" t="str">
        <f>+'EWR-154.383'!$F$5</f>
        <v>Terminal A Redev - Airside Paving and Utilities South phase 1</v>
      </c>
      <c r="F129" s="64">
        <f>+'EWR-154.383'!$F$6</f>
        <v>43047</v>
      </c>
      <c r="G129" s="65" t="str">
        <f>+'EWR-154.383'!$G$7</f>
        <v>PQL</v>
      </c>
      <c r="H129" s="94">
        <f>+'EWR-154.383'!$F$7</f>
        <v>26900000</v>
      </c>
      <c r="I129" s="27">
        <f>+'EWR-154.383'!$F$8</f>
        <v>26600000</v>
      </c>
      <c r="J129" s="27"/>
      <c r="K129" s="26">
        <f>+'EWR-154.383'!$G$9</f>
        <v>-1.1152416356877323E-2</v>
      </c>
      <c r="L129" s="11" t="str">
        <f>+'EWR-154.383'!$F$11</f>
        <v>GOOD</v>
      </c>
      <c r="M129" s="15">
        <f>+'EWR-154.383'!$H$12</f>
        <v>3</v>
      </c>
      <c r="N129" s="35" t="s">
        <v>25</v>
      </c>
      <c r="O129" s="15">
        <v>4</v>
      </c>
      <c r="P129" s="35" t="s">
        <v>458</v>
      </c>
      <c r="Q129" s="35" t="s">
        <v>1283</v>
      </c>
      <c r="R129" s="15"/>
      <c r="S129" s="24"/>
      <c r="T129" s="62" t="str">
        <f>+'EWR-154.383'!$J$4</f>
        <v>Henry Yu</v>
      </c>
      <c r="U129" s="62"/>
      <c r="V129" s="94">
        <f>+'EWR-154.383'!$F$12</f>
        <v>28659203.666666668</v>
      </c>
      <c r="W129" s="165">
        <f t="shared" si="69"/>
        <v>0.92814860836270496</v>
      </c>
      <c r="X129" s="15"/>
      <c r="Y129" s="161">
        <f t="shared" si="77"/>
        <v>0.98884758364312264</v>
      </c>
      <c r="Z129" s="11" t="str">
        <f t="shared" si="78"/>
        <v>GOOD</v>
      </c>
      <c r="AA129" s="11"/>
      <c r="AB129" s="15"/>
      <c r="AC129" s="239">
        <f>VLOOKUP(H129,ECON_ADJUSTMENT!J$2:W$240,12,FALSE)</f>
        <v>28117746.278212488</v>
      </c>
      <c r="AD129" s="15" t="str">
        <f t="shared" si="55"/>
        <v>GOOD</v>
      </c>
      <c r="AE129" s="15"/>
      <c r="AF129" s="15"/>
      <c r="AG129" s="54">
        <f t="shared" si="79"/>
        <v>26900000</v>
      </c>
      <c r="AH129" s="54">
        <f t="shared" si="80"/>
        <v>26600000</v>
      </c>
      <c r="AI129" s="54">
        <f t="shared" si="81"/>
        <v>300000</v>
      </c>
    </row>
    <row r="130" spans="2:39" x14ac:dyDescent="0.25">
      <c r="C130" s="39">
        <v>2017</v>
      </c>
      <c r="D130" s="62" t="str">
        <f>+'LT-234.194'!$F$4</f>
        <v>LT-234.194</v>
      </c>
      <c r="E130" s="63" t="str">
        <f>+'LT-234.194'!$F$5</f>
        <v>Flood Protection for Ventilation Bldgs and Emergency Generators</v>
      </c>
      <c r="F130" s="64">
        <f>+'LT-234.194'!$F$6</f>
        <v>43047</v>
      </c>
      <c r="G130" s="65" t="str">
        <f>+'LT-234.194'!$G$7</f>
        <v>Public</v>
      </c>
      <c r="H130" s="94">
        <f>+'LT-234.194'!$F$7</f>
        <v>1650000</v>
      </c>
      <c r="I130" s="27">
        <f>+'LT-234.194'!$F$8</f>
        <v>2278990</v>
      </c>
      <c r="J130" s="27"/>
      <c r="K130" s="26">
        <f>+'LT-234.194'!$G$9</f>
        <v>0.3812060606060606</v>
      </c>
      <c r="L130" s="11" t="str">
        <f>+'LT-234.194'!$F$11</f>
        <v>FAIL</v>
      </c>
      <c r="M130" s="15">
        <f>+'LT-234.194'!$H$12</f>
        <v>5</v>
      </c>
      <c r="N130" s="35" t="s">
        <v>226</v>
      </c>
      <c r="O130" s="15">
        <v>4</v>
      </c>
      <c r="P130" s="35" t="s">
        <v>457</v>
      </c>
      <c r="Q130" s="35" t="s">
        <v>1285</v>
      </c>
      <c r="R130" s="15"/>
      <c r="S130" s="24"/>
      <c r="T130" s="62" t="str">
        <f>+'LT-234.194'!$J$4</f>
        <v>Joe Lucin</v>
      </c>
      <c r="U130" s="62"/>
      <c r="V130" s="94">
        <f>+'LT-234.194'!$F$12</f>
        <v>2755998</v>
      </c>
      <c r="W130" s="165">
        <f t="shared" si="69"/>
        <v>0.82692004856317025</v>
      </c>
      <c r="X130" s="15"/>
      <c r="Y130" s="161">
        <f t="shared" si="77"/>
        <v>1.3812060606060605</v>
      </c>
      <c r="Z130" s="11" t="str">
        <f t="shared" si="78"/>
        <v>FAIL</v>
      </c>
      <c r="AA130" s="11"/>
      <c r="AB130" s="15"/>
      <c r="AC130" s="239">
        <f>VLOOKUP(H130,ECON_ADJUSTMENT!J$2:W$240,12,FALSE)</f>
        <v>1012627.0920265431</v>
      </c>
      <c r="AD130" s="15" t="str">
        <f t="shared" si="55"/>
        <v>FAIL</v>
      </c>
      <c r="AE130" s="15"/>
      <c r="AF130" s="15"/>
      <c r="AG130" s="54">
        <f t="shared" si="79"/>
        <v>1650000</v>
      </c>
      <c r="AH130" s="54">
        <f t="shared" si="80"/>
        <v>2278990</v>
      </c>
      <c r="AI130" s="54">
        <f t="shared" si="81"/>
        <v>-628990</v>
      </c>
    </row>
    <row r="131" spans="2:39" x14ac:dyDescent="0.25">
      <c r="C131" s="39">
        <v>2017</v>
      </c>
      <c r="D131" s="62" t="str">
        <f>+'PAT-534.316A'!$F$4</f>
        <v>PAT-534.316A</v>
      </c>
      <c r="E131" s="63" t="str">
        <f>+'PAT-534.316A'!$F$5</f>
        <v>JSQ Transportation Center - Hardening Phase 2</v>
      </c>
      <c r="F131" s="64">
        <f>+'PAT-534.316A'!$F$6</f>
        <v>43034</v>
      </c>
      <c r="G131" s="65" t="str">
        <f>+'PAT-534.316A'!$G$7</f>
        <v>VVP</v>
      </c>
      <c r="H131" s="94">
        <f>+'PAT-534.316A'!$F$7</f>
        <v>2194000</v>
      </c>
      <c r="I131" s="27">
        <f>+'PAT-534.316A'!$F$8</f>
        <v>1361078</v>
      </c>
      <c r="J131" s="27"/>
      <c r="K131" s="26">
        <f>+'PAT-534.316A'!$G$9</f>
        <v>-0.3796362807657247</v>
      </c>
      <c r="L131" s="11" t="str">
        <f>+'PAT-534.316A'!$F$11</f>
        <v>FAIL</v>
      </c>
      <c r="M131" s="15">
        <f>+'PAT-534.316A'!$H$12</f>
        <v>6</v>
      </c>
      <c r="N131" s="35" t="s">
        <v>25</v>
      </c>
      <c r="O131" s="15">
        <v>4</v>
      </c>
      <c r="P131" s="35" t="s">
        <v>459</v>
      </c>
      <c r="Q131" s="35" t="s">
        <v>1283</v>
      </c>
      <c r="R131" s="15"/>
      <c r="S131" s="24"/>
      <c r="T131" s="62" t="str">
        <f>+'PAT-534.316A'!$J$4</f>
        <v>Nathan Demaisip</v>
      </c>
      <c r="U131" s="62"/>
      <c r="V131" s="94">
        <f>+'PAT-534.316A'!$F$12</f>
        <v>1826834.3333333333</v>
      </c>
      <c r="W131" s="165">
        <f t="shared" si="69"/>
        <v>0.74504730678917619</v>
      </c>
      <c r="X131" s="15"/>
      <c r="Y131" s="161">
        <f t="shared" si="77"/>
        <v>0.62036371923427525</v>
      </c>
      <c r="Z131" s="11" t="str">
        <f t="shared" si="78"/>
        <v>FAIL</v>
      </c>
      <c r="AA131" s="11"/>
      <c r="AB131" s="15"/>
      <c r="AC131" s="239">
        <f>VLOOKUP(H131,ECON_ADJUSTMENT!J$2:W$240,12,FALSE)</f>
        <v>3405656.969411795</v>
      </c>
      <c r="AD131" s="15" t="str">
        <f t="shared" si="55"/>
        <v>FAIL</v>
      </c>
      <c r="AE131" s="15"/>
      <c r="AF131" s="15"/>
      <c r="AG131" s="54">
        <f t="shared" si="79"/>
        <v>2194000</v>
      </c>
      <c r="AH131" s="54">
        <f t="shared" si="80"/>
        <v>1361078</v>
      </c>
      <c r="AI131" s="54">
        <f t="shared" si="81"/>
        <v>832922</v>
      </c>
    </row>
    <row r="132" spans="2:39" x14ac:dyDescent="0.25">
      <c r="C132" s="39">
        <v>2017</v>
      </c>
      <c r="D132" s="62" t="str">
        <f>+'JFK-154.021'!$F$4</f>
        <v>JFK-154.021</v>
      </c>
      <c r="E132" s="63" t="str">
        <f>+'JFK-154.021'!$F$5</f>
        <v>Airside Switchgear Replacement</v>
      </c>
      <c r="F132" s="64">
        <f>+'JFK-154.021'!$F$6</f>
        <v>43025</v>
      </c>
      <c r="G132" s="65" t="str">
        <f>+'JFK-154.021'!$G$7</f>
        <v>Public</v>
      </c>
      <c r="H132" s="94">
        <f>+'JFK-154.021'!$F$7</f>
        <v>2800000</v>
      </c>
      <c r="I132" s="27">
        <f>+'JFK-154.021'!$F$8</f>
        <v>2847000</v>
      </c>
      <c r="J132" s="27"/>
      <c r="K132" s="26">
        <f>+'JFK-154.021'!$G$9</f>
        <v>1.6785714285714286E-2</v>
      </c>
      <c r="L132" s="11" t="str">
        <f>+'JFK-154.021'!$F$11</f>
        <v>GOOD</v>
      </c>
      <c r="M132" s="15">
        <f>+'JFK-154.021'!$H$12</f>
        <v>9</v>
      </c>
      <c r="N132" s="35" t="s">
        <v>93</v>
      </c>
      <c r="O132" s="15">
        <v>4</v>
      </c>
      <c r="P132" s="35" t="s">
        <v>458</v>
      </c>
      <c r="Q132" s="35" t="s">
        <v>1286</v>
      </c>
      <c r="R132" s="15"/>
      <c r="S132" s="24"/>
      <c r="T132" s="62" t="str">
        <f>+'JFK-154.021'!$J$4</f>
        <v>Henry Yu</v>
      </c>
      <c r="U132" s="62"/>
      <c r="V132" s="94">
        <f>+'JFK-154.021'!$F$12</f>
        <v>3721299.777777778</v>
      </c>
      <c r="W132" s="165">
        <f t="shared" si="69"/>
        <v>0.76505526832351101</v>
      </c>
      <c r="X132" s="15"/>
      <c r="Y132" s="161">
        <f t="shared" si="77"/>
        <v>1.0167857142857142</v>
      </c>
      <c r="Z132" s="11" t="str">
        <f t="shared" si="78"/>
        <v>GOOD</v>
      </c>
      <c r="AA132" s="11"/>
      <c r="AB132" s="15"/>
      <c r="AC132" s="239">
        <f>VLOOKUP(H132,ECON_ADJUSTMENT!J$2:W$240,12,FALSE)</f>
        <v>2754778.5515926648</v>
      </c>
      <c r="AD132" s="15" t="str">
        <f t="shared" si="55"/>
        <v>GOOD</v>
      </c>
      <c r="AE132" s="15"/>
      <c r="AF132" s="15"/>
      <c r="AG132" s="54">
        <f t="shared" si="79"/>
        <v>2800000</v>
      </c>
      <c r="AH132" s="54">
        <f t="shared" si="80"/>
        <v>2847000</v>
      </c>
      <c r="AI132" s="54">
        <f t="shared" si="81"/>
        <v>-47000</v>
      </c>
    </row>
    <row r="133" spans="2:39" x14ac:dyDescent="0.25">
      <c r="C133" s="39">
        <v>2017</v>
      </c>
      <c r="D133" s="62" t="str">
        <f>+'EWR-154.254'!$F$4</f>
        <v>EWR-154.254</v>
      </c>
      <c r="E133" s="63" t="str">
        <f>+'EWR-154.254'!$F$5</f>
        <v>Rehab of Terminal Frontage Bridges - Ph1 - Bridge N18, N20 Pier Caps</v>
      </c>
      <c r="F133" s="64">
        <f>+'EWR-154.254'!$F$6</f>
        <v>43025</v>
      </c>
      <c r="G133" s="65" t="str">
        <f>+'EWR-154.254'!$G$7</f>
        <v>Public</v>
      </c>
      <c r="H133" s="94">
        <f>+'EWR-154.254'!$F$7</f>
        <v>3000000</v>
      </c>
      <c r="I133" s="27">
        <f>+'EWR-154.254'!$F$8</f>
        <v>2812500</v>
      </c>
      <c r="J133" s="27"/>
      <c r="K133" s="26">
        <f>+'EWR-154.254'!$G$9</f>
        <v>-6.25E-2</v>
      </c>
      <c r="L133" s="11" t="str">
        <f>+'EWR-154.254'!$F$11</f>
        <v>GOOD</v>
      </c>
      <c r="M133" s="15">
        <f>+'EWR-154.254'!$H$12</f>
        <v>2</v>
      </c>
      <c r="N133" s="35" t="s">
        <v>25</v>
      </c>
      <c r="O133" s="15">
        <v>4</v>
      </c>
      <c r="P133" s="35" t="s">
        <v>458</v>
      </c>
      <c r="Q133" s="35" t="s">
        <v>1282</v>
      </c>
      <c r="R133" s="15"/>
      <c r="S133" s="24"/>
      <c r="T133" s="62" t="str">
        <f>+'EWR-154.254'!$J$4</f>
        <v>Henry Yu</v>
      </c>
      <c r="U133" s="62"/>
      <c r="V133" s="94">
        <f>+'EWR-154.254'!$F$12</f>
        <v>3481750</v>
      </c>
      <c r="W133" s="165">
        <f t="shared" si="69"/>
        <v>0.80778344223450849</v>
      </c>
      <c r="X133" s="15"/>
      <c r="Y133" s="161">
        <f t="shared" si="77"/>
        <v>0.9375</v>
      </c>
      <c r="Z133" s="11" t="str">
        <f t="shared" si="78"/>
        <v>GOOD</v>
      </c>
      <c r="AA133" s="11"/>
      <c r="AB133" s="15"/>
      <c r="AC133" s="239">
        <f>VLOOKUP(H133,ECON_ADJUSTMENT!J$2:W$240,12,FALSE)</f>
        <v>2928790.3617196763</v>
      </c>
      <c r="AD133" s="15" t="str">
        <f t="shared" si="55"/>
        <v>GOOD</v>
      </c>
      <c r="AE133" s="15"/>
      <c r="AF133" s="15"/>
      <c r="AG133" s="54">
        <f t="shared" si="79"/>
        <v>3000000</v>
      </c>
      <c r="AH133" s="54">
        <f t="shared" si="80"/>
        <v>2812500</v>
      </c>
      <c r="AI133" s="54">
        <f t="shared" si="81"/>
        <v>187500</v>
      </c>
    </row>
    <row r="134" spans="2:39" x14ac:dyDescent="0.25">
      <c r="B134" s="164">
        <f>(COUNTIF(L118:L134,"G*")/COUNTA(L118:L134))</f>
        <v>0.625</v>
      </c>
      <c r="C134" s="39">
        <v>2017</v>
      </c>
      <c r="D134" s="62" t="str">
        <f>+'EWR-924.384'!$F$4</f>
        <v>EWR-924.384</v>
      </c>
      <c r="E134" s="63" t="str">
        <f>+'EWR-924.384'!$F$5</f>
        <v>Bus Canopy B1, C1 and Gas Island Improvements and Roofing</v>
      </c>
      <c r="F134" s="64">
        <f>+'EWR-924.384'!$F$6</f>
        <v>43013</v>
      </c>
      <c r="G134" s="65" t="str">
        <f>+'EWR-924.384'!$G$7</f>
        <v>Public</v>
      </c>
      <c r="H134" s="94">
        <f>+'EWR-924.384'!$F$7</f>
        <v>970000</v>
      </c>
      <c r="I134" s="27">
        <f>+'EWR-924.384'!$F$8</f>
        <v>1285000</v>
      </c>
      <c r="J134" s="27"/>
      <c r="K134" s="26">
        <f>+'EWR-924.384'!$G$9</f>
        <v>0.32474226804123713</v>
      </c>
      <c r="L134" s="11" t="str">
        <f>+'EWR-924.384'!$F$11</f>
        <v>FAIL</v>
      </c>
      <c r="M134" s="15">
        <f>+'EWR-924.384'!$H$12</f>
        <v>6</v>
      </c>
      <c r="N134" s="35" t="s">
        <v>25</v>
      </c>
      <c r="O134" s="15">
        <v>4</v>
      </c>
      <c r="P134" s="35" t="s">
        <v>458</v>
      </c>
      <c r="Q134" s="35" t="s">
        <v>1284</v>
      </c>
      <c r="R134" s="15"/>
      <c r="S134" s="24"/>
      <c r="T134" s="62" t="str">
        <f>+'EWR-924.384'!$J$4</f>
        <v>Henry Yu</v>
      </c>
      <c r="U134" s="62"/>
      <c r="V134" s="94">
        <f>+'EWR-924.384'!$F$12</f>
        <v>1809866.6666666667</v>
      </c>
      <c r="W134" s="165">
        <f t="shared" si="69"/>
        <v>0.7099970531899219</v>
      </c>
      <c r="X134" s="15"/>
      <c r="Y134" s="161">
        <f t="shared" si="77"/>
        <v>1.3247422680412371</v>
      </c>
      <c r="Z134" s="11" t="str">
        <f t="shared" si="78"/>
        <v>FAIL</v>
      </c>
      <c r="AA134" s="11"/>
      <c r="AB134" s="15"/>
      <c r="AC134" s="239">
        <f>VLOOKUP(H134,ECON_ADJUSTMENT!J$2:W$240,12,FALSE)</f>
        <v>-210379.77330258291</v>
      </c>
      <c r="AD134" s="15" t="str">
        <f t="shared" si="55"/>
        <v>FAIL</v>
      </c>
      <c r="AE134" s="15"/>
      <c r="AF134" s="15"/>
      <c r="AG134" s="54">
        <f t="shared" si="79"/>
        <v>970000</v>
      </c>
      <c r="AH134" s="54">
        <f t="shared" si="80"/>
        <v>1285000</v>
      </c>
      <c r="AI134" s="54">
        <f t="shared" si="81"/>
        <v>-315000</v>
      </c>
      <c r="AK134" s="4">
        <f>SUM(H121:H134)</f>
        <v>112796000</v>
      </c>
      <c r="AL134" s="4">
        <f>SUM(I121:I134)</f>
        <v>105555239</v>
      </c>
      <c r="AM134" s="7">
        <f>+AL134/AK134</f>
        <v>0.93580658002056816</v>
      </c>
    </row>
    <row r="135" spans="2:39" ht="7.5" customHeight="1" x14ac:dyDescent="0.25">
      <c r="C135" s="39"/>
      <c r="G135" s="45"/>
      <c r="P135" s="11"/>
      <c r="Q135" s="11"/>
      <c r="T135" s="15"/>
      <c r="U135" s="15"/>
      <c r="V135" s="94"/>
      <c r="W135" s="165"/>
      <c r="AC135" s="239"/>
      <c r="AD135" s="15"/>
      <c r="AG135" s="54"/>
      <c r="AH135" s="54"/>
      <c r="AI135" s="54"/>
    </row>
    <row r="136" spans="2:39" x14ac:dyDescent="0.25">
      <c r="C136" s="39">
        <v>2017</v>
      </c>
      <c r="D136" s="62" t="str">
        <f>+'HT-924.144'!$F$4</f>
        <v>HT-924.144</v>
      </c>
      <c r="E136" s="63" t="str">
        <f>+'HT-924.144'!$F$5</f>
        <v>Heat Tracing and Insulation in Discharge Pipes, N&amp;S Tubes</v>
      </c>
      <c r="F136" s="64">
        <f>+'HT-924.144'!$F$6</f>
        <v>43006</v>
      </c>
      <c r="G136" s="65" t="str">
        <f>+'HT-924.144'!$G$7</f>
        <v>MWBE</v>
      </c>
      <c r="H136" s="94">
        <f>+'HT-924.144'!$F$7</f>
        <v>609000</v>
      </c>
      <c r="I136" s="27">
        <f>+'HT-924.144'!$F$8</f>
        <v>579300</v>
      </c>
      <c r="J136" s="27"/>
      <c r="K136" s="26">
        <f>+'HT-924.144'!$G$9</f>
        <v>-4.8768472906403938E-2</v>
      </c>
      <c r="L136" s="11" t="str">
        <f>+'HT-924.144'!$F$11</f>
        <v>GOOD</v>
      </c>
      <c r="M136" s="15">
        <f>+'HT-924.144'!$H$12</f>
        <v>4</v>
      </c>
      <c r="N136" s="35" t="s">
        <v>226</v>
      </c>
      <c r="O136" s="15">
        <v>3</v>
      </c>
      <c r="P136" s="35" t="s">
        <v>457</v>
      </c>
      <c r="Q136" s="35" t="s">
        <v>1286</v>
      </c>
      <c r="R136" s="15"/>
      <c r="S136" s="24"/>
      <c r="T136" s="62" t="str">
        <f>+'HT-924.144'!$J$4</f>
        <v>Gennadiy Zavolkovskiy</v>
      </c>
      <c r="U136" s="62"/>
      <c r="V136" s="94">
        <f>+'HT-924.144'!$F$12</f>
        <v>2077912.5</v>
      </c>
      <c r="W136" s="165">
        <f t="shared" si="69"/>
        <v>0.2787894100449369</v>
      </c>
      <c r="X136" s="15"/>
      <c r="Y136" s="161">
        <f t="shared" ref="Y136:Y147" si="82">+I136/H136</f>
        <v>0.95123152709359604</v>
      </c>
      <c r="Z136" s="11" t="str">
        <f t="shared" si="78"/>
        <v>GOOD</v>
      </c>
      <c r="AA136" s="11"/>
      <c r="AB136" s="15"/>
      <c r="AC136" s="239">
        <f>VLOOKUP(H136,ECON_ADJUSTMENT!J$2:W$240,12,FALSE)</f>
        <v>2026613.3741552269</v>
      </c>
      <c r="AD136" s="15" t="str">
        <f t="shared" ref="AD136:AD199" si="83">(IF(AC136&lt;(I136*0.9),"FAIL",IF(AC136&gt;(V136*1.1),"FAIL","GOOD")))</f>
        <v>GOOD</v>
      </c>
      <c r="AE136" s="15"/>
      <c r="AF136" s="15"/>
      <c r="AG136" s="54">
        <f t="shared" ref="AG136:AG147" si="84">+H136</f>
        <v>609000</v>
      </c>
      <c r="AH136" s="54">
        <f t="shared" ref="AH136:AH147" si="85">+I136</f>
        <v>579300</v>
      </c>
      <c r="AI136" s="54">
        <f t="shared" ref="AI136:AI147" si="86">+AG136-AH136</f>
        <v>29700</v>
      </c>
    </row>
    <row r="137" spans="2:39" x14ac:dyDescent="0.25">
      <c r="C137" s="39">
        <v>2017</v>
      </c>
      <c r="D137" s="62" t="str">
        <f>+'HT-924.106'!$F$4</f>
        <v>HT-924.106</v>
      </c>
      <c r="E137" s="63" t="str">
        <f>+'HT-924.106'!$F$5</f>
        <v>Replace Missing Tiles at Walls and Ceiling</v>
      </c>
      <c r="F137" s="64">
        <f>+'HT-924.106'!$F$6</f>
        <v>43005</v>
      </c>
      <c r="G137" s="65" t="str">
        <f>+'HT-924.106'!$G$7</f>
        <v>Public</v>
      </c>
      <c r="H137" s="94">
        <f>+'HT-924.106'!$F$7</f>
        <v>1250000</v>
      </c>
      <c r="I137" s="27">
        <f>+'HT-924.106'!$F$8</f>
        <v>1068000</v>
      </c>
      <c r="J137" s="27"/>
      <c r="K137" s="26">
        <f>+'HT-924.106'!$G$9</f>
        <v>-0.14560000000000001</v>
      </c>
      <c r="L137" s="11" t="str">
        <f>+'HT-924.106'!$F$11</f>
        <v>GOOD</v>
      </c>
      <c r="M137" s="15">
        <f>+'HT-924.106'!$H$12</f>
        <v>6</v>
      </c>
      <c r="N137" s="35" t="s">
        <v>226</v>
      </c>
      <c r="O137" s="15">
        <v>3</v>
      </c>
      <c r="P137" s="35" t="s">
        <v>457</v>
      </c>
      <c r="Q137" s="35" t="s">
        <v>1284</v>
      </c>
      <c r="R137" s="15"/>
      <c r="S137" s="24"/>
      <c r="T137" s="62" t="str">
        <f>+'HT-924.106'!$J$4</f>
        <v>Joe Lucin</v>
      </c>
      <c r="U137" s="62"/>
      <c r="V137" s="94">
        <f>+'HT-924.106'!$F$12</f>
        <v>3069190.5</v>
      </c>
      <c r="W137" s="165">
        <f t="shared" si="69"/>
        <v>0.34797449034199734</v>
      </c>
      <c r="X137" s="15"/>
      <c r="Y137" s="161">
        <f t="shared" si="82"/>
        <v>0.85440000000000005</v>
      </c>
      <c r="Z137" s="11" t="str">
        <f t="shared" si="78"/>
        <v>GOOD</v>
      </c>
      <c r="AA137" s="11"/>
      <c r="AB137" s="15"/>
      <c r="AC137" s="239">
        <f>VLOOKUP(H137,ECON_ADJUSTMENT!J$2:W$240,12,FALSE)</f>
        <v>33236.760875233682</v>
      </c>
      <c r="AD137" s="15" t="str">
        <f t="shared" si="83"/>
        <v>FAIL</v>
      </c>
      <c r="AE137" s="15"/>
      <c r="AF137" s="15"/>
      <c r="AG137" s="54">
        <f t="shared" si="84"/>
        <v>1250000</v>
      </c>
      <c r="AH137" s="54">
        <f t="shared" si="85"/>
        <v>1068000</v>
      </c>
      <c r="AI137" s="54">
        <f t="shared" si="86"/>
        <v>182000</v>
      </c>
    </row>
    <row r="138" spans="2:39" x14ac:dyDescent="0.25">
      <c r="C138" s="39">
        <v>2017</v>
      </c>
      <c r="D138" s="62" t="str">
        <f>+'GWB-244.042'!$F$4</f>
        <v>GWB-244.042</v>
      </c>
      <c r="E138" s="63" t="str">
        <f>+'GWB-244.042'!$F$5</f>
        <v>Replacement of 178/179 St Ramps, Bus Ramps and Bus Turnaround</v>
      </c>
      <c r="F138" s="64">
        <f>+'GWB-244.042'!$F$6</f>
        <v>43004</v>
      </c>
      <c r="G138" s="65" t="str">
        <f>+'GWB-244.042'!$G$7</f>
        <v>PQL</v>
      </c>
      <c r="H138" s="94">
        <f>+'GWB-244.042'!$F$7</f>
        <v>189900000</v>
      </c>
      <c r="I138" s="27">
        <f>+'GWB-244.042'!$F$8</f>
        <v>154487000</v>
      </c>
      <c r="J138" s="27"/>
      <c r="K138" s="26">
        <f>+'GWB-244.042'!$G$9</f>
        <v>-0.18648235913638758</v>
      </c>
      <c r="L138" s="11" t="str">
        <f>+'GWB-244.042'!$F$11</f>
        <v>GOOD</v>
      </c>
      <c r="M138" s="15">
        <f>+'GWB-244.042'!$H$12</f>
        <v>5</v>
      </c>
      <c r="N138" s="35" t="s">
        <v>93</v>
      </c>
      <c r="O138" s="15">
        <v>3</v>
      </c>
      <c r="P138" s="35" t="s">
        <v>457</v>
      </c>
      <c r="Q138" s="35" t="s">
        <v>1282</v>
      </c>
      <c r="R138" s="15"/>
      <c r="S138" s="24"/>
      <c r="T138" s="62" t="str">
        <f>+'GWB-244.042'!$J$4</f>
        <v>Ed Minall</v>
      </c>
      <c r="U138" s="62"/>
      <c r="V138" s="94">
        <f>+'GWB-244.042'!$F$12</f>
        <v>181236737.80000001</v>
      </c>
      <c r="W138" s="165">
        <f t="shared" si="69"/>
        <v>0.8524044400450469</v>
      </c>
      <c r="X138" s="15"/>
      <c r="Y138" s="161">
        <f t="shared" si="82"/>
        <v>0.81351764086361245</v>
      </c>
      <c r="Z138" s="11" t="str">
        <f t="shared" si="78"/>
        <v>FAIL</v>
      </c>
      <c r="AA138" s="11"/>
      <c r="AB138" s="15"/>
      <c r="AC138" s="239">
        <f>VLOOKUP(H138,ECON_ADJUSTMENT!J$2:W$240,12,FALSE)</f>
        <v>169937371.53172711</v>
      </c>
      <c r="AD138" s="15" t="str">
        <f t="shared" si="83"/>
        <v>GOOD</v>
      </c>
      <c r="AE138" s="15"/>
      <c r="AF138" s="15"/>
      <c r="AG138" s="54">
        <f t="shared" si="84"/>
        <v>189900000</v>
      </c>
      <c r="AH138" s="54">
        <f t="shared" si="85"/>
        <v>154487000</v>
      </c>
      <c r="AI138" s="54">
        <f t="shared" si="86"/>
        <v>35413000</v>
      </c>
    </row>
    <row r="139" spans="2:39" x14ac:dyDescent="0.25">
      <c r="C139" s="39">
        <v>2017</v>
      </c>
      <c r="D139" s="62" t="str">
        <f>+'BP-694.510'!$F$4</f>
        <v>BP-694.510</v>
      </c>
      <c r="E139" s="63" t="str">
        <f>+'BP-694.510'!$F$5</f>
        <v>Brooklyn Pier 10 Concrete Girder Repairs</v>
      </c>
      <c r="F139" s="64">
        <f>+'BP-694.510'!$F$6</f>
        <v>42999</v>
      </c>
      <c r="G139" s="65" t="str">
        <f>+'BP-694.510'!$G$7</f>
        <v>Public</v>
      </c>
      <c r="H139" s="94">
        <f>+'BP-694.510'!$F$7</f>
        <v>1250000</v>
      </c>
      <c r="I139" s="27">
        <f>+'BP-694.510'!$F$8</f>
        <v>876947</v>
      </c>
      <c r="J139" s="27"/>
      <c r="K139" s="26">
        <f>+'BP-694.510'!$G$9</f>
        <v>-0.2984424</v>
      </c>
      <c r="L139" s="11" t="str">
        <f>+'BP-694.510'!$F$11</f>
        <v>GOOD</v>
      </c>
      <c r="M139" s="15">
        <f>+'BP-694.510'!$H$12</f>
        <v>13</v>
      </c>
      <c r="N139" s="35" t="s">
        <v>93</v>
      </c>
      <c r="O139" s="15">
        <v>3</v>
      </c>
      <c r="P139" s="35" t="s">
        <v>492</v>
      </c>
      <c r="Q139" s="35" t="s">
        <v>1282</v>
      </c>
      <c r="R139" s="15"/>
      <c r="S139" s="24"/>
      <c r="T139" s="62" t="str">
        <f>+'BP-694.510'!$J$4</f>
        <v>Ed Minall</v>
      </c>
      <c r="U139" s="62"/>
      <c r="V139" s="94">
        <f>+'BP-694.510'!$F$12</f>
        <v>2208884.5384615385</v>
      </c>
      <c r="W139" s="165">
        <f t="shared" si="69"/>
        <v>0.39700898110807686</v>
      </c>
      <c r="X139" s="15"/>
      <c r="Y139" s="161">
        <f t="shared" si="82"/>
        <v>0.7015576</v>
      </c>
      <c r="Z139" s="11" t="str">
        <f t="shared" si="78"/>
        <v>FAIL</v>
      </c>
      <c r="AA139" s="11"/>
      <c r="AB139" s="15"/>
      <c r="AC139" s="239">
        <f>VLOOKUP(H139,ECON_ADJUSTMENT!J$2:W$240,12,FALSE)</f>
        <v>33236.760875233682</v>
      </c>
      <c r="AD139" s="15" t="str">
        <f t="shared" si="83"/>
        <v>FAIL</v>
      </c>
      <c r="AE139" s="15"/>
      <c r="AF139" s="15"/>
      <c r="AG139" s="54">
        <f t="shared" si="84"/>
        <v>1250000</v>
      </c>
      <c r="AH139" s="54">
        <f t="shared" si="85"/>
        <v>876947</v>
      </c>
      <c r="AI139" s="54">
        <f t="shared" si="86"/>
        <v>373053</v>
      </c>
    </row>
    <row r="140" spans="2:39" x14ac:dyDescent="0.25">
      <c r="C140" s="39">
        <v>2017</v>
      </c>
      <c r="D140" s="62" t="str">
        <f>+'MF-924.022'!$F$4</f>
        <v>MF-924.022</v>
      </c>
      <c r="E140" s="63" t="str">
        <f>+'MF-924.022'!$F$5</f>
        <v>LT and GWB - Rock Slope Priority Repairs</v>
      </c>
      <c r="F140" s="64">
        <f>+'MF-924.022'!$F$6</f>
        <v>42997</v>
      </c>
      <c r="G140" s="65" t="str">
        <f>+'MF-924.022'!$G$7</f>
        <v>Public</v>
      </c>
      <c r="H140" s="94">
        <f>+'MF-924.022'!$F$7</f>
        <v>1326000</v>
      </c>
      <c r="I140" s="27">
        <f>+'MF-924.022'!$F$8</f>
        <v>1976491</v>
      </c>
      <c r="J140" s="27"/>
      <c r="K140" s="26">
        <f>+'MF-924.022'!$G$9</f>
        <v>0.49056636500754147</v>
      </c>
      <c r="L140" s="11" t="str">
        <f>+'MF-924.022'!$F$11</f>
        <v>FAIL</v>
      </c>
      <c r="M140" s="15">
        <f>+'MF-924.022'!$H$12</f>
        <v>4</v>
      </c>
      <c r="N140" s="35" t="s">
        <v>25</v>
      </c>
      <c r="O140" s="15">
        <v>3</v>
      </c>
      <c r="P140" s="35" t="s">
        <v>457</v>
      </c>
      <c r="Q140" s="35" t="s">
        <v>1285</v>
      </c>
      <c r="R140" s="15"/>
      <c r="S140" s="24"/>
      <c r="T140" s="62" t="str">
        <f>+'MF-924.022'!$J$4</f>
        <v>Joe Lucin</v>
      </c>
      <c r="U140" s="62"/>
      <c r="V140" s="94">
        <f>+'MF-924.022'!$F$12</f>
        <v>3937777.75</v>
      </c>
      <c r="W140" s="165">
        <f t="shared" si="69"/>
        <v>0.50193056223145149</v>
      </c>
      <c r="X140" s="15"/>
      <c r="Y140" s="161">
        <f t="shared" si="82"/>
        <v>1.4905663650075416</v>
      </c>
      <c r="Z140" s="11" t="str">
        <f t="shared" si="78"/>
        <v>FAIL</v>
      </c>
      <c r="AA140" s="11"/>
      <c r="AB140" s="15"/>
      <c r="AC140" s="239">
        <f>VLOOKUP(H140,ECON_ADJUSTMENT!J$2:W$240,12,FALSE)</f>
        <v>1472311.510956588</v>
      </c>
      <c r="AD140" s="15" t="str">
        <f t="shared" si="83"/>
        <v>FAIL</v>
      </c>
      <c r="AE140" s="15"/>
      <c r="AF140" s="15"/>
      <c r="AG140" s="54">
        <f t="shared" si="84"/>
        <v>1326000</v>
      </c>
      <c r="AH140" s="54">
        <f t="shared" si="85"/>
        <v>1976491</v>
      </c>
      <c r="AI140" s="54">
        <f t="shared" si="86"/>
        <v>-650491</v>
      </c>
    </row>
    <row r="141" spans="2:39" x14ac:dyDescent="0.25">
      <c r="C141" s="39">
        <v>2017</v>
      </c>
      <c r="D141" s="62" t="str">
        <f>+'EWR-251'!$F$4</f>
        <v>EWR-251</v>
      </c>
      <c r="E141" s="63" t="str">
        <f>+'EWR-251'!$F$5</f>
        <v>Rehab of Taxiway Z from Runway 11 Edge to UA</v>
      </c>
      <c r="F141" s="64">
        <f>+'EWR-251'!$F$6</f>
        <v>42964</v>
      </c>
      <c r="G141" s="65" t="str">
        <f>+'EWR-251'!$G$7</f>
        <v>PQL</v>
      </c>
      <c r="H141" s="94">
        <f>+'EWR-251'!$F$7</f>
        <v>8500000</v>
      </c>
      <c r="I141" s="27">
        <f>+'EWR-251'!$F$8</f>
        <v>5682000</v>
      </c>
      <c r="J141" s="27"/>
      <c r="K141" s="26">
        <f>+'EWR-251'!$G$9</f>
        <v>-0.33152941176470591</v>
      </c>
      <c r="L141" s="11" t="str">
        <f>+'EWR-251'!$F$11</f>
        <v>FAIL</v>
      </c>
      <c r="M141" s="15">
        <f>+'EWR-251'!$H$12</f>
        <v>3</v>
      </c>
      <c r="N141" s="35" t="s">
        <v>25</v>
      </c>
      <c r="O141" s="15">
        <v>3</v>
      </c>
      <c r="P141" s="35" t="s">
        <v>458</v>
      </c>
      <c r="Q141" s="35" t="s">
        <v>1283</v>
      </c>
      <c r="R141" s="15"/>
      <c r="S141" s="24"/>
      <c r="T141" s="62" t="str">
        <f>+'EWR-251'!$J$4</f>
        <v>Henry Yu</v>
      </c>
      <c r="U141" s="62"/>
      <c r="V141" s="94">
        <f>+'EWR-251'!$F$12</f>
        <v>6199787.333333333</v>
      </c>
      <c r="W141" s="165">
        <f t="shared" si="69"/>
        <v>0.91648304925728097</v>
      </c>
      <c r="X141" s="15"/>
      <c r="Y141" s="161">
        <f t="shared" si="82"/>
        <v>0.66847058823529415</v>
      </c>
      <c r="Z141" s="11" t="str">
        <f t="shared" si="78"/>
        <v>FAIL</v>
      </c>
      <c r="AA141" s="11"/>
      <c r="AB141" s="15"/>
      <c r="AC141" s="239">
        <f>VLOOKUP(H141,ECON_ADJUSTMENT!J$2:W$240,12,FALSE)</f>
        <v>9726399.1935518309</v>
      </c>
      <c r="AD141" s="15" t="str">
        <f t="shared" si="83"/>
        <v>FAIL</v>
      </c>
      <c r="AE141" s="15"/>
      <c r="AF141" s="15"/>
      <c r="AG141" s="54">
        <f t="shared" si="84"/>
        <v>8500000</v>
      </c>
      <c r="AH141" s="54">
        <f t="shared" si="85"/>
        <v>5682000</v>
      </c>
      <c r="AI141" s="54">
        <f t="shared" si="86"/>
        <v>2818000</v>
      </c>
    </row>
    <row r="142" spans="2:39" x14ac:dyDescent="0.25">
      <c r="C142" s="39">
        <v>2017</v>
      </c>
      <c r="D142" s="62" t="str">
        <f>+'LGA-154.251'!$F$4</f>
        <v>LGA-154.251</v>
      </c>
      <c r="E142" s="63" t="str">
        <f>+'LGA-154.251'!$F$5</f>
        <v>Rehab of Runway Deck Structural Elements phase 3</v>
      </c>
      <c r="F142" s="64">
        <f>+'LGA-154.251'!$F$6</f>
        <v>42951</v>
      </c>
      <c r="G142" s="65" t="str">
        <f>+'LGA-154.251'!$G$7</f>
        <v>Public</v>
      </c>
      <c r="H142" s="94">
        <f>+'LGA-154.251'!$F$7</f>
        <v>6040000</v>
      </c>
      <c r="I142" s="27">
        <f>+'LGA-154.251'!$F$8</f>
        <v>4845475</v>
      </c>
      <c r="J142" s="27"/>
      <c r="K142" s="26">
        <f>+'LGA-154.251'!$G$9</f>
        <v>-0.19776903973509935</v>
      </c>
      <c r="L142" s="11" t="str">
        <f>+'LGA-154.251'!$F$11</f>
        <v>GOOD</v>
      </c>
      <c r="M142" s="15">
        <f>+'LGA-154.251'!$H$12</f>
        <v>8</v>
      </c>
      <c r="N142" s="35" t="s">
        <v>93</v>
      </c>
      <c r="O142" s="15">
        <v>3</v>
      </c>
      <c r="P142" s="35" t="s">
        <v>458</v>
      </c>
      <c r="Q142" s="35" t="s">
        <v>1282</v>
      </c>
      <c r="R142" s="15"/>
      <c r="S142" s="24"/>
      <c r="T142" s="62" t="str">
        <f>+'LGA-154.251'!$J$4</f>
        <v>Joe Lucin</v>
      </c>
      <c r="U142" s="62"/>
      <c r="V142" s="94">
        <f>+'LGA-154.251'!$F$12</f>
        <v>8154320.375</v>
      </c>
      <c r="W142" s="165">
        <f t="shared" si="69"/>
        <v>0.59422180846064687</v>
      </c>
      <c r="X142" s="15"/>
      <c r="Y142" s="161">
        <f t="shared" si="82"/>
        <v>0.80223096026490071</v>
      </c>
      <c r="Z142" s="11" t="str">
        <f t="shared" si="78"/>
        <v>FAIL</v>
      </c>
      <c r="AA142" s="11"/>
      <c r="AB142" s="15"/>
      <c r="AC142" s="239">
        <f>VLOOKUP(H142,ECON_ADJUSTMENT!J$2:W$240,12,FALSE)</f>
        <v>5666336.1751498058</v>
      </c>
      <c r="AD142" s="15" t="str">
        <f t="shared" si="83"/>
        <v>GOOD</v>
      </c>
      <c r="AE142" s="15"/>
      <c r="AF142" s="15"/>
      <c r="AG142" s="54">
        <f t="shared" si="84"/>
        <v>6040000</v>
      </c>
      <c r="AH142" s="54">
        <f t="shared" si="85"/>
        <v>4845475</v>
      </c>
      <c r="AI142" s="54">
        <f t="shared" si="86"/>
        <v>1194525</v>
      </c>
    </row>
    <row r="143" spans="2:39" x14ac:dyDescent="0.25">
      <c r="C143" s="39">
        <v>2017</v>
      </c>
      <c r="D143" s="62" t="str">
        <f>+'MFP-924.662'!$F$4</f>
        <v>MFP-924.662</v>
      </c>
      <c r="E143" s="63" t="str">
        <f>+'MFP-924.662'!$F$5</f>
        <v>NJ Marine Terminals - Maintenance Dredging via Work Order</v>
      </c>
      <c r="F143" s="64">
        <f>+'MFP-924.662'!$F$6</f>
        <v>42950</v>
      </c>
      <c r="G143" s="65" t="str">
        <f>+'MFP-924.662'!$G$7</f>
        <v>PQL</v>
      </c>
      <c r="H143" s="94">
        <f>+'MFP-924.662'!$F$7</f>
        <v>13720000</v>
      </c>
      <c r="I143" s="27">
        <f>+'MFP-924.662'!$F$8</f>
        <v>11539200</v>
      </c>
      <c r="J143" s="27"/>
      <c r="K143" s="26">
        <f>+'MFP-924.662'!$G$9</f>
        <v>-0.15895043731778424</v>
      </c>
      <c r="L143" s="11" t="str">
        <f>+'MFP-924.662'!$F$11</f>
        <v>GOOD</v>
      </c>
      <c r="M143" s="15">
        <f>+'MFP-924.662'!$H$12</f>
        <v>4</v>
      </c>
      <c r="N143" s="35" t="s">
        <v>25</v>
      </c>
      <c r="O143" s="15">
        <v>3</v>
      </c>
      <c r="P143" s="35" t="s">
        <v>492</v>
      </c>
      <c r="Q143" s="35" t="s">
        <v>1285</v>
      </c>
      <c r="R143" s="15"/>
      <c r="S143" s="24"/>
      <c r="T143" s="62" t="str">
        <f>+'MFP-924.662'!$J$4</f>
        <v>Ed Minall</v>
      </c>
      <c r="U143" s="62"/>
      <c r="V143" s="94">
        <f>+'MFP-924.662'!$F$12</f>
        <v>15585112.5</v>
      </c>
      <c r="W143" s="165">
        <f t="shared" si="69"/>
        <v>0.74039889028712502</v>
      </c>
      <c r="X143" s="15"/>
      <c r="Y143" s="161">
        <f t="shared" si="82"/>
        <v>0.84104956268221576</v>
      </c>
      <c r="Z143" s="11" t="str">
        <f t="shared" si="78"/>
        <v>FAIL</v>
      </c>
      <c r="AA143" s="11"/>
      <c r="AB143" s="15"/>
      <c r="AC143" s="239">
        <f>VLOOKUP(H143,ECON_ADJUSTMENT!J$2:W$240,12,FALSE)</f>
        <v>16650367.990842408</v>
      </c>
      <c r="AD143" s="15" t="str">
        <f t="shared" si="83"/>
        <v>GOOD</v>
      </c>
      <c r="AE143" s="15"/>
      <c r="AF143" s="15"/>
      <c r="AG143" s="54">
        <f t="shared" si="84"/>
        <v>13720000</v>
      </c>
      <c r="AH143" s="54">
        <f t="shared" si="85"/>
        <v>11539200</v>
      </c>
      <c r="AI143" s="54">
        <f t="shared" si="86"/>
        <v>2180800</v>
      </c>
    </row>
    <row r="144" spans="2:39" x14ac:dyDescent="0.25">
      <c r="C144" s="39">
        <v>2017</v>
      </c>
      <c r="D144" s="62" t="str">
        <f>+'JFK-1070'!$F$4</f>
        <v>JFK-1070</v>
      </c>
      <c r="E144" s="63" t="str">
        <f>+'JFK-1070'!$F$5</f>
        <v>Landside Asphalt Repairs via Work Ouder</v>
      </c>
      <c r="F144" s="64">
        <f>+'JFK-1070'!$F$6</f>
        <v>42949</v>
      </c>
      <c r="G144" s="65" t="str">
        <f>+'JFK-1070'!$G$7</f>
        <v>Public</v>
      </c>
      <c r="H144" s="94">
        <f>+'JFK-1070'!$F$7</f>
        <v>1650000</v>
      </c>
      <c r="I144" s="27">
        <f>+'JFK-1070'!$F$8</f>
        <v>1320718</v>
      </c>
      <c r="J144" s="27"/>
      <c r="K144" s="26">
        <f>+'JFK-1070'!$G$9</f>
        <v>-0.19956484848484848</v>
      </c>
      <c r="L144" s="11" t="str">
        <f>+'JFK-1070'!$F$11</f>
        <v>GOOD</v>
      </c>
      <c r="M144" s="15">
        <f>+'JFK-1070'!$H$12</f>
        <v>4</v>
      </c>
      <c r="N144" s="35" t="s">
        <v>93</v>
      </c>
      <c r="O144" s="15">
        <v>3</v>
      </c>
      <c r="P144" s="35" t="s">
        <v>458</v>
      </c>
      <c r="Q144" s="35" t="s">
        <v>1283</v>
      </c>
      <c r="R144" s="15"/>
      <c r="S144" s="24"/>
      <c r="T144" s="62" t="str">
        <f>+'JFK-1070'!$J$4</f>
        <v>Henry Yu</v>
      </c>
      <c r="U144" s="62"/>
      <c r="V144" s="94">
        <f>+'JFK-1070'!$F$12</f>
        <v>1741084.5</v>
      </c>
      <c r="W144" s="165">
        <f t="shared" si="69"/>
        <v>0.75856054085829838</v>
      </c>
      <c r="X144" s="15"/>
      <c r="Y144" s="161">
        <f t="shared" si="82"/>
        <v>0.80043515151515154</v>
      </c>
      <c r="Z144" s="11" t="str">
        <f t="shared" si="78"/>
        <v>FAIL</v>
      </c>
      <c r="AA144" s="11"/>
      <c r="AB144" s="15"/>
      <c r="AC144" s="239">
        <f>VLOOKUP(H144,ECON_ADJUSTMENT!J$2:W$240,12,FALSE)</f>
        <v>1012627.0920265431</v>
      </c>
      <c r="AD144" s="15" t="str">
        <f t="shared" si="83"/>
        <v>FAIL</v>
      </c>
      <c r="AE144" s="15"/>
      <c r="AF144" s="15"/>
      <c r="AG144" s="54">
        <f t="shared" si="84"/>
        <v>1650000</v>
      </c>
      <c r="AH144" s="54">
        <f t="shared" si="85"/>
        <v>1320718</v>
      </c>
      <c r="AI144" s="54">
        <f t="shared" si="86"/>
        <v>329282</v>
      </c>
    </row>
    <row r="145" spans="2:39" x14ac:dyDescent="0.25">
      <c r="C145" s="39">
        <v>2017</v>
      </c>
      <c r="D145" s="62" t="str">
        <f>+'JFK-154.024'!$F$4</f>
        <v>JFK-154.024</v>
      </c>
      <c r="E145" s="63" t="str">
        <f>+'JFK-154.024'!$F$5</f>
        <v>Backflow Prevention &amp; Water Meters Phase 4</v>
      </c>
      <c r="F145" s="64">
        <f>+'JFK-154.024'!$F$6</f>
        <v>42948</v>
      </c>
      <c r="G145" s="65" t="str">
        <f>+'JFK-154.024'!$G$7</f>
        <v>Public</v>
      </c>
      <c r="H145" s="94">
        <f>+'JFK-154.024'!$F$7</f>
        <v>1330000</v>
      </c>
      <c r="I145" s="27">
        <f>+'JFK-154.024'!$F$8</f>
        <v>936000</v>
      </c>
      <c r="J145" s="27"/>
      <c r="K145" s="26">
        <f>+'JFK-154.024'!$G$9</f>
        <v>-0.29624060150375942</v>
      </c>
      <c r="L145" s="11" t="str">
        <f>+'JFK-154.024'!$F$11</f>
        <v>GOOD</v>
      </c>
      <c r="M145" s="15">
        <f>+'JFK-154.024'!$H$12</f>
        <v>6</v>
      </c>
      <c r="N145" s="35" t="s">
        <v>93</v>
      </c>
      <c r="O145" s="15">
        <v>3</v>
      </c>
      <c r="P145" s="35" t="s">
        <v>458</v>
      </c>
      <c r="Q145" s="35" t="s">
        <v>1281</v>
      </c>
      <c r="R145" s="15"/>
      <c r="S145" s="24"/>
      <c r="T145" s="62" t="str">
        <f>+'JFK-154.024'!$J$4</f>
        <v>Henry Yu</v>
      </c>
      <c r="U145" s="62"/>
      <c r="V145" s="94">
        <f>+'JFK-154.024'!$F$12</f>
        <v>1504186.1666666667</v>
      </c>
      <c r="W145" s="165">
        <f t="shared" si="69"/>
        <v>0.62226340112820699</v>
      </c>
      <c r="X145" s="15"/>
      <c r="Y145" s="161">
        <f t="shared" si="82"/>
        <v>0.70375939849624058</v>
      </c>
      <c r="Z145" s="11" t="str">
        <f t="shared" si="78"/>
        <v>FAIL</v>
      </c>
      <c r="AA145" s="11"/>
      <c r="AB145" s="15"/>
      <c r="AC145" s="239">
        <f>VLOOKUP(H145,ECON_ADJUSTMENT!J$2:W$240,12,FALSE)</f>
        <v>102841.48492603842</v>
      </c>
      <c r="AD145" s="15" t="str">
        <f t="shared" si="83"/>
        <v>FAIL</v>
      </c>
      <c r="AE145" s="15"/>
      <c r="AF145" s="15"/>
      <c r="AG145" s="54">
        <f t="shared" si="84"/>
        <v>1330000</v>
      </c>
      <c r="AH145" s="54">
        <f t="shared" si="85"/>
        <v>936000</v>
      </c>
      <c r="AI145" s="54">
        <f t="shared" si="86"/>
        <v>394000</v>
      </c>
    </row>
    <row r="146" spans="2:39" x14ac:dyDescent="0.25">
      <c r="C146" s="39">
        <v>2017</v>
      </c>
      <c r="D146" s="62" t="str">
        <f>+'HT-224.120'!$F$4</f>
        <v>HT-224.120</v>
      </c>
      <c r="E146" s="63" t="str">
        <f>+'HT-224.120'!$F$5</f>
        <v>Rehabilitation of Bronze Doors at Spring Street</v>
      </c>
      <c r="F146" s="64">
        <f>+'HT-224.120'!$F$6</f>
        <v>42942</v>
      </c>
      <c r="G146" s="65" t="str">
        <f>+'HT-224.120'!$G$7</f>
        <v>Public</v>
      </c>
      <c r="H146" s="94">
        <f>+'HT-224.120'!$F$7</f>
        <v>700000</v>
      </c>
      <c r="I146" s="27">
        <f>+'HT-224.120'!$F$8</f>
        <v>614770</v>
      </c>
      <c r="J146" s="27">
        <v>614700</v>
      </c>
      <c r="K146" s="26">
        <f>+'HT-224.120'!$G$9</f>
        <v>-0.12175714285714286</v>
      </c>
      <c r="L146" s="11" t="str">
        <f>+'HT-224.120'!$F$11</f>
        <v>GOOD</v>
      </c>
      <c r="M146" s="15">
        <f>+'HT-224.120'!$H$12</f>
        <v>2</v>
      </c>
      <c r="N146" s="35" t="s">
        <v>93</v>
      </c>
      <c r="O146" s="15">
        <v>3</v>
      </c>
      <c r="P146" s="35" t="s">
        <v>457</v>
      </c>
      <c r="Q146" s="35" t="s">
        <v>1284</v>
      </c>
      <c r="R146" s="15"/>
      <c r="S146" s="24"/>
      <c r="T146" s="62" t="str">
        <f>+'HT-224.120'!$J$4</f>
        <v>Andy Victors</v>
      </c>
      <c r="U146" s="62"/>
      <c r="V146" s="94">
        <f>+'HT-224.120'!$F$12</f>
        <v>726735</v>
      </c>
      <c r="W146" s="165">
        <f t="shared" si="69"/>
        <v>0.84593421260844737</v>
      </c>
      <c r="X146" s="15"/>
      <c r="Y146" s="161">
        <f t="shared" si="82"/>
        <v>0.8782428571428571</v>
      </c>
      <c r="Z146" s="11" t="str">
        <f t="shared" si="78"/>
        <v>GOOD</v>
      </c>
      <c r="AA146" s="11"/>
      <c r="AB146" s="15"/>
      <c r="AC146" s="239">
        <f>VLOOKUP(H146,ECON_ADJUSTMENT!J$2:W$240,12,FALSE)</f>
        <v>-445295.71697404876</v>
      </c>
      <c r="AD146" s="15" t="str">
        <f t="shared" si="83"/>
        <v>FAIL</v>
      </c>
      <c r="AE146" s="15"/>
      <c r="AF146" s="15"/>
      <c r="AG146" s="54">
        <f t="shared" si="84"/>
        <v>700000</v>
      </c>
      <c r="AH146" s="54">
        <f t="shared" si="85"/>
        <v>614770</v>
      </c>
      <c r="AI146" s="54">
        <f t="shared" si="86"/>
        <v>85230</v>
      </c>
    </row>
    <row r="147" spans="2:39" x14ac:dyDescent="0.25">
      <c r="B147" s="164">
        <f>(COUNTIF(L136:L147,"G*")/COUNTA(L136:L147))</f>
        <v>0.75</v>
      </c>
      <c r="C147" s="39">
        <v>2017</v>
      </c>
      <c r="D147" s="62" t="str">
        <f>+'LGA-124.244'!$F$4</f>
        <v>LGA-124.244</v>
      </c>
      <c r="E147" s="63" t="str">
        <f>+'LGA-124.244'!$F$5</f>
        <v>AOA Light Circuit Replacement</v>
      </c>
      <c r="F147" s="64">
        <f>+'LGA-124.244'!$F$6</f>
        <v>42941</v>
      </c>
      <c r="G147" s="65" t="str">
        <f>+'LGA-124.244'!$G$7</f>
        <v>Public</v>
      </c>
      <c r="H147" s="94">
        <f>+'LGA-124.244'!$F$7</f>
        <v>7200000</v>
      </c>
      <c r="I147" s="27">
        <f>+'LGA-124.244'!$F$8</f>
        <v>1936000</v>
      </c>
      <c r="J147" s="27"/>
      <c r="K147" s="26">
        <f>+'LGA-124.244'!$G$9</f>
        <v>-0.73111111111111116</v>
      </c>
      <c r="L147" s="11" t="str">
        <f>+'LGA-124.244'!$F$11</f>
        <v>FAIL</v>
      </c>
      <c r="M147" s="15">
        <f>+'LGA-124.244'!$H$12</f>
        <v>4</v>
      </c>
      <c r="N147" s="35" t="s">
        <v>93</v>
      </c>
      <c r="O147" s="15">
        <v>3</v>
      </c>
      <c r="P147" s="35" t="s">
        <v>458</v>
      </c>
      <c r="Q147" s="35" t="s">
        <v>1286</v>
      </c>
      <c r="R147" s="15"/>
      <c r="S147" s="24"/>
      <c r="T147" s="62" t="str">
        <f>+'LGA-124.244'!$J$4</f>
        <v>Henry Yu</v>
      </c>
      <c r="U147" s="62"/>
      <c r="V147" s="94">
        <f>+'LGA-124.244'!$F$12</f>
        <v>5341338.75</v>
      </c>
      <c r="W147" s="165">
        <f t="shared" si="69"/>
        <v>0.36245594795873975</v>
      </c>
      <c r="X147" s="15"/>
      <c r="Y147" s="161">
        <f t="shared" si="82"/>
        <v>0.2688888888888889</v>
      </c>
      <c r="Z147" s="11" t="str">
        <f t="shared" si="78"/>
        <v>FAIL</v>
      </c>
      <c r="AA147" s="11"/>
      <c r="AB147" s="15"/>
      <c r="AC147" s="239">
        <f>VLOOKUP(H147,ECON_ADJUSTMENT!J$2:W$240,12,FALSE)</f>
        <v>6583038.3743869234</v>
      </c>
      <c r="AD147" s="15" t="str">
        <f t="shared" si="83"/>
        <v>FAIL</v>
      </c>
      <c r="AE147" s="15"/>
      <c r="AF147" s="15"/>
      <c r="AG147" s="54">
        <f t="shared" si="84"/>
        <v>7200000</v>
      </c>
      <c r="AH147" s="54">
        <f t="shared" si="85"/>
        <v>1936000</v>
      </c>
      <c r="AI147" s="54">
        <f t="shared" si="86"/>
        <v>5264000</v>
      </c>
      <c r="AK147" s="4">
        <f>SUM(H136:H147)</f>
        <v>233475000</v>
      </c>
      <c r="AL147" s="4">
        <f>SUM(I136:I147)</f>
        <v>185861901</v>
      </c>
      <c r="AM147" s="7">
        <f>+AL147/AK147</f>
        <v>0.79606767748152907</v>
      </c>
    </row>
    <row r="148" spans="2:39" ht="7.5" customHeight="1" x14ac:dyDescent="0.25">
      <c r="C148" s="39"/>
      <c r="G148" s="45"/>
      <c r="P148" s="11"/>
      <c r="Q148" s="11"/>
      <c r="T148" s="15"/>
      <c r="U148" s="15"/>
      <c r="V148" s="94"/>
      <c r="W148" s="165"/>
      <c r="AC148" s="239"/>
      <c r="AD148" s="15"/>
      <c r="AG148" s="54"/>
      <c r="AH148" s="54"/>
      <c r="AI148" s="54"/>
    </row>
    <row r="149" spans="2:39" x14ac:dyDescent="0.25">
      <c r="C149" s="101">
        <v>2017</v>
      </c>
      <c r="D149" s="62" t="str">
        <f>+'PAT-024.002'!$F$4</f>
        <v>PAT-024.002</v>
      </c>
      <c r="E149" s="63" t="str">
        <f>+'PAT-024.002'!$F$5</f>
        <v>Exchange Place Underwater Netting</v>
      </c>
      <c r="F149" s="64">
        <f>+'PAT-024.002'!$F$6</f>
        <v>42913</v>
      </c>
      <c r="G149" s="65" t="str">
        <f>+'PAT-024.002'!$G$7</f>
        <v>PQL</v>
      </c>
      <c r="H149" s="94">
        <f>+'PAT-024.002'!$F$7</f>
        <v>1480000</v>
      </c>
      <c r="I149" s="27">
        <f>+'PAT-024.002'!$F$8</f>
        <v>1483000</v>
      </c>
      <c r="J149" s="27"/>
      <c r="K149" s="26">
        <f>+'PAT-024.002'!$G$9</f>
        <v>2.0270270270270271E-3</v>
      </c>
      <c r="L149" s="11" t="str">
        <f>+'PAT-024.002'!$F$11</f>
        <v>GOOD</v>
      </c>
      <c r="M149" s="15">
        <f>+'PAT-024.002'!$H$12</f>
        <v>7</v>
      </c>
      <c r="N149" s="35" t="s">
        <v>25</v>
      </c>
      <c r="O149" s="15">
        <v>2</v>
      </c>
      <c r="P149" s="35" t="s">
        <v>459</v>
      </c>
      <c r="Q149" s="35" t="s">
        <v>1285</v>
      </c>
      <c r="R149" s="15"/>
      <c r="S149" s="24"/>
      <c r="T149" s="62" t="str">
        <f>+'PAT-024.002'!$J$4</f>
        <v>Nathan Demaisip</v>
      </c>
      <c r="U149" s="62"/>
      <c r="V149" s="94">
        <f>+'PAT-024.002'!$F$12</f>
        <v>1960153.5714285714</v>
      </c>
      <c r="W149" s="165">
        <f t="shared" si="69"/>
        <v>0.75657337344194975</v>
      </c>
      <c r="X149" s="15"/>
      <c r="Y149" s="161">
        <f t="shared" ref="Y149:Y168" si="87">+I149/H149</f>
        <v>1.0020270270270271</v>
      </c>
      <c r="Z149" s="11" t="str">
        <f t="shared" si="78"/>
        <v>GOOD</v>
      </c>
      <c r="AA149" s="11"/>
      <c r="AB149" s="15"/>
      <c r="AC149" s="239">
        <f>VLOOKUP(H149,ECON_ADJUSTMENT!J$2:W$240,12,FALSE)</f>
        <v>2784434.8072583633</v>
      </c>
      <c r="AD149" s="15" t="str">
        <f t="shared" si="83"/>
        <v>FAIL</v>
      </c>
      <c r="AE149" s="15"/>
      <c r="AF149" s="15"/>
      <c r="AG149" s="54">
        <f t="shared" ref="AG149:AG168" si="88">+H149</f>
        <v>1480000</v>
      </c>
      <c r="AH149" s="54">
        <f t="shared" ref="AH149:AH168" si="89">+I149</f>
        <v>1483000</v>
      </c>
      <c r="AI149" s="54">
        <f t="shared" ref="AI149:AI168" si="90">+AG149-AH149</f>
        <v>-3000</v>
      </c>
    </row>
    <row r="150" spans="2:39" x14ac:dyDescent="0.25">
      <c r="C150" s="101">
        <v>2017</v>
      </c>
      <c r="D150" s="62" t="str">
        <f>+'EWR-154.240'!$F$4</f>
        <v>EWR-154.240</v>
      </c>
      <c r="E150" s="63" t="str">
        <f>+'EWR-154.240'!$F$5</f>
        <v>Meeter-Greeter Queuing Area Modifications</v>
      </c>
      <c r="F150" s="64">
        <f>+'EWR-154.240'!$F$6</f>
        <v>42901</v>
      </c>
      <c r="G150" s="65" t="str">
        <f>+'EWR-154.240'!$G$7</f>
        <v>MWBE</v>
      </c>
      <c r="H150" s="94">
        <f>+'EWR-154.240'!$F$7</f>
        <v>850000</v>
      </c>
      <c r="I150" s="27">
        <f>+'EWR-154.240'!$F$8</f>
        <v>887000</v>
      </c>
      <c r="J150" s="27"/>
      <c r="K150" s="26">
        <f>+'EWR-154.240'!$G$9</f>
        <v>4.3529411764705879E-2</v>
      </c>
      <c r="L150" s="11" t="str">
        <f>+'EWR-154.240'!$F$11</f>
        <v>GOOD</v>
      </c>
      <c r="M150" s="15">
        <f>+'EWR-154.240'!$H$12</f>
        <v>3</v>
      </c>
      <c r="N150" s="35" t="s">
        <v>25</v>
      </c>
      <c r="O150" s="15">
        <v>2</v>
      </c>
      <c r="P150" s="35" t="s">
        <v>458</v>
      </c>
      <c r="Q150" s="35" t="s">
        <v>1284</v>
      </c>
      <c r="R150" s="15"/>
      <c r="S150" s="24"/>
      <c r="T150" s="62" t="str">
        <f>+'EWR-154.240'!$J$4</f>
        <v>Henry Yu</v>
      </c>
      <c r="U150" s="62"/>
      <c r="V150" s="94">
        <f>+'EWR-154.240'!$F$12</f>
        <v>1293041.6666666667</v>
      </c>
      <c r="W150" s="165">
        <f t="shared" si="69"/>
        <v>0.68597944123997034</v>
      </c>
      <c r="X150" s="15"/>
      <c r="Y150" s="161">
        <f t="shared" si="87"/>
        <v>1.0435294117647058</v>
      </c>
      <c r="Z150" s="11" t="str">
        <f t="shared" si="78"/>
        <v>GOOD</v>
      </c>
      <c r="AA150" s="11"/>
      <c r="AB150" s="15"/>
      <c r="AC150" s="239">
        <f>VLOOKUP(H150,ECON_ADJUSTMENT!J$2:W$240,12,FALSE)</f>
        <v>1604930.8944609901</v>
      </c>
      <c r="AD150" s="15" t="str">
        <f t="shared" si="83"/>
        <v>FAIL</v>
      </c>
      <c r="AE150" s="15"/>
      <c r="AF150" s="15"/>
      <c r="AG150" s="54">
        <f t="shared" si="88"/>
        <v>850000</v>
      </c>
      <c r="AH150" s="54">
        <f t="shared" si="89"/>
        <v>887000</v>
      </c>
      <c r="AI150" s="54">
        <f t="shared" si="90"/>
        <v>-37000</v>
      </c>
    </row>
    <row r="151" spans="2:39" x14ac:dyDescent="0.25">
      <c r="C151" s="39">
        <v>2017</v>
      </c>
      <c r="D151" s="62" t="str">
        <f>+'EWR-154.227'!$F$4</f>
        <v>EWR-154.227</v>
      </c>
      <c r="E151" s="63" t="str">
        <f>+'EWR-154.227'!$F$5</f>
        <v>Terminal B CCTV at Baggage Areas</v>
      </c>
      <c r="F151" s="64">
        <f>+'EWR-154.227'!$F$6</f>
        <v>42900</v>
      </c>
      <c r="G151" s="65" t="str">
        <f>+'EWR-154.227'!$G$7</f>
        <v>VVP</v>
      </c>
      <c r="H151" s="94">
        <f>+'EWR-154.227'!$F$7</f>
        <v>2900000</v>
      </c>
      <c r="I151" s="27">
        <f>+'EWR-154.227'!$F$8</f>
        <v>1157000</v>
      </c>
      <c r="J151" s="27"/>
      <c r="K151" s="26">
        <f>+'EWR-154.227'!$G$9</f>
        <v>-0.6010344827586207</v>
      </c>
      <c r="L151" s="11" t="str">
        <f>+'EWR-154.227'!$F$11</f>
        <v>FAIL</v>
      </c>
      <c r="M151" s="15">
        <f>+'EWR-154.227'!$H$12</f>
        <v>5</v>
      </c>
      <c r="N151" s="35" t="s">
        <v>25</v>
      </c>
      <c r="O151" s="15">
        <v>2</v>
      </c>
      <c r="P151" s="35" t="s">
        <v>458</v>
      </c>
      <c r="Q151" s="35" t="s">
        <v>1286</v>
      </c>
      <c r="R151" s="15"/>
      <c r="S151" s="24"/>
      <c r="T151" s="62" t="str">
        <f>+'EWR-154.227'!$J$4</f>
        <v>Nathan Demaisip</v>
      </c>
      <c r="U151" s="62"/>
      <c r="V151" s="94">
        <f>+'EWR-154.227'!$F$12</f>
        <v>1910376.6</v>
      </c>
      <c r="W151" s="165">
        <f t="shared" si="69"/>
        <v>0.60563974663425002</v>
      </c>
      <c r="X151" s="15"/>
      <c r="Y151" s="161">
        <f t="shared" si="87"/>
        <v>0.3989655172413793</v>
      </c>
      <c r="Z151" s="11" t="str">
        <f t="shared" si="78"/>
        <v>FAIL</v>
      </c>
      <c r="AA151" s="11"/>
      <c r="AB151" s="15"/>
      <c r="AC151" s="239">
        <f>VLOOKUP(H151,ECON_ADJUSTMENT!J$2:W$240,12,FALSE)</f>
        <v>3388551.948262861</v>
      </c>
      <c r="AD151" s="15" t="str">
        <f t="shared" si="83"/>
        <v>FAIL</v>
      </c>
      <c r="AE151" s="15"/>
      <c r="AF151" s="15"/>
      <c r="AG151" s="54">
        <f t="shared" si="88"/>
        <v>2900000</v>
      </c>
      <c r="AH151" s="54">
        <f t="shared" si="89"/>
        <v>1157000</v>
      </c>
      <c r="AI151" s="54">
        <f t="shared" si="90"/>
        <v>1743000</v>
      </c>
    </row>
    <row r="152" spans="2:39" x14ac:dyDescent="0.25">
      <c r="C152" s="39">
        <v>2017</v>
      </c>
      <c r="D152" s="62" t="str">
        <f>+'LGA-774.235'!$F$4</f>
        <v>LGA-774.235</v>
      </c>
      <c r="E152" s="63" t="str">
        <f>+'LGA-774.235'!$F$5</f>
        <v>Emergency Generators at Various Locations</v>
      </c>
      <c r="F152" s="64">
        <f>+'LGA-774.235'!$F$6</f>
        <v>42894</v>
      </c>
      <c r="G152" s="65" t="str">
        <f>+'LGA-774.235'!$G$7</f>
        <v>VVP</v>
      </c>
      <c r="H152" s="94">
        <f>+'LGA-774.235'!$F$7</f>
        <v>6445000</v>
      </c>
      <c r="I152" s="27">
        <f>+'LGA-774.235'!$F$8</f>
        <v>7166666</v>
      </c>
      <c r="J152" s="27"/>
      <c r="K152" s="26">
        <f>+'LGA-774.235'!$G$9</f>
        <v>0.11197300232738557</v>
      </c>
      <c r="L152" s="11" t="str">
        <f>+'LGA-774.235'!$F$11</f>
        <v>FAIL</v>
      </c>
      <c r="M152" s="15">
        <f>+'LGA-774.235'!$H$12</f>
        <v>11</v>
      </c>
      <c r="N152" s="35" t="s">
        <v>93</v>
      </c>
      <c r="O152" s="15">
        <v>2</v>
      </c>
      <c r="P152" s="35" t="s">
        <v>458</v>
      </c>
      <c r="Q152" s="35" t="s">
        <v>1286</v>
      </c>
      <c r="R152" s="15"/>
      <c r="S152" s="24"/>
      <c r="T152" s="62" t="str">
        <f>+'LGA-774.235'!$J$4</f>
        <v>Joe Lucin</v>
      </c>
      <c r="U152" s="62"/>
      <c r="V152" s="94">
        <f>+'LGA-774.235'!$F$12</f>
        <v>9302985.2727272734</v>
      </c>
      <c r="W152" s="165">
        <f t="shared" si="69"/>
        <v>0.77036196338070873</v>
      </c>
      <c r="X152" s="15"/>
      <c r="Y152" s="161">
        <f t="shared" si="87"/>
        <v>1.1119730023273855</v>
      </c>
      <c r="Z152" s="11" t="str">
        <f t="shared" si="78"/>
        <v>FAIL</v>
      </c>
      <c r="AA152" s="11"/>
      <c r="AB152" s="15"/>
      <c r="AC152" s="239">
        <f>VLOOKUP(H152,ECON_ADJUSTMENT!J$2:W$240,12,FALSE)</f>
        <v>7938427.8444967847</v>
      </c>
      <c r="AD152" s="15" t="str">
        <f t="shared" si="83"/>
        <v>GOOD</v>
      </c>
      <c r="AE152" s="15"/>
      <c r="AF152" s="15"/>
      <c r="AG152" s="54">
        <f t="shared" si="88"/>
        <v>6445000</v>
      </c>
      <c r="AH152" s="54">
        <f t="shared" si="89"/>
        <v>7166666</v>
      </c>
      <c r="AI152" s="54">
        <f t="shared" si="90"/>
        <v>-721666</v>
      </c>
    </row>
    <row r="153" spans="2:39" x14ac:dyDescent="0.25">
      <c r="C153" s="39">
        <v>2017</v>
      </c>
      <c r="D153" s="62" t="str">
        <f>+'EWR-154.271'!$F$4</f>
        <v>EWR-154.271</v>
      </c>
      <c r="E153" s="63" t="str">
        <f>+'EWR-154.271'!$F$5</f>
        <v>Central Heating and Refrigeration Plant South Substation Roof Replacement</v>
      </c>
      <c r="F153" s="64">
        <f>+'EWR-154.271'!$F$6</f>
        <v>42893</v>
      </c>
      <c r="G153" s="65" t="str">
        <f>+'EWR-154.271'!$G$7</f>
        <v>MWBE</v>
      </c>
      <c r="H153" s="94">
        <f>+'EWR-154.271'!$F$7</f>
        <v>650000</v>
      </c>
      <c r="I153" s="27">
        <f>+'EWR-154.271'!$F$8</f>
        <v>865508</v>
      </c>
      <c r="J153" s="27"/>
      <c r="K153" s="26">
        <f>+'EWR-154.271'!$G$9</f>
        <v>0.3315507692307692</v>
      </c>
      <c r="L153" s="11" t="str">
        <f>+'EWR-154.271'!$F$11</f>
        <v>FAIL</v>
      </c>
      <c r="M153" s="15">
        <f>+'EWR-154.271'!$H$12</f>
        <v>3</v>
      </c>
      <c r="N153" s="35" t="s">
        <v>25</v>
      </c>
      <c r="O153" s="15">
        <v>2</v>
      </c>
      <c r="P153" s="35" t="s">
        <v>458</v>
      </c>
      <c r="Q153" s="35" t="s">
        <v>1284</v>
      </c>
      <c r="R153" s="15"/>
      <c r="S153" s="24"/>
      <c r="T153" s="62" t="str">
        <f>+'EWR-154.271'!$J$4</f>
        <v>Henry Yu</v>
      </c>
      <c r="U153" s="62"/>
      <c r="V153" s="94">
        <f>+'EWR-154.271'!$F$12</f>
        <v>893242.66666666663</v>
      </c>
      <c r="W153" s="165">
        <f t="shared" si="69"/>
        <v>0.96895058005887169</v>
      </c>
      <c r="X153" s="15"/>
      <c r="Y153" s="161">
        <f t="shared" si="87"/>
        <v>1.3315507692307693</v>
      </c>
      <c r="Z153" s="11" t="str">
        <f t="shared" si="78"/>
        <v>FAIL</v>
      </c>
      <c r="AA153" s="11"/>
      <c r="AB153" s="15"/>
      <c r="AC153" s="239">
        <f>VLOOKUP(H153,ECON_ADJUSTMENT!J$2:W$240,12,FALSE)</f>
        <v>1430919.0843339784</v>
      </c>
      <c r="AD153" s="15" t="str">
        <f t="shared" si="83"/>
        <v>FAIL</v>
      </c>
      <c r="AE153" s="15"/>
      <c r="AF153" s="15"/>
      <c r="AG153" s="54">
        <f t="shared" si="88"/>
        <v>650000</v>
      </c>
      <c r="AH153" s="54">
        <f t="shared" si="89"/>
        <v>865508</v>
      </c>
      <c r="AI153" s="54">
        <f t="shared" si="90"/>
        <v>-215508</v>
      </c>
    </row>
    <row r="154" spans="2:39" x14ac:dyDescent="0.25">
      <c r="C154" s="39">
        <v>2017</v>
      </c>
      <c r="D154" s="62" t="str">
        <f>+'EWR-154.264'!$F$4</f>
        <v>EWR-154.264</v>
      </c>
      <c r="E154" s="63" t="str">
        <f>+'EWR-154.264'!$F$5</f>
        <v>Rehab CTA Frontage Bridges N18 and N20 Longitudinal Joints</v>
      </c>
      <c r="F154" s="64">
        <f>+'EWR-154.264'!$F$6</f>
        <v>42893</v>
      </c>
      <c r="G154" s="65" t="str">
        <f>+'EWR-154.264'!$G$7</f>
        <v>MWBE</v>
      </c>
      <c r="H154" s="94">
        <f>+'EWR-154.264'!$F$7</f>
        <v>1070000</v>
      </c>
      <c r="I154" s="27">
        <f>+'EWR-154.264'!$F$8</f>
        <v>758000</v>
      </c>
      <c r="J154" s="27"/>
      <c r="K154" s="26">
        <f>+'EWR-154.264'!$G$9</f>
        <v>-0.29158878504672897</v>
      </c>
      <c r="L154" s="11" t="str">
        <f>+'EWR-154.264'!$F$11</f>
        <v>FAIL</v>
      </c>
      <c r="M154" s="15">
        <f>+'EWR-154.264'!$H$12</f>
        <v>5</v>
      </c>
      <c r="N154" s="35" t="s">
        <v>25</v>
      </c>
      <c r="O154" s="15">
        <v>2</v>
      </c>
      <c r="P154" s="35" t="s">
        <v>458</v>
      </c>
      <c r="Q154" s="35" t="s">
        <v>1282</v>
      </c>
      <c r="R154" s="15"/>
      <c r="S154" s="24"/>
      <c r="T154" s="62" t="str">
        <f>+'EWR-154.264'!$J$4</f>
        <v>Henry Yu</v>
      </c>
      <c r="U154" s="62"/>
      <c r="V154" s="94">
        <f>+'EWR-154.264'!$F$12</f>
        <v>946984.4</v>
      </c>
      <c r="W154" s="165">
        <f t="shared" si="69"/>
        <v>0.80043557211713301</v>
      </c>
      <c r="X154" s="15"/>
      <c r="Y154" s="161">
        <f t="shared" si="87"/>
        <v>0.70841121495327097</v>
      </c>
      <c r="Z154" s="11" t="str">
        <f t="shared" si="78"/>
        <v>FAIL</v>
      </c>
      <c r="AA154" s="11"/>
      <c r="AB154" s="15"/>
      <c r="AC154" s="239">
        <f>VLOOKUP(H154,ECON_ADJUSTMENT!J$2:W$240,12,FALSE)</f>
        <v>1796343.8856007033</v>
      </c>
      <c r="AD154" s="15" t="str">
        <f t="shared" si="83"/>
        <v>FAIL</v>
      </c>
      <c r="AE154" s="15"/>
      <c r="AF154" s="15"/>
      <c r="AG154" s="54">
        <f t="shared" si="88"/>
        <v>1070000</v>
      </c>
      <c r="AH154" s="54">
        <f t="shared" si="89"/>
        <v>758000</v>
      </c>
      <c r="AI154" s="54">
        <f t="shared" si="90"/>
        <v>312000</v>
      </c>
    </row>
    <row r="155" spans="2:39" x14ac:dyDescent="0.25">
      <c r="C155" s="39">
        <v>2017</v>
      </c>
      <c r="D155" s="62" t="str">
        <f>+'GWB-924.159B'!$F$4</f>
        <v>GWB-924.159B</v>
      </c>
      <c r="E155" s="63" t="str">
        <f>+'GWB-924.159B'!$F$5</f>
        <v>NJ Admin Bldg HW/CW Piping Replacement</v>
      </c>
      <c r="F155" s="64">
        <f>+'GWB-924.159B'!$F$6</f>
        <v>42892</v>
      </c>
      <c r="G155" s="65" t="str">
        <f>+'GWB-924.159B'!$G$7</f>
        <v>Public</v>
      </c>
      <c r="H155" s="94">
        <f>+'GWB-924.159B'!$F$7</f>
        <v>771000</v>
      </c>
      <c r="I155" s="27">
        <f>+'GWB-924.159B'!$F$8</f>
        <v>946600</v>
      </c>
      <c r="J155" s="27"/>
      <c r="K155" s="26">
        <f>+'GWB-924.159B'!$G$9</f>
        <v>0.22775616083009079</v>
      </c>
      <c r="L155" s="11" t="str">
        <f>+'GWB-924.159B'!$F$11</f>
        <v>FAIL</v>
      </c>
      <c r="M155" s="15">
        <f>+'GWB-924.159B'!$H$12</f>
        <v>2</v>
      </c>
      <c r="N155" s="35" t="s">
        <v>25</v>
      </c>
      <c r="O155" s="15">
        <v>2</v>
      </c>
      <c r="P155" s="35" t="s">
        <v>457</v>
      </c>
      <c r="Q155" s="35" t="s">
        <v>1281</v>
      </c>
      <c r="R155" s="15"/>
      <c r="S155" s="24"/>
      <c r="T155" s="62" t="str">
        <f>+'GWB-924.159B'!$J$4</f>
        <v>Reddy Gunda</v>
      </c>
      <c r="U155" s="62"/>
      <c r="V155" s="94">
        <f>+'GWB-924.159B'!$F$12</f>
        <v>1049156</v>
      </c>
      <c r="W155" s="165">
        <f t="shared" si="69"/>
        <v>0.90224904589975186</v>
      </c>
      <c r="X155" s="15"/>
      <c r="Y155" s="161">
        <f t="shared" si="87"/>
        <v>1.2277561608300909</v>
      </c>
      <c r="Z155" s="11" t="str">
        <f t="shared" si="78"/>
        <v>FAIL</v>
      </c>
      <c r="AA155" s="11"/>
      <c r="AB155" s="15"/>
      <c r="AC155" s="239">
        <f>VLOOKUP(H155,ECON_ADJUSTMENT!J$2:W$240,12,FALSE)</f>
        <v>-383521.52437895956</v>
      </c>
      <c r="AD155" s="15" t="str">
        <f t="shared" si="83"/>
        <v>FAIL</v>
      </c>
      <c r="AE155" s="15"/>
      <c r="AF155" s="15"/>
      <c r="AG155" s="54">
        <f t="shared" si="88"/>
        <v>771000</v>
      </c>
      <c r="AH155" s="54">
        <f t="shared" si="89"/>
        <v>946600</v>
      </c>
      <c r="AI155" s="54">
        <f t="shared" si="90"/>
        <v>-175600</v>
      </c>
    </row>
    <row r="156" spans="2:39" x14ac:dyDescent="0.25">
      <c r="C156" s="39">
        <v>2017</v>
      </c>
      <c r="D156" s="62" t="str">
        <f>+'EWR-924.233'!$F$4</f>
        <v>EWR-924.233</v>
      </c>
      <c r="E156" s="63" t="str">
        <f>+'EWR-924.233'!$F$5</f>
        <v>Priority Repair of Bridges N14, N15, N18, N19, N21, N42, N43</v>
      </c>
      <c r="F156" s="64">
        <f>+'EWR-924.233'!$F$6</f>
        <v>42886</v>
      </c>
      <c r="G156" s="65" t="str">
        <f>+'EWR-924.233'!$G$7</f>
        <v>Public</v>
      </c>
      <c r="H156" s="94">
        <f>+'EWR-924.233'!$F$7</f>
        <v>1140000</v>
      </c>
      <c r="I156" s="27">
        <f>+'EWR-924.233'!$F$8</f>
        <v>904780</v>
      </c>
      <c r="J156" s="27"/>
      <c r="K156" s="26">
        <f>+'EWR-924.233'!$G$9</f>
        <v>-0.20633333333333334</v>
      </c>
      <c r="L156" s="11" t="str">
        <f>+'EWR-924.233'!$F$11</f>
        <v>GOOD</v>
      </c>
      <c r="M156" s="15">
        <f>+'EWR-924.233'!$H$12</f>
        <v>9</v>
      </c>
      <c r="N156" s="35" t="s">
        <v>25</v>
      </c>
      <c r="O156" s="15">
        <v>2</v>
      </c>
      <c r="P156" s="35" t="s">
        <v>458</v>
      </c>
      <c r="Q156" s="35" t="s">
        <v>1282</v>
      </c>
      <c r="R156" s="15"/>
      <c r="S156" s="24"/>
      <c r="T156" s="62" t="str">
        <f>+'EWR-924.233'!$J$4</f>
        <v>Henry Yu</v>
      </c>
      <c r="U156" s="62"/>
      <c r="V156" s="94">
        <f>+'EWR-924.233'!$F$12</f>
        <v>1622587.4444444445</v>
      </c>
      <c r="W156" s="165">
        <f t="shared" si="69"/>
        <v>0.55761555600461732</v>
      </c>
      <c r="X156" s="15"/>
      <c r="Y156" s="161">
        <f t="shared" si="87"/>
        <v>0.79366666666666663</v>
      </c>
      <c r="Z156" s="11" t="str">
        <f t="shared" si="78"/>
        <v>FAIL</v>
      </c>
      <c r="AA156" s="11"/>
      <c r="AB156" s="15"/>
      <c r="AC156" s="239">
        <f>VLOOKUP(H156,ECON_ADJUSTMENT!J$2:W$240,12,FALSE)</f>
        <v>-62469.734694622806</v>
      </c>
      <c r="AD156" s="15" t="str">
        <f t="shared" si="83"/>
        <v>FAIL</v>
      </c>
      <c r="AE156" s="15"/>
      <c r="AF156" s="15"/>
      <c r="AG156" s="54">
        <f t="shared" si="88"/>
        <v>1140000</v>
      </c>
      <c r="AH156" s="54">
        <f t="shared" si="89"/>
        <v>904780</v>
      </c>
      <c r="AI156" s="54">
        <f t="shared" si="90"/>
        <v>235220</v>
      </c>
    </row>
    <row r="157" spans="2:39" x14ac:dyDescent="0.25">
      <c r="C157" s="39">
        <v>2017</v>
      </c>
      <c r="D157" s="62" t="str">
        <f>+'JFK-154.019'!$F$4</f>
        <v>JFK-154.019</v>
      </c>
      <c r="E157" s="63" t="str">
        <f>+'JFK-154.019'!$F$5</f>
        <v>Install Gate/Check Valves for Exist Stormwater Outfalls 2-3-4-5-6</v>
      </c>
      <c r="F157" s="64">
        <f>+'JFK-154.019'!$F$6</f>
        <v>42880</v>
      </c>
      <c r="G157" s="65" t="str">
        <f>+'JFK-154.019'!$G$7</f>
        <v>Public</v>
      </c>
      <c r="H157" s="94">
        <f>+'JFK-154.019'!$F$7</f>
        <v>2850000</v>
      </c>
      <c r="I157" s="27">
        <f>+'JFK-154.019'!$F$8</f>
        <v>1808548</v>
      </c>
      <c r="J157" s="27"/>
      <c r="K157" s="26">
        <f>+'JFK-154.019'!$G$9</f>
        <v>-0.36542175438596491</v>
      </c>
      <c r="L157" s="11" t="str">
        <f>+'JFK-154.019'!$F$11</f>
        <v>FAIL</v>
      </c>
      <c r="M157" s="15">
        <f>+'JFK-154.019'!$H$12</f>
        <v>11</v>
      </c>
      <c r="N157" s="35" t="s">
        <v>93</v>
      </c>
      <c r="O157" s="15">
        <v>2</v>
      </c>
      <c r="P157" s="35" t="s">
        <v>458</v>
      </c>
      <c r="Q157" s="35" t="s">
        <v>1283</v>
      </c>
      <c r="R157" s="15"/>
      <c r="S157" s="24"/>
      <c r="T157" s="62" t="str">
        <f>+'JFK-154.019'!$J$4</f>
        <v>Wen Chang</v>
      </c>
      <c r="U157" s="62"/>
      <c r="V157" s="94">
        <f>+'JFK-154.019'!$F$12</f>
        <v>2549938.9090909092</v>
      </c>
      <c r="W157" s="165">
        <f t="shared" si="69"/>
        <v>0.70925150149764726</v>
      </c>
      <c r="X157" s="15"/>
      <c r="Y157" s="161">
        <f t="shared" si="87"/>
        <v>0.63457824561403509</v>
      </c>
      <c r="Z157" s="11" t="str">
        <f t="shared" si="78"/>
        <v>FAIL</v>
      </c>
      <c r="AA157" s="11"/>
      <c r="AB157" s="15"/>
      <c r="AC157" s="239">
        <f>VLOOKUP(H157,ECON_ADJUSTMENT!J$2:W$240,12,FALSE)</f>
        <v>2056697.9527886137</v>
      </c>
      <c r="AD157" s="15" t="str">
        <f t="shared" si="83"/>
        <v>GOOD</v>
      </c>
      <c r="AE157" s="15"/>
      <c r="AF157" s="15"/>
      <c r="AG157" s="54">
        <f t="shared" si="88"/>
        <v>2850000</v>
      </c>
      <c r="AH157" s="54">
        <f t="shared" si="89"/>
        <v>1808548</v>
      </c>
      <c r="AI157" s="54">
        <f t="shared" si="90"/>
        <v>1041452</v>
      </c>
    </row>
    <row r="158" spans="2:39" x14ac:dyDescent="0.25">
      <c r="C158" s="39">
        <v>2017</v>
      </c>
      <c r="D158" s="62" t="str">
        <f>+'PAT-024.031'!$F$4</f>
        <v>PAT-024.031</v>
      </c>
      <c r="E158" s="63" t="str">
        <f>+'PAT-024.031'!$F$5</f>
        <v>Replacement of Substation 7</v>
      </c>
      <c r="F158" s="64">
        <f>+'PAT-024.031'!$F$6</f>
        <v>42873</v>
      </c>
      <c r="G158" s="65" t="str">
        <f>+'PAT-024.031'!$G$7</f>
        <v>VVP</v>
      </c>
      <c r="H158" s="94">
        <f>+'PAT-024.031'!$F$7</f>
        <v>29400000</v>
      </c>
      <c r="I158" s="27">
        <f>+'PAT-024.031'!$F$8</f>
        <v>40981000</v>
      </c>
      <c r="J158" s="27"/>
      <c r="K158" s="26">
        <f>+'PAT-024.031'!$G$9</f>
        <v>0.39391156462585036</v>
      </c>
      <c r="L158" s="11" t="str">
        <f>+'PAT-024.031'!$F$11</f>
        <v>FAIL</v>
      </c>
      <c r="M158" s="15">
        <f>+'PAT-024.031'!$H$12</f>
        <v>2</v>
      </c>
      <c r="N158" s="35" t="s">
        <v>25</v>
      </c>
      <c r="O158" s="15">
        <v>2</v>
      </c>
      <c r="P158" s="35" t="s">
        <v>459</v>
      </c>
      <c r="Q158" s="35" t="s">
        <v>1284</v>
      </c>
      <c r="R158" s="15"/>
      <c r="S158" s="24"/>
      <c r="T158" s="62" t="str">
        <f>+'PAT-024.031'!$J$4</f>
        <v>Nathan Demaisip</v>
      </c>
      <c r="U158" s="62"/>
      <c r="V158" s="94">
        <f>+'PAT-024.031'!$F$12</f>
        <v>43199000</v>
      </c>
      <c r="W158" s="165">
        <f t="shared" si="69"/>
        <v>0.9486562188939559</v>
      </c>
      <c r="X158" s="15"/>
      <c r="Y158" s="161">
        <f t="shared" si="87"/>
        <v>1.3939115646258504</v>
      </c>
      <c r="Z158" s="11" t="str">
        <f t="shared" si="78"/>
        <v>FAIL</v>
      </c>
      <c r="AA158" s="11"/>
      <c r="AB158" s="15"/>
      <c r="AC158" s="239">
        <f>VLOOKUP(H158,ECON_ADJUSTMENT!J$2:W$240,12,FALSE)</f>
        <v>30292893.904800136</v>
      </c>
      <c r="AD158" s="15" t="str">
        <f t="shared" si="83"/>
        <v>FAIL</v>
      </c>
      <c r="AE158" s="15"/>
      <c r="AF158" s="15"/>
      <c r="AG158" s="54">
        <f t="shared" si="88"/>
        <v>29400000</v>
      </c>
      <c r="AH158" s="54">
        <f t="shared" si="89"/>
        <v>40981000</v>
      </c>
      <c r="AI158" s="54">
        <f t="shared" si="90"/>
        <v>-11581000</v>
      </c>
    </row>
    <row r="159" spans="2:39" x14ac:dyDescent="0.25">
      <c r="C159" s="39">
        <v>2017</v>
      </c>
      <c r="D159" s="62" t="str">
        <f>+'MFP-924.641'!$F$4</f>
        <v>MFP-924.641</v>
      </c>
      <c r="E159" s="63" t="str">
        <f>+'MFP-924.641'!$F$5</f>
        <v>NY &amp; NJ Marine Terminals - Multi-Facility Fender System Rehab via WO</v>
      </c>
      <c r="F159" s="64">
        <f>+'MFP-924.641'!$F$6</f>
        <v>42872</v>
      </c>
      <c r="G159" s="65" t="str">
        <f>+'MFP-924.641'!$G$7</f>
        <v>Public</v>
      </c>
      <c r="H159" s="94">
        <f>+'MFP-924.641'!$F$7</f>
        <v>5000000</v>
      </c>
      <c r="I159" s="27">
        <f>+'MFP-924.641'!$F$8</f>
        <v>5210665</v>
      </c>
      <c r="J159" s="27">
        <v>5210665</v>
      </c>
      <c r="K159" s="26">
        <f>+'MFP-924.641'!$G$9</f>
        <v>4.2132999999999997E-2</v>
      </c>
      <c r="L159" s="11" t="str">
        <f>+'MFP-924.641'!$F$11</f>
        <v>GOOD</v>
      </c>
      <c r="M159" s="15">
        <f>+'MFP-924.641'!$H$12</f>
        <v>9</v>
      </c>
      <c r="N159" s="35" t="s">
        <v>226</v>
      </c>
      <c r="O159" s="15">
        <v>2</v>
      </c>
      <c r="P159" s="35" t="s">
        <v>492</v>
      </c>
      <c r="Q159" s="35" t="s">
        <v>1282</v>
      </c>
      <c r="R159" s="15"/>
      <c r="S159" s="24"/>
      <c r="T159" s="62" t="str">
        <f>+'MFP-924.641'!$J$4</f>
        <v>Ed Minall</v>
      </c>
      <c r="U159" s="62"/>
      <c r="V159" s="94">
        <f>+'MFP-924.641'!$F$12</f>
        <v>7226667.222222222</v>
      </c>
      <c r="W159" s="165">
        <f t="shared" si="69"/>
        <v>0.72103292427483667</v>
      </c>
      <c r="X159" s="15"/>
      <c r="Y159" s="161">
        <f t="shared" si="87"/>
        <v>1.042133</v>
      </c>
      <c r="Z159" s="11" t="str">
        <f t="shared" si="78"/>
        <v>GOOD</v>
      </c>
      <c r="AA159" s="11"/>
      <c r="AB159" s="15"/>
      <c r="AC159" s="239">
        <f>VLOOKUP(H159,ECON_ADJUSTMENT!J$2:W$240,12,FALSE)</f>
        <v>4761474.7624893449</v>
      </c>
      <c r="AD159" s="15" t="str">
        <f t="shared" si="83"/>
        <v>GOOD</v>
      </c>
      <c r="AE159" s="15"/>
      <c r="AF159" s="15"/>
      <c r="AG159" s="54">
        <f t="shared" si="88"/>
        <v>5000000</v>
      </c>
      <c r="AH159" s="54">
        <f t="shared" si="89"/>
        <v>5210665</v>
      </c>
      <c r="AI159" s="54">
        <f t="shared" si="90"/>
        <v>-210665</v>
      </c>
    </row>
    <row r="160" spans="2:39" x14ac:dyDescent="0.25">
      <c r="C160" s="39">
        <v>2017</v>
      </c>
      <c r="D160" s="62" t="str">
        <f>+'EP-924.643'!$F$4</f>
        <v>EP-924.643</v>
      </c>
      <c r="E160" s="63" t="str">
        <f>+'EP-924.643'!$F$5</f>
        <v>Priority Marine Rehab via Work Order</v>
      </c>
      <c r="F160" s="64">
        <f>+'EP-924.643'!$F$6</f>
        <v>42871</v>
      </c>
      <c r="G160" s="65" t="str">
        <f>+'EP-924.643'!$G$7</f>
        <v>Public</v>
      </c>
      <c r="H160" s="94">
        <f>+'EP-924.643'!$F$7</f>
        <v>9000000</v>
      </c>
      <c r="I160" s="27">
        <f>+'EP-924.643'!$F$8</f>
        <v>10805265</v>
      </c>
      <c r="J160" s="27">
        <v>10805265</v>
      </c>
      <c r="K160" s="26">
        <f>+'EP-924.643'!$G$9</f>
        <v>0.20058500000000001</v>
      </c>
      <c r="L160" s="11" t="str">
        <f>+'EP-924.643'!$F$11</f>
        <v>FAIL</v>
      </c>
      <c r="M160" s="15">
        <f>+'EP-924.643'!$H$12</f>
        <v>2</v>
      </c>
      <c r="N160" s="35" t="s">
        <v>25</v>
      </c>
      <c r="O160" s="15">
        <v>2</v>
      </c>
      <c r="P160" s="35" t="s">
        <v>492</v>
      </c>
      <c r="Q160" s="35" t="s">
        <v>1282</v>
      </c>
      <c r="R160" s="15"/>
      <c r="S160" s="24"/>
      <c r="T160" s="62" t="str">
        <f>+'EP-924.643'!$J$4</f>
        <v>Ed Minall</v>
      </c>
      <c r="U160" s="62"/>
      <c r="V160" s="94">
        <f>+'EP-924.643'!$F$12</f>
        <v>13051670</v>
      </c>
      <c r="W160" s="165">
        <f t="shared" si="69"/>
        <v>0.82788371143309625</v>
      </c>
      <c r="X160" s="15"/>
      <c r="Y160" s="161">
        <f t="shared" si="87"/>
        <v>1.200585</v>
      </c>
      <c r="Z160" s="11" t="str">
        <f t="shared" si="78"/>
        <v>FAIL</v>
      </c>
      <c r="AA160" s="11"/>
      <c r="AB160" s="15"/>
      <c r="AC160" s="239">
        <f>VLOOKUP(H160,ECON_ADJUSTMENT!J$2:W$240,12,FALSE)</f>
        <v>10161428.71886936</v>
      </c>
      <c r="AD160" s="15" t="str">
        <f t="shared" si="83"/>
        <v>GOOD</v>
      </c>
      <c r="AE160" s="15"/>
      <c r="AF160" s="15"/>
      <c r="AG160" s="54">
        <f t="shared" si="88"/>
        <v>9000000</v>
      </c>
      <c r="AH160" s="54">
        <f t="shared" si="89"/>
        <v>10805265</v>
      </c>
      <c r="AI160" s="54">
        <f t="shared" si="90"/>
        <v>-1805265</v>
      </c>
    </row>
    <row r="161" spans="2:41" x14ac:dyDescent="0.25">
      <c r="C161" s="39">
        <v>2017</v>
      </c>
      <c r="D161" s="62" t="str">
        <f>+'LT-234.179'!$F$4</f>
        <v>LT-234.179</v>
      </c>
      <c r="E161" s="63" t="str">
        <f>+'LT-234.179'!$F$5</f>
        <v>Waterside Buffer Zone Protection</v>
      </c>
      <c r="F161" s="64">
        <f>+'LT-234.179'!$F$6</f>
        <v>42851</v>
      </c>
      <c r="G161" s="65" t="str">
        <f>+'LT-234.179'!$G$7</f>
        <v>PQL</v>
      </c>
      <c r="H161" s="94">
        <f>+'LT-234.179'!$F$7</f>
        <v>3589000</v>
      </c>
      <c r="I161" s="27">
        <f>+'LT-234.179'!$F$8</f>
        <v>3875045</v>
      </c>
      <c r="J161" s="27"/>
      <c r="K161" s="26">
        <f>+'LT-234.179'!$G$9</f>
        <v>7.9700473669545829E-2</v>
      </c>
      <c r="L161" s="11" t="str">
        <f>+'LT-234.179'!$F$11</f>
        <v>GOOD</v>
      </c>
      <c r="M161" s="15">
        <f>+'LT-234.179'!$H$12</f>
        <v>3</v>
      </c>
      <c r="N161" s="35" t="s">
        <v>93</v>
      </c>
      <c r="O161" s="15">
        <v>2</v>
      </c>
      <c r="P161" s="35" t="s">
        <v>457</v>
      </c>
      <c r="Q161" s="35" t="s">
        <v>1282</v>
      </c>
      <c r="R161" s="15"/>
      <c r="S161" s="24"/>
      <c r="T161" s="62" t="str">
        <f>+'LT-234.179'!$J$4</f>
        <v>Nathan Demaisip</v>
      </c>
      <c r="U161" s="62"/>
      <c r="V161" s="94">
        <f>+'LT-234.179'!$F$12</f>
        <v>4137147</v>
      </c>
      <c r="W161" s="165">
        <f t="shared" si="69"/>
        <v>0.93664667946292457</v>
      </c>
      <c r="X161" s="15"/>
      <c r="Y161" s="161">
        <f t="shared" si="87"/>
        <v>1.0797004736695459</v>
      </c>
      <c r="Z161" s="11" t="str">
        <f t="shared" si="78"/>
        <v>GOOD</v>
      </c>
      <c r="AA161" s="11"/>
      <c r="AB161" s="15"/>
      <c r="AC161" s="239">
        <f>VLOOKUP(H161,ECON_ADJUSTMENT!J$2:W$240,12,FALSE)</f>
        <v>5360972.8963835072</v>
      </c>
      <c r="AD161" s="15" t="str">
        <f t="shared" si="83"/>
        <v>FAIL</v>
      </c>
      <c r="AE161" s="15"/>
      <c r="AF161" s="15"/>
      <c r="AG161" s="54">
        <f t="shared" si="88"/>
        <v>3589000</v>
      </c>
      <c r="AH161" s="54">
        <f t="shared" si="89"/>
        <v>3875045</v>
      </c>
      <c r="AI161" s="54">
        <f t="shared" si="90"/>
        <v>-286045</v>
      </c>
    </row>
    <row r="162" spans="2:41" x14ac:dyDescent="0.25">
      <c r="C162" s="39">
        <v>2017</v>
      </c>
      <c r="D162" s="62" t="str">
        <f>+'GWB-924.176'!$F$4</f>
        <v>GWB-924.176</v>
      </c>
      <c r="E162" s="63" t="str">
        <f>+'GWB-924.176'!$F$5</f>
        <v>Upper Level Sidewalk Repairs via Work Order</v>
      </c>
      <c r="F162" s="64">
        <f>+'GWB-924.176'!$F$6</f>
        <v>42846</v>
      </c>
      <c r="G162" s="65" t="str">
        <f>+'GWB-924.176'!$G$7</f>
        <v>Public</v>
      </c>
      <c r="H162" s="94">
        <f>+'GWB-924.176'!$F$7</f>
        <v>2060000</v>
      </c>
      <c r="I162" s="27">
        <f>+'GWB-924.176'!$F$8</f>
        <v>2614625</v>
      </c>
      <c r="J162" s="27"/>
      <c r="K162" s="26">
        <f>+'GWB-924.176'!$G$9</f>
        <v>0.26923543689320389</v>
      </c>
      <c r="L162" s="11" t="str">
        <f>+'GWB-924.176'!$F$11</f>
        <v>FAIL</v>
      </c>
      <c r="M162" s="15">
        <f>+'GWB-924.176'!$H$12</f>
        <v>5</v>
      </c>
      <c r="N162" s="35" t="s">
        <v>226</v>
      </c>
      <c r="O162" s="15">
        <v>2</v>
      </c>
      <c r="P162" s="35" t="s">
        <v>457</v>
      </c>
      <c r="Q162" s="35" t="s">
        <v>1282</v>
      </c>
      <c r="R162" s="15"/>
      <c r="S162" s="24"/>
      <c r="T162" s="62" t="str">
        <f>+'GWB-924.176'!$J$4</f>
        <v>Reddy Gunda</v>
      </c>
      <c r="U162" s="62"/>
      <c r="V162" s="94">
        <f>+'GWB-924.176'!$F$12</f>
        <v>3640145</v>
      </c>
      <c r="W162" s="165">
        <f t="shared" ref="W162:W225" si="91">+I162/V162</f>
        <v>0.71827495882718961</v>
      </c>
      <c r="X162" s="15"/>
      <c r="Y162" s="161">
        <f t="shared" si="87"/>
        <v>1.2692354368932039</v>
      </c>
      <c r="Z162" s="11" t="str">
        <f t="shared" si="78"/>
        <v>FAIL</v>
      </c>
      <c r="AA162" s="11"/>
      <c r="AB162" s="15"/>
      <c r="AC162" s="239">
        <f>VLOOKUP(H162,ECON_ADJUSTMENT!J$2:W$240,12,FALSE)</f>
        <v>2110934.8541227216</v>
      </c>
      <c r="AD162" s="15" t="str">
        <f t="shared" si="83"/>
        <v>FAIL</v>
      </c>
      <c r="AE162" s="15"/>
      <c r="AF162" s="15"/>
      <c r="AG162" s="54">
        <f t="shared" si="88"/>
        <v>2060000</v>
      </c>
      <c r="AH162" s="54">
        <f t="shared" si="89"/>
        <v>2614625</v>
      </c>
      <c r="AI162" s="54">
        <f t="shared" si="90"/>
        <v>-554625</v>
      </c>
    </row>
    <row r="163" spans="2:41" x14ac:dyDescent="0.25">
      <c r="C163" s="39">
        <v>2017</v>
      </c>
      <c r="D163" s="62" t="str">
        <f>+'MFP-924.645A'!$F$4</f>
        <v>MFP-924.645A</v>
      </c>
      <c r="E163" s="63" t="str">
        <f>+'MFP-924.645A'!$F$5</f>
        <v>NJ Paving and Utility Rehab by Work Order</v>
      </c>
      <c r="F163" s="64">
        <f>+'MFP-924.645A'!$F$6</f>
        <v>42845</v>
      </c>
      <c r="G163" s="65" t="str">
        <f>+'MFP-924.645A'!$G$7</f>
        <v>MWBE</v>
      </c>
      <c r="H163" s="94">
        <f>+'MFP-924.645A'!$F$7</f>
        <v>2625000</v>
      </c>
      <c r="I163" s="27">
        <f>+'MFP-924.645A'!$F$8</f>
        <v>2472675</v>
      </c>
      <c r="J163" s="27"/>
      <c r="K163" s="26">
        <f>+'MFP-924.645A'!$G$9</f>
        <v>-5.8028571428571429E-2</v>
      </c>
      <c r="L163" s="11" t="str">
        <f>+'MFP-924.645A'!$F$11</f>
        <v>GOOD</v>
      </c>
      <c r="M163" s="15">
        <f>+'MFP-924.645A'!$H$12</f>
        <v>6</v>
      </c>
      <c r="N163" s="35" t="s">
        <v>25</v>
      </c>
      <c r="O163" s="15">
        <v>2</v>
      </c>
      <c r="P163" s="35" t="s">
        <v>492</v>
      </c>
      <c r="Q163" s="35" t="s">
        <v>1283</v>
      </c>
      <c r="R163" s="15"/>
      <c r="S163" s="24"/>
      <c r="T163" s="62" t="str">
        <f>+'MFP-924.645A'!$J$4</f>
        <v>Ed Minall</v>
      </c>
      <c r="U163" s="62"/>
      <c r="V163" s="94">
        <f>+'MFP-924.645A'!$F$12</f>
        <v>2725976.1666666665</v>
      </c>
      <c r="W163" s="165">
        <f t="shared" si="91"/>
        <v>0.90707873026769559</v>
      </c>
      <c r="X163" s="15"/>
      <c r="Y163" s="161">
        <f t="shared" si="87"/>
        <v>0.94197142857142857</v>
      </c>
      <c r="Z163" s="11" t="str">
        <f t="shared" si="78"/>
        <v>GOOD</v>
      </c>
      <c r="AA163" s="11"/>
      <c r="AB163" s="15"/>
      <c r="AC163" s="239">
        <f>VLOOKUP(H163,ECON_ADJUSTMENT!J$2:W$240,12,FALSE)</f>
        <v>4522235.9715713095</v>
      </c>
      <c r="AD163" s="15" t="str">
        <f t="shared" si="83"/>
        <v>FAIL</v>
      </c>
      <c r="AE163" s="15"/>
      <c r="AF163" s="15"/>
      <c r="AG163" s="54">
        <f t="shared" si="88"/>
        <v>2625000</v>
      </c>
      <c r="AH163" s="54">
        <f t="shared" si="89"/>
        <v>2472675</v>
      </c>
      <c r="AI163" s="54">
        <f t="shared" si="90"/>
        <v>152325</v>
      </c>
    </row>
    <row r="164" spans="2:41" x14ac:dyDescent="0.25">
      <c r="C164" s="39">
        <v>2017</v>
      </c>
      <c r="D164" s="62" t="str">
        <f>+'PN-654.558'!$F$4</f>
        <v>PN-654.558</v>
      </c>
      <c r="E164" s="63" t="str">
        <f>+'PN-654.558'!$F$5</f>
        <v>Berths 26, 28, 32, 34 Dredging</v>
      </c>
      <c r="F164" s="64">
        <f>+'PN-654.558'!$F$6</f>
        <v>42845</v>
      </c>
      <c r="G164" s="65" t="str">
        <f>+'PN-654.558'!$G$7</f>
        <v>Public</v>
      </c>
      <c r="H164" s="94">
        <f>+'PN-654.558'!$F$7</f>
        <v>1520000</v>
      </c>
      <c r="I164" s="27">
        <f>+'PN-654.558'!$F$8</f>
        <v>994200</v>
      </c>
      <c r="J164" s="27"/>
      <c r="K164" s="26">
        <f>+'PN-654.558'!$G$9</f>
        <v>-0.34592105263157896</v>
      </c>
      <c r="L164" s="11" t="str">
        <f>+'PN-654.558'!$F$11</f>
        <v>GOOD</v>
      </c>
      <c r="M164" s="15">
        <f>+'PN-654.558'!$H$12</f>
        <v>4</v>
      </c>
      <c r="N164" s="35" t="s">
        <v>25</v>
      </c>
      <c r="O164" s="15">
        <v>2</v>
      </c>
      <c r="P164" s="35" t="s">
        <v>492</v>
      </c>
      <c r="Q164" s="35" t="s">
        <v>1285</v>
      </c>
      <c r="R164" s="15"/>
      <c r="S164" s="24"/>
      <c r="T164" s="62" t="str">
        <f>+'PN-654.558'!$J$4</f>
        <v>Ed Minall</v>
      </c>
      <c r="U164" s="62"/>
      <c r="V164" s="94">
        <f>+'PN-654.558'!$F$12</f>
        <v>1957750</v>
      </c>
      <c r="W164" s="165">
        <f t="shared" si="91"/>
        <v>0.50782786361895027</v>
      </c>
      <c r="X164" s="15"/>
      <c r="Y164" s="161">
        <f t="shared" si="87"/>
        <v>0.65407894736842109</v>
      </c>
      <c r="Z164" s="11" t="str">
        <f t="shared" si="78"/>
        <v>FAIL</v>
      </c>
      <c r="AA164" s="11"/>
      <c r="AB164" s="15"/>
      <c r="AC164" s="239">
        <f>VLOOKUP(H164,ECON_ADJUSTMENT!J$2:W$240,12,FALSE)</f>
        <v>268152.70454669953</v>
      </c>
      <c r="AD164" s="15" t="str">
        <f t="shared" si="83"/>
        <v>FAIL</v>
      </c>
      <c r="AE164" s="15"/>
      <c r="AF164" s="15"/>
      <c r="AG164" s="54">
        <f t="shared" si="88"/>
        <v>1520000</v>
      </c>
      <c r="AH164" s="54">
        <f t="shared" si="89"/>
        <v>994200</v>
      </c>
      <c r="AI164" s="54">
        <f t="shared" si="90"/>
        <v>525800</v>
      </c>
    </row>
    <row r="165" spans="2:41" x14ac:dyDescent="0.25">
      <c r="C165" s="39">
        <v>2017</v>
      </c>
      <c r="D165" s="62" t="str">
        <f>+'TEB-144.048'!$F$4</f>
        <v>TEB-144.048</v>
      </c>
      <c r="E165" s="63" t="str">
        <f>+'TEB-144.048'!$F$5</f>
        <v>AOA Light Circuit Replacement</v>
      </c>
      <c r="F165" s="64">
        <f>+'TEB-144.048'!$F$6</f>
        <v>42845</v>
      </c>
      <c r="G165" s="65" t="str">
        <f>+'TEB-144.048'!$G$7</f>
        <v>PQL</v>
      </c>
      <c r="H165" s="94">
        <f>+'TEB-144.048'!$F$7</f>
        <v>12630000</v>
      </c>
      <c r="I165" s="27">
        <f>+'TEB-144.048'!$F$8</f>
        <v>10849023</v>
      </c>
      <c r="J165" s="27"/>
      <c r="K165" s="26">
        <f>+'TEB-144.048'!$G$9</f>
        <v>-0.14101163895486934</v>
      </c>
      <c r="L165" s="11" t="str">
        <f>+'TEB-144.048'!$F$11</f>
        <v>GOOD</v>
      </c>
      <c r="M165" s="15">
        <f>+'TEB-144.048'!$H$12</f>
        <v>2</v>
      </c>
      <c r="N165" s="35" t="s">
        <v>25</v>
      </c>
      <c r="O165" s="15">
        <v>2</v>
      </c>
      <c r="P165" s="35" t="s">
        <v>458</v>
      </c>
      <c r="Q165" s="35" t="s">
        <v>1286</v>
      </c>
      <c r="R165" s="15"/>
      <c r="S165" s="24"/>
      <c r="T165" s="62" t="str">
        <f>+'TEB-144.048'!$J$4</f>
        <v>Henry Yu</v>
      </c>
      <c r="U165" s="62"/>
      <c r="V165" s="94">
        <f>+'TEB-144.048'!$F$12</f>
        <v>13424511.5</v>
      </c>
      <c r="W165" s="165">
        <f t="shared" si="91"/>
        <v>0.80815030029211865</v>
      </c>
      <c r="X165" s="15"/>
      <c r="Y165" s="161">
        <f t="shared" si="87"/>
        <v>0.85898836104513066</v>
      </c>
      <c r="Z165" s="11" t="str">
        <f t="shared" si="78"/>
        <v>GOOD</v>
      </c>
      <c r="AA165" s="11"/>
      <c r="AB165" s="15"/>
      <c r="AC165" s="239">
        <f>VLOOKUP(H165,ECON_ADJUSTMENT!J$2:W$240,12,FALSE)</f>
        <v>15702003.625650194</v>
      </c>
      <c r="AD165" s="15" t="str">
        <f t="shared" si="83"/>
        <v>FAIL</v>
      </c>
      <c r="AE165" s="15"/>
      <c r="AF165" s="15"/>
      <c r="AG165" s="54">
        <f t="shared" si="88"/>
        <v>12630000</v>
      </c>
      <c r="AH165" s="54">
        <f t="shared" si="89"/>
        <v>10849023</v>
      </c>
      <c r="AI165" s="54">
        <f t="shared" si="90"/>
        <v>1780977</v>
      </c>
    </row>
    <row r="166" spans="2:41" x14ac:dyDescent="0.25">
      <c r="C166" s="39">
        <v>2017</v>
      </c>
      <c r="D166" s="62" t="str">
        <f>+'PAT-084.001'!$F$4</f>
        <v>PAT-084.001</v>
      </c>
      <c r="E166" s="63" t="str">
        <f>+'PAT-084.001'!$F$5</f>
        <v>Replacement of Substation 9</v>
      </c>
      <c r="F166" s="64">
        <f>+'PAT-084.001'!$F$6</f>
        <v>42844</v>
      </c>
      <c r="G166" s="65" t="str">
        <f>+'PAT-084.001'!$G$7</f>
        <v>PQL</v>
      </c>
      <c r="H166" s="94">
        <f>+'PAT-084.001'!$F$7</f>
        <v>30360000</v>
      </c>
      <c r="I166" s="27">
        <f>+'PAT-084.001'!$F$8</f>
        <v>32920674</v>
      </c>
      <c r="J166" s="27"/>
      <c r="K166" s="26">
        <f>+'PAT-084.001'!$G$9</f>
        <v>8.4343675889328062E-2</v>
      </c>
      <c r="L166" s="11" t="str">
        <f>+'PAT-084.001'!$F$11</f>
        <v>GOOD</v>
      </c>
      <c r="M166" s="15">
        <f>+'PAT-084.001'!$H$12</f>
        <v>3</v>
      </c>
      <c r="N166" s="35" t="s">
        <v>25</v>
      </c>
      <c r="O166" s="15">
        <v>2</v>
      </c>
      <c r="P166" s="35" t="s">
        <v>459</v>
      </c>
      <c r="Q166" s="35" t="s">
        <v>1284</v>
      </c>
      <c r="R166" s="15"/>
      <c r="S166" s="24"/>
      <c r="T166" s="62" t="str">
        <f>+'PAT-084.001'!$J$4</f>
        <v>Nathan Demaisip</v>
      </c>
      <c r="U166" s="62"/>
      <c r="V166" s="94">
        <f>+'PAT-084.001'!$F$12</f>
        <v>41432104.666666664</v>
      </c>
      <c r="W166" s="165">
        <f t="shared" si="91"/>
        <v>0.79456919374133661</v>
      </c>
      <c r="X166" s="15"/>
      <c r="Y166" s="161">
        <f t="shared" si="87"/>
        <v>1.0843436758893281</v>
      </c>
      <c r="Z166" s="11" t="str">
        <f t="shared" si="78"/>
        <v>GOOD</v>
      </c>
      <c r="AA166" s="11"/>
      <c r="AB166" s="15"/>
      <c r="AC166" s="239">
        <f>VLOOKUP(H166,ECON_ADJUSTMENT!J$2:W$240,12,FALSE)</f>
        <v>31128150.593409792</v>
      </c>
      <c r="AD166" s="15" t="str">
        <f t="shared" si="83"/>
        <v>GOOD</v>
      </c>
      <c r="AE166" s="15"/>
      <c r="AF166" s="15"/>
      <c r="AG166" s="54">
        <f t="shared" si="88"/>
        <v>30360000</v>
      </c>
      <c r="AH166" s="54">
        <f t="shared" si="89"/>
        <v>32920674</v>
      </c>
      <c r="AI166" s="54">
        <f t="shared" si="90"/>
        <v>-2560674</v>
      </c>
    </row>
    <row r="167" spans="2:41" x14ac:dyDescent="0.25">
      <c r="C167" s="39">
        <v>2017</v>
      </c>
      <c r="D167" s="62" t="str">
        <f>+'EWR-154.234'!$F$4</f>
        <v>EWR-154.234</v>
      </c>
      <c r="E167" s="63" t="str">
        <f>+'EWR-154.234'!$F$5</f>
        <v>AOA Light Circuit Replacement</v>
      </c>
      <c r="F167" s="64">
        <f>+'EWR-154.234'!$F$6</f>
        <v>42844</v>
      </c>
      <c r="G167" s="65" t="str">
        <f>+'EWR-154.234'!$G$7</f>
        <v>PQL</v>
      </c>
      <c r="H167" s="94">
        <f>+'EWR-154.234'!$F$7</f>
        <v>18870000</v>
      </c>
      <c r="I167" s="27">
        <f>+'EWR-154.234'!$F$8</f>
        <v>19910000</v>
      </c>
      <c r="J167" s="27"/>
      <c r="K167" s="26">
        <f>+'EWR-154.234'!$G$9</f>
        <v>5.5113937466878642E-2</v>
      </c>
      <c r="L167" s="11" t="str">
        <f>+'EWR-154.234'!$F$11</f>
        <v>GOOD</v>
      </c>
      <c r="M167" s="15">
        <f>+'EWR-154.234'!$H$12</f>
        <v>3</v>
      </c>
      <c r="N167" s="35" t="s">
        <v>25</v>
      </c>
      <c r="O167" s="15">
        <v>2</v>
      </c>
      <c r="P167" s="35" t="s">
        <v>458</v>
      </c>
      <c r="Q167" s="35" t="s">
        <v>1286</v>
      </c>
      <c r="R167" s="15"/>
      <c r="S167" s="24"/>
      <c r="T167" s="62" t="str">
        <f>+'EWR-154.234'!$J$4</f>
        <v>Henry Yu</v>
      </c>
      <c r="U167" s="62"/>
      <c r="V167" s="94">
        <f>+'EWR-154.234'!$F$12</f>
        <v>21760702.666666668</v>
      </c>
      <c r="W167" s="165">
        <f t="shared" si="91"/>
        <v>0.91495207231972342</v>
      </c>
      <c r="X167" s="15"/>
      <c r="Y167" s="161">
        <f t="shared" si="87"/>
        <v>1.0551139374668785</v>
      </c>
      <c r="Z167" s="11" t="str">
        <f t="shared" si="78"/>
        <v>GOOD</v>
      </c>
      <c r="AA167" s="11"/>
      <c r="AB167" s="15"/>
      <c r="AC167" s="239">
        <f>VLOOKUP(H167,ECON_ADJUSTMENT!J$2:W$240,12,FALSE)</f>
        <v>21131172.101612963</v>
      </c>
      <c r="AD167" s="15" t="str">
        <f t="shared" si="83"/>
        <v>GOOD</v>
      </c>
      <c r="AE167" s="15"/>
      <c r="AF167" s="15"/>
      <c r="AG167" s="54">
        <f t="shared" si="88"/>
        <v>18870000</v>
      </c>
      <c r="AH167" s="54">
        <f t="shared" si="89"/>
        <v>19910000</v>
      </c>
      <c r="AI167" s="54">
        <f t="shared" si="90"/>
        <v>-1040000</v>
      </c>
    </row>
    <row r="168" spans="2:41" x14ac:dyDescent="0.25">
      <c r="B168" s="164">
        <f>(COUNTIF(L149:L168,"G*")/COUNTA(L149:L168))</f>
        <v>0.55000000000000004</v>
      </c>
      <c r="C168" s="39">
        <v>2017</v>
      </c>
      <c r="D168" s="62" t="str">
        <f>+'MFP-924.634'!$F$4</f>
        <v>MFP-924.634</v>
      </c>
      <c r="E168" s="63" t="str">
        <f>+'MFP-924.634'!$F$5</f>
        <v>NY Marine Terminals - Rail Rehab via Work Order</v>
      </c>
      <c r="F168" s="64">
        <f>+'MFP-924.634'!$F$6</f>
        <v>42831</v>
      </c>
      <c r="G168" s="65" t="str">
        <f>+'MFP-924.634'!$G$7</f>
        <v>Public</v>
      </c>
      <c r="H168" s="94">
        <f>+'MFP-924.634'!$F$7</f>
        <v>1655000</v>
      </c>
      <c r="I168" s="27">
        <f>+'MFP-924.634'!$F$8</f>
        <v>1398667</v>
      </c>
      <c r="J168" s="27"/>
      <c r="K168" s="26">
        <f>+'MFP-924.634'!$G$9</f>
        <v>-0.15488398791540786</v>
      </c>
      <c r="L168" s="11" t="str">
        <f>+'MFP-924.634'!$F$11</f>
        <v>GOOD</v>
      </c>
      <c r="M168" s="15">
        <f>+'MFP-924.634'!$H$12</f>
        <v>3</v>
      </c>
      <c r="N168" s="35" t="s">
        <v>93</v>
      </c>
      <c r="O168" s="15">
        <v>2</v>
      </c>
      <c r="P168" s="35" t="s">
        <v>492</v>
      </c>
      <c r="Q168" s="35" t="s">
        <v>1283</v>
      </c>
      <c r="R168" s="15"/>
      <c r="S168" s="24"/>
      <c r="T168" s="62" t="str">
        <f>+'MFP-924.634'!$J$4</f>
        <v>Ed Minall</v>
      </c>
      <c r="U168" s="62"/>
      <c r="V168" s="94">
        <f>+'MFP-924.634'!$F$12</f>
        <v>1576394</v>
      </c>
      <c r="W168" s="165">
        <f t="shared" si="91"/>
        <v>0.88725724660205507</v>
      </c>
      <c r="X168" s="15"/>
      <c r="Y168" s="161">
        <f t="shared" si="87"/>
        <v>0.84511601208459219</v>
      </c>
      <c r="Z168" s="11" t="str">
        <f t="shared" si="78"/>
        <v>FAIL</v>
      </c>
      <c r="AA168" s="11"/>
      <c r="AB168" s="15"/>
      <c r="AC168" s="239">
        <f>VLOOKUP(H168,ECON_ADJUSTMENT!J$2:W$240,12,FALSE)</f>
        <v>1016977.3872797184</v>
      </c>
      <c r="AD168" s="15" t="str">
        <f t="shared" si="83"/>
        <v>FAIL</v>
      </c>
      <c r="AE168" s="15"/>
      <c r="AF168" s="15"/>
      <c r="AG168" s="54">
        <f t="shared" si="88"/>
        <v>1655000</v>
      </c>
      <c r="AH168" s="54">
        <f t="shared" si="89"/>
        <v>1398667</v>
      </c>
      <c r="AI168" s="54">
        <f t="shared" si="90"/>
        <v>256333</v>
      </c>
      <c r="AK168" s="4">
        <f>SUM(H149:H168)</f>
        <v>134865000</v>
      </c>
      <c r="AL168" s="4">
        <f>SUM(I149:I168)</f>
        <v>148008941</v>
      </c>
      <c r="AM168" s="7">
        <f>+AL168/AK168</f>
        <v>1.0974599859118377</v>
      </c>
      <c r="AO168" s="4"/>
    </row>
    <row r="169" spans="2:41" ht="7.5" customHeight="1" x14ac:dyDescent="0.25">
      <c r="C169" s="39"/>
      <c r="G169" s="45"/>
      <c r="P169" s="11"/>
      <c r="Q169" s="11"/>
      <c r="T169" s="15"/>
      <c r="U169" s="15"/>
      <c r="V169" s="94"/>
      <c r="W169" s="165"/>
      <c r="AC169" s="239"/>
      <c r="AD169" s="15"/>
      <c r="AG169" s="54"/>
      <c r="AH169" s="54"/>
      <c r="AI169" s="54"/>
    </row>
    <row r="170" spans="2:41" x14ac:dyDescent="0.25">
      <c r="C170" s="39">
        <v>2017</v>
      </c>
      <c r="D170" s="62" t="str">
        <f>+'BT-254.123'!$F$4</f>
        <v>BT-254.123</v>
      </c>
      <c r="E170" s="63" t="str">
        <f>+'BT-254.123'!$F$5</f>
        <v>PABT Supplemental Fire Alarm Systems</v>
      </c>
      <c r="F170" s="64">
        <f>+'BT-254.123'!$F$6</f>
        <v>42823</v>
      </c>
      <c r="G170" s="65" t="str">
        <f>+'BT-254.123'!$G$7</f>
        <v>Public</v>
      </c>
      <c r="H170" s="27">
        <f>+'BT-254.123'!$F$7</f>
        <v>3700000</v>
      </c>
      <c r="I170" s="27">
        <f>+'BT-254.123'!$F$8</f>
        <v>2490000</v>
      </c>
      <c r="J170" s="27">
        <v>3185240</v>
      </c>
      <c r="K170" s="26">
        <f>+'BT-254.123'!$G$9</f>
        <v>-0.32702702702702702</v>
      </c>
      <c r="L170" s="11" t="str">
        <f>+'BT-254.123'!$F$11</f>
        <v>GOOD</v>
      </c>
      <c r="M170" s="15">
        <f>+'BT-254.123'!$H$12</f>
        <v>7</v>
      </c>
      <c r="N170" s="35" t="s">
        <v>93</v>
      </c>
      <c r="O170" s="15">
        <v>1</v>
      </c>
      <c r="P170" s="35" t="s">
        <v>457</v>
      </c>
      <c r="Q170" s="35" t="s">
        <v>1286</v>
      </c>
      <c r="R170" s="15"/>
      <c r="S170" s="24" t="s">
        <v>976</v>
      </c>
      <c r="T170" s="62" t="str">
        <f>+'BT-254.123'!$J$4</f>
        <v>Reddy Gunda</v>
      </c>
      <c r="U170" s="62"/>
      <c r="V170" s="94">
        <f>+'BT-254.123'!$F$12</f>
        <v>3722260</v>
      </c>
      <c r="W170" s="165">
        <f t="shared" si="91"/>
        <v>0.66894843455320152</v>
      </c>
      <c r="X170" s="15"/>
      <c r="Y170" s="161">
        <f t="shared" ref="Y170:Y187" si="92">+I170/H170</f>
        <v>0.67297297297297298</v>
      </c>
      <c r="Z170" s="11" t="str">
        <f t="shared" si="78"/>
        <v>FAIL</v>
      </c>
      <c r="AA170" s="11"/>
      <c r="AB170" s="15"/>
      <c r="AC170" s="239">
        <f>VLOOKUP(H170,ECON_ADJUSTMENT!J$2:W$240,12,FALSE)</f>
        <v>3537831.6971642179</v>
      </c>
      <c r="AD170" s="15" t="str">
        <f t="shared" si="83"/>
        <v>GOOD</v>
      </c>
      <c r="AE170" s="15"/>
      <c r="AF170" s="15"/>
      <c r="AG170" s="54">
        <f t="shared" ref="AG170:AG187" si="93">+H170</f>
        <v>3700000</v>
      </c>
      <c r="AH170" s="54">
        <f t="shared" ref="AH170:AH187" si="94">+I170</f>
        <v>2490000</v>
      </c>
      <c r="AI170" s="54">
        <f t="shared" ref="AI170:AI187" si="95">+AG170-AH170</f>
        <v>1210000</v>
      </c>
    </row>
    <row r="171" spans="2:41" x14ac:dyDescent="0.25">
      <c r="C171" s="39">
        <v>2017</v>
      </c>
      <c r="D171" s="62" t="str">
        <f>+'LGA-124.255'!$F$4</f>
        <v>LGA-124.255</v>
      </c>
      <c r="E171" s="63" t="str">
        <f>+'LGA-124.255'!$F$5</f>
        <v>Rehab of Runway 22 Deck Wearing Course Panel 1A</v>
      </c>
      <c r="F171" s="64">
        <f>+'LGA-124.255'!$F$6</f>
        <v>42815</v>
      </c>
      <c r="G171" s="65" t="str">
        <f>+'LGA-124.255'!$G$7</f>
        <v>PQL</v>
      </c>
      <c r="H171" s="27">
        <f>+'LGA-124.255'!$F$7</f>
        <v>3750000</v>
      </c>
      <c r="I171" s="27">
        <f>+'LGA-124.255'!$F$8</f>
        <v>2468147</v>
      </c>
      <c r="J171" s="27"/>
      <c r="K171" s="26">
        <f>+'LGA-124.255'!$G$9</f>
        <v>-0.34182746666666669</v>
      </c>
      <c r="L171" s="11" t="str">
        <f>+'LGA-124.255'!$F$11</f>
        <v>FAIL</v>
      </c>
      <c r="M171" s="15">
        <f>+'LGA-124.255'!$H$12</f>
        <v>3</v>
      </c>
      <c r="N171" s="35" t="s">
        <v>93</v>
      </c>
      <c r="O171" s="15">
        <v>1</v>
      </c>
      <c r="P171" s="35" t="s">
        <v>458</v>
      </c>
      <c r="Q171" s="35" t="s">
        <v>1283</v>
      </c>
      <c r="R171" s="15"/>
      <c r="S171" s="24"/>
      <c r="T171" s="62" t="str">
        <f>+'LGA-124.255'!$J$4</f>
        <v>Joe Lucin</v>
      </c>
      <c r="U171" s="62"/>
      <c r="V171" s="94">
        <f>+'LGA-124.255'!$F$12</f>
        <v>2703874</v>
      </c>
      <c r="W171" s="165">
        <f t="shared" si="91"/>
        <v>0.91281879259166665</v>
      </c>
      <c r="X171" s="15"/>
      <c r="Y171" s="161">
        <f t="shared" si="92"/>
        <v>0.65817253333333336</v>
      </c>
      <c r="Z171" s="11" t="str">
        <f t="shared" si="78"/>
        <v>FAIL</v>
      </c>
      <c r="AA171" s="11"/>
      <c r="AB171" s="15"/>
      <c r="AC171" s="239">
        <f>VLOOKUP(H171,ECON_ADJUSTMENT!J$2:W$240,12,FALSE)</f>
        <v>4759468.8521999475</v>
      </c>
      <c r="AD171" s="15" t="str">
        <f t="shared" si="83"/>
        <v>FAIL</v>
      </c>
      <c r="AE171" s="15"/>
      <c r="AF171" s="15"/>
      <c r="AG171" s="54">
        <f t="shared" si="93"/>
        <v>3750000</v>
      </c>
      <c r="AH171" s="54">
        <f t="shared" si="94"/>
        <v>2468147</v>
      </c>
      <c r="AI171" s="54">
        <f t="shared" si="95"/>
        <v>1281853</v>
      </c>
    </row>
    <row r="172" spans="2:41" x14ac:dyDescent="0.25">
      <c r="C172" s="39">
        <v>2017</v>
      </c>
      <c r="D172" s="62" t="str">
        <f>+'MFP-072.016'!$F$4</f>
        <v>MFP-072.016</v>
      </c>
      <c r="E172" s="63" t="str">
        <f>+'MFP-072.016'!$F$5</f>
        <v>NY Marine Terminals - Paving and Utilities by Work Order</v>
      </c>
      <c r="F172" s="64">
        <f>+'MFP-072.016'!$F$6</f>
        <v>42810</v>
      </c>
      <c r="G172" s="65" t="str">
        <f>+'MFP-072.016'!$G$7</f>
        <v>MWBE</v>
      </c>
      <c r="H172" s="27">
        <f>+'MFP-072.016'!$F$7</f>
        <v>1425000</v>
      </c>
      <c r="I172" s="27">
        <f>+'MFP-072.016'!$F$8</f>
        <v>1087425</v>
      </c>
      <c r="J172" s="27"/>
      <c r="K172" s="26">
        <f>+'MFP-072.016'!$G$9</f>
        <v>-0.23689473684210527</v>
      </c>
      <c r="L172" s="11" t="str">
        <f>+'MFP-072.016'!$F$11</f>
        <v>GOOD</v>
      </c>
      <c r="M172" s="15">
        <f>+'MFP-072.016'!$H$12</f>
        <v>6</v>
      </c>
      <c r="N172" s="35" t="s">
        <v>93</v>
      </c>
      <c r="O172" s="15">
        <v>1</v>
      </c>
      <c r="P172" s="35" t="s">
        <v>492</v>
      </c>
      <c r="Q172" s="35" t="s">
        <v>1283</v>
      </c>
      <c r="R172" s="15"/>
      <c r="S172" s="24"/>
      <c r="T172" s="62" t="str">
        <f>+'MFP-072.016'!$J$4</f>
        <v>Ed Minall</v>
      </c>
      <c r="U172" s="62"/>
      <c r="V172" s="94">
        <f>+'MFP-072.016'!$F$12</f>
        <v>2085729.3333333333</v>
      </c>
      <c r="W172" s="165">
        <f t="shared" si="91"/>
        <v>0.52136438924321915</v>
      </c>
      <c r="X172" s="15"/>
      <c r="Y172" s="161">
        <f t="shared" si="92"/>
        <v>0.76310526315789473</v>
      </c>
      <c r="Z172" s="11" t="str">
        <f t="shared" si="78"/>
        <v>FAIL</v>
      </c>
      <c r="AA172" s="11"/>
      <c r="AB172" s="15"/>
      <c r="AC172" s="239">
        <f>VLOOKUP(H172,ECON_ADJUSTMENT!J$2:W$240,12,FALSE)</f>
        <v>2736581.5594734349</v>
      </c>
      <c r="AD172" s="15" t="str">
        <f t="shared" si="83"/>
        <v>FAIL</v>
      </c>
      <c r="AE172" s="15"/>
      <c r="AF172" s="15"/>
      <c r="AG172" s="54">
        <f t="shared" si="93"/>
        <v>1425000</v>
      </c>
      <c r="AH172" s="54">
        <f t="shared" si="94"/>
        <v>1087425</v>
      </c>
      <c r="AI172" s="54">
        <f t="shared" si="95"/>
        <v>337575</v>
      </c>
    </row>
    <row r="173" spans="2:41" x14ac:dyDescent="0.25">
      <c r="C173" s="39">
        <v>2017</v>
      </c>
      <c r="D173" s="62" t="str">
        <f>+'GWB-244.263'!$F$4</f>
        <v>GWB-244.263</v>
      </c>
      <c r="E173" s="63" t="str">
        <f>+'GWB-244.263'!$F$5</f>
        <v>Replacement of Automatic Transfer Switches</v>
      </c>
      <c r="F173" s="64">
        <f>+'GWB-244.263'!$F$6</f>
        <v>42789</v>
      </c>
      <c r="G173" s="65" t="str">
        <f>+'GWB-244.263'!$G$7</f>
        <v>MWBE</v>
      </c>
      <c r="H173" s="27">
        <f>+'GWB-244.263'!$F$7</f>
        <v>240000</v>
      </c>
      <c r="I173" s="27">
        <f>+'GWB-244.263'!$F$8</f>
        <v>97300</v>
      </c>
      <c r="J173" s="27"/>
      <c r="K173" s="26">
        <f>+'GWB-244.263'!$G$9</f>
        <v>-0.59458333333333335</v>
      </c>
      <c r="L173" s="11" t="str">
        <f>+'GWB-244.263'!$F$11</f>
        <v>FAIL</v>
      </c>
      <c r="M173" s="15">
        <f>+'GWB-244.263'!$H$12</f>
        <v>6</v>
      </c>
      <c r="N173" s="35" t="s">
        <v>25</v>
      </c>
      <c r="O173" s="15">
        <v>1</v>
      </c>
      <c r="P173" s="35" t="s">
        <v>457</v>
      </c>
      <c r="Q173" s="35" t="s">
        <v>1286</v>
      </c>
      <c r="R173" s="15"/>
      <c r="S173" s="24"/>
      <c r="T173" s="62" t="str">
        <f>+'GWB-244.263'!$J$4</f>
        <v>Reddy Gunda</v>
      </c>
      <c r="U173" s="62"/>
      <c r="V173" s="94">
        <f>+'GWB-244.263'!$F$12</f>
        <v>209936.66666666666</v>
      </c>
      <c r="W173" s="165">
        <f t="shared" si="91"/>
        <v>0.46347311093821947</v>
      </c>
      <c r="X173" s="15"/>
      <c r="Y173" s="161">
        <f t="shared" si="92"/>
        <v>0.40541666666666665</v>
      </c>
      <c r="Z173" s="11" t="str">
        <f t="shared" si="78"/>
        <v>FAIL</v>
      </c>
      <c r="AA173" s="11"/>
      <c r="AB173" s="15"/>
      <c r="AC173" s="239">
        <f>VLOOKUP(H173,ECON_ADJUSTMENT!J$2:W$240,12,FALSE)</f>
        <v>1074194.8735736043</v>
      </c>
      <c r="AD173" s="15" t="str">
        <f t="shared" si="83"/>
        <v>FAIL</v>
      </c>
      <c r="AE173" s="15"/>
      <c r="AF173" s="15"/>
      <c r="AG173" s="54">
        <f t="shared" si="93"/>
        <v>240000</v>
      </c>
      <c r="AH173" s="54">
        <f t="shared" si="94"/>
        <v>97300</v>
      </c>
      <c r="AI173" s="54">
        <f t="shared" si="95"/>
        <v>142700</v>
      </c>
    </row>
    <row r="174" spans="2:41" x14ac:dyDescent="0.25">
      <c r="C174" s="39">
        <v>2017</v>
      </c>
      <c r="D174" s="62" t="str">
        <f>+'GWB-244.048'!$F$4</f>
        <v>GWB-244.048</v>
      </c>
      <c r="E174" s="63" t="str">
        <f>+'GWB-244.048'!$F$5</f>
        <v>Replacement of Suspender Ropes and Rehab of Main Cables &amp; Strands</v>
      </c>
      <c r="F174" s="64">
        <f>+'GWB-244.048'!$F$6</f>
        <v>42789</v>
      </c>
      <c r="G174" s="65" t="str">
        <f>+'GWB-244.048'!$G$7</f>
        <v>PQL</v>
      </c>
      <c r="H174" s="94">
        <f>+'GWB-244.048'!$F$7</f>
        <v>479900000</v>
      </c>
      <c r="I174" s="27">
        <f>+'GWB-244.048'!$F$8</f>
        <v>451841280</v>
      </c>
      <c r="J174" s="27"/>
      <c r="K174" s="26">
        <f>+'GWB-244.048'!$G$9</f>
        <v>-5.8467847468222547E-2</v>
      </c>
      <c r="L174" s="11" t="str">
        <f>+'GWB-244.048'!$F$11</f>
        <v>GOOD</v>
      </c>
      <c r="M174" s="15">
        <f>+'GWB-244.048'!$H$12</f>
        <v>5</v>
      </c>
      <c r="N174" s="35" t="s">
        <v>226</v>
      </c>
      <c r="O174" s="15">
        <v>1</v>
      </c>
      <c r="P174" s="35" t="s">
        <v>457</v>
      </c>
      <c r="Q174" s="35" t="s">
        <v>1282</v>
      </c>
      <c r="R174" s="15"/>
      <c r="S174" s="24"/>
      <c r="T174" s="62" t="str">
        <f>+'GWB-244.048'!$J$4</f>
        <v>Reddy Gunda</v>
      </c>
      <c r="U174" s="62"/>
      <c r="V174" s="94">
        <f>+'GWB-244.048'!$F$12</f>
        <v>521895915.39999998</v>
      </c>
      <c r="W174" s="165">
        <f t="shared" si="91"/>
        <v>0.86576895251937824</v>
      </c>
      <c r="X174" s="15"/>
      <c r="Y174" s="161">
        <f t="shared" si="92"/>
        <v>0.94153215253177747</v>
      </c>
      <c r="Z174" s="11" t="str">
        <f t="shared" si="78"/>
        <v>GOOD</v>
      </c>
      <c r="AA174" s="11"/>
      <c r="AB174" s="15"/>
      <c r="AC174" s="239">
        <f>VLOOKUP(H174,ECON_ADJUSTMENT!J$2:W$240,12,FALSE)</f>
        <v>422254496.21589416</v>
      </c>
      <c r="AD174" s="15" t="str">
        <f t="shared" si="83"/>
        <v>GOOD</v>
      </c>
      <c r="AE174" s="15"/>
      <c r="AF174" s="15"/>
      <c r="AG174" s="54">
        <f t="shared" si="93"/>
        <v>479900000</v>
      </c>
      <c r="AH174" s="54">
        <f t="shared" si="94"/>
        <v>451841280</v>
      </c>
      <c r="AI174" s="54">
        <f t="shared" si="95"/>
        <v>28058720</v>
      </c>
    </row>
    <row r="175" spans="2:41" x14ac:dyDescent="0.25">
      <c r="C175" s="39">
        <v>2017</v>
      </c>
      <c r="D175" s="62" t="str">
        <f>+'LGA-124.250'!$F$4</f>
        <v>LGA-124.250</v>
      </c>
      <c r="E175" s="63" t="str">
        <f>+'LGA-124.250'!$F$5</f>
        <v>Rehab Taxiways B, AA, BB, and Associated Taxiways</v>
      </c>
      <c r="F175" s="64">
        <f>+'LGA-124.250'!$F$6</f>
        <v>42787</v>
      </c>
      <c r="G175" s="65" t="str">
        <f>+'LGA-124.250'!$G$7</f>
        <v>PQL</v>
      </c>
      <c r="H175" s="94">
        <f>+'LGA-124.250'!$F$7</f>
        <v>10393000</v>
      </c>
      <c r="I175" s="27">
        <f>+'LGA-124.250'!$F$8</f>
        <v>7903950</v>
      </c>
      <c r="J175" s="27"/>
      <c r="K175" s="26">
        <f>+'LGA-124.250'!$G$9</f>
        <v>-0.2394929279322621</v>
      </c>
      <c r="L175" s="11" t="str">
        <f>+'LGA-124.250'!$F$11</f>
        <v>FAIL</v>
      </c>
      <c r="M175" s="15">
        <f>+'LGA-124.250'!$H$12</f>
        <v>3</v>
      </c>
      <c r="N175" s="35" t="s">
        <v>93</v>
      </c>
      <c r="O175" s="15">
        <v>1</v>
      </c>
      <c r="P175" s="35" t="s">
        <v>458</v>
      </c>
      <c r="Q175" s="35" t="s">
        <v>1283</v>
      </c>
      <c r="R175" s="15"/>
      <c r="S175" s="24" t="s">
        <v>932</v>
      </c>
      <c r="T175" s="62" t="str">
        <f>+'LGA-124.250'!$J$4</f>
        <v>Joe Lucin</v>
      </c>
      <c r="U175" s="62"/>
      <c r="V175" s="94">
        <f>+'LGA-124.250'!$F$12</f>
        <v>8914650</v>
      </c>
      <c r="W175" s="165">
        <f t="shared" si="91"/>
        <v>0.88662482542780707</v>
      </c>
      <c r="X175" s="15"/>
      <c r="Y175" s="161">
        <f t="shared" si="92"/>
        <v>0.76050707206773793</v>
      </c>
      <c r="Z175" s="11" t="str">
        <f t="shared" si="78"/>
        <v>FAIL</v>
      </c>
      <c r="AA175" s="11"/>
      <c r="AB175" s="15"/>
      <c r="AC175" s="239">
        <f>VLOOKUP(H175,ECON_ADJUSTMENT!J$2:W$240,12,FALSE)</f>
        <v>11373420.976403998</v>
      </c>
      <c r="AD175" s="15" t="str">
        <f t="shared" si="83"/>
        <v>FAIL</v>
      </c>
      <c r="AE175" s="15"/>
      <c r="AF175" s="15"/>
      <c r="AG175" s="54">
        <f t="shared" si="93"/>
        <v>10393000</v>
      </c>
      <c r="AH175" s="54">
        <f t="shared" si="94"/>
        <v>7903950</v>
      </c>
      <c r="AI175" s="54">
        <f t="shared" si="95"/>
        <v>2489050</v>
      </c>
    </row>
    <row r="176" spans="2:41" x14ac:dyDescent="0.25">
      <c r="C176" s="39">
        <v>2017</v>
      </c>
      <c r="D176" s="62" t="str">
        <f>+'TEB-144.045'!$F$4</f>
        <v>TEB-144.045</v>
      </c>
      <c r="E176" s="63" t="str">
        <f>+'TEB-144.045'!$F$5</f>
        <v>Storm Drainage System Rehab Phase 1</v>
      </c>
      <c r="F176" s="64">
        <f>+'TEB-144.045'!$F$6</f>
        <v>42780</v>
      </c>
      <c r="G176" s="65" t="str">
        <f>+'TEB-144.045'!$G$7</f>
        <v>Public</v>
      </c>
      <c r="H176" s="94">
        <f>+'TEB-144.045'!$F$7</f>
        <v>2580000</v>
      </c>
      <c r="I176" s="27">
        <f>+'TEB-144.045'!$F$8</f>
        <v>1386000</v>
      </c>
      <c r="J176" s="27">
        <v>1707400</v>
      </c>
      <c r="K176" s="26">
        <f>+'TEB-144.045'!$G$9</f>
        <v>-0.46279069767441861</v>
      </c>
      <c r="L176" s="11" t="str">
        <f>+'TEB-144.045'!$F$11</f>
        <v>GOOD</v>
      </c>
      <c r="M176" s="15">
        <f>+'TEB-144.045'!$H$12</f>
        <v>16</v>
      </c>
      <c r="N176" s="35" t="s">
        <v>25</v>
      </c>
      <c r="O176" s="15">
        <v>1</v>
      </c>
      <c r="P176" s="35" t="s">
        <v>458</v>
      </c>
      <c r="Q176" s="35" t="s">
        <v>1283</v>
      </c>
      <c r="R176" s="15"/>
      <c r="S176" s="24" t="s">
        <v>1020</v>
      </c>
      <c r="T176" s="62" t="str">
        <f>+'EWR-924.375'!$J$4</f>
        <v>Henry Yu</v>
      </c>
      <c r="U176" s="62"/>
      <c r="V176" s="94">
        <f>+'TEB-144.045'!$F$12</f>
        <v>2364957.25</v>
      </c>
      <c r="W176" s="165">
        <f t="shared" si="91"/>
        <v>0.58605710526057075</v>
      </c>
      <c r="X176" s="15"/>
      <c r="Y176" s="161">
        <f t="shared" si="92"/>
        <v>0.53720930232558139</v>
      </c>
      <c r="Z176" s="11" t="str">
        <f t="shared" si="78"/>
        <v>FAIL</v>
      </c>
      <c r="AA176" s="11"/>
      <c r="AB176" s="15"/>
      <c r="AC176" s="239">
        <f>VLOOKUP(H176,ECON_ADJUSTMENT!J$2:W$240,12,FALSE)</f>
        <v>1821782.0091171479</v>
      </c>
      <c r="AD176" s="15" t="str">
        <f t="shared" si="83"/>
        <v>GOOD</v>
      </c>
      <c r="AE176" s="15"/>
      <c r="AF176" s="15"/>
      <c r="AG176" s="54">
        <f t="shared" si="93"/>
        <v>2580000</v>
      </c>
      <c r="AH176" s="54">
        <f t="shared" si="94"/>
        <v>1386000</v>
      </c>
      <c r="AI176" s="54">
        <f t="shared" si="95"/>
        <v>1194000</v>
      </c>
    </row>
    <row r="177" spans="2:43" x14ac:dyDescent="0.25">
      <c r="C177" s="39">
        <v>2017</v>
      </c>
      <c r="D177" s="62" t="str">
        <f>+'EWR-924.375'!$F$4</f>
        <v>EWR-924.375</v>
      </c>
      <c r="E177" s="63" t="str">
        <f>+'EWR-924.375'!$F$5</f>
        <v>Peripheral Ditch Containment Boom Anchor Walls</v>
      </c>
      <c r="F177" s="64">
        <f>+'EWR-924.375'!$F$6</f>
        <v>42774</v>
      </c>
      <c r="G177" s="65" t="str">
        <f>+'EWR-924.375'!$G$7</f>
        <v>Public</v>
      </c>
      <c r="H177" s="94">
        <f>+'EWR-924.375'!$F$7</f>
        <v>970000</v>
      </c>
      <c r="I177" s="27">
        <f>+'EWR-924.375'!$F$8</f>
        <v>756482</v>
      </c>
      <c r="J177" s="27"/>
      <c r="K177" s="26">
        <f>+'EWR-924.375'!$G$9</f>
        <v>-0.22012164948453608</v>
      </c>
      <c r="L177" s="11" t="str">
        <f>+'EWR-924.375'!$F$11</f>
        <v>GOOD</v>
      </c>
      <c r="M177" s="15">
        <f>+'EWR-924.375'!$H$12</f>
        <v>9</v>
      </c>
      <c r="N177" s="35" t="s">
        <v>25</v>
      </c>
      <c r="O177" s="15">
        <v>1</v>
      </c>
      <c r="P177" s="35" t="s">
        <v>458</v>
      </c>
      <c r="Q177" s="35" t="s">
        <v>1282</v>
      </c>
      <c r="R177" s="15"/>
      <c r="S177" s="24"/>
      <c r="T177" s="62" t="str">
        <f>+'EWR-924.375'!$J$4</f>
        <v>Henry Yu</v>
      </c>
      <c r="U177" s="62"/>
      <c r="V177" s="94">
        <f>+'EWR-924.375'!$F$12</f>
        <v>967156.77777777775</v>
      </c>
      <c r="W177" s="165">
        <f t="shared" si="91"/>
        <v>0.78217101651105403</v>
      </c>
      <c r="X177" s="15"/>
      <c r="Y177" s="161">
        <f t="shared" si="92"/>
        <v>0.77987835051546395</v>
      </c>
      <c r="Z177" s="11" t="str">
        <f t="shared" si="78"/>
        <v>FAIL</v>
      </c>
      <c r="AA177" s="11"/>
      <c r="AB177" s="15"/>
      <c r="AC177" s="239">
        <f>VLOOKUP(H177,ECON_ADJUSTMENT!J$2:W$240,12,FALSE)</f>
        <v>-210379.77330258291</v>
      </c>
      <c r="AD177" s="15" t="str">
        <f t="shared" si="83"/>
        <v>FAIL</v>
      </c>
      <c r="AE177" s="15"/>
      <c r="AF177" s="15"/>
      <c r="AG177" s="54">
        <f t="shared" si="93"/>
        <v>970000</v>
      </c>
      <c r="AH177" s="54">
        <f t="shared" si="94"/>
        <v>756482</v>
      </c>
      <c r="AI177" s="54">
        <f t="shared" si="95"/>
        <v>213518</v>
      </c>
    </row>
    <row r="178" spans="2:43" x14ac:dyDescent="0.25">
      <c r="C178" s="39">
        <v>2017</v>
      </c>
      <c r="D178" s="62" t="str">
        <f>+'GWB-924.170'!$F$4</f>
        <v>GWB-924.170</v>
      </c>
      <c r="E178" s="63" t="str">
        <f>+'GWB-924.170'!$F$5</f>
        <v>Maintenance Pavement Repairs via Work Order</v>
      </c>
      <c r="F178" s="64">
        <f>+'GWB-924.170'!$F$6</f>
        <v>42773</v>
      </c>
      <c r="G178" s="65" t="str">
        <f>+'GWB-924.170'!$G$7</f>
        <v>PQL</v>
      </c>
      <c r="H178" s="94">
        <f>+'GWB-924.170'!$F$7</f>
        <v>1965000</v>
      </c>
      <c r="I178" s="27">
        <f>+'GWB-924.170'!$F$8</f>
        <v>1450000</v>
      </c>
      <c r="J178" s="27"/>
      <c r="K178" s="26">
        <f>+'GWB-924.170'!$G$9</f>
        <v>-0.26208651399491095</v>
      </c>
      <c r="L178" s="11" t="str">
        <f>+'GWB-924.170'!$F$11</f>
        <v>GOOD</v>
      </c>
      <c r="M178" s="15">
        <f>+'GWB-924.170'!$H$12</f>
        <v>6</v>
      </c>
      <c r="N178" s="35" t="s">
        <v>226</v>
      </c>
      <c r="O178" s="15">
        <v>1</v>
      </c>
      <c r="P178" s="35" t="s">
        <v>457</v>
      </c>
      <c r="Q178" s="35" t="s">
        <v>1283</v>
      </c>
      <c r="R178" s="15"/>
      <c r="S178" s="24" t="s">
        <v>900</v>
      </c>
      <c r="T178" s="62" t="str">
        <f>+'GWB-924.170'!$J$4</f>
        <v>Reddy Gunda</v>
      </c>
      <c r="U178" s="62"/>
      <c r="V178" s="94">
        <f>+'GWB-924.170'!$F$12</f>
        <v>2564821.6666666665</v>
      </c>
      <c r="W178" s="165">
        <f t="shared" si="91"/>
        <v>0.56534144999035019</v>
      </c>
      <c r="X178" s="15"/>
      <c r="Y178" s="161">
        <f t="shared" si="92"/>
        <v>0.7379134860050891</v>
      </c>
      <c r="Z178" s="11" t="str">
        <f t="shared" si="78"/>
        <v>FAIL</v>
      </c>
      <c r="AA178" s="11"/>
      <c r="AB178" s="15"/>
      <c r="AC178" s="239">
        <f>VLOOKUP(H178,ECON_ADJUSTMENT!J$2:W$240,12,FALSE)</f>
        <v>3206413.4468163671</v>
      </c>
      <c r="AD178" s="15" t="str">
        <f t="shared" si="83"/>
        <v>FAIL</v>
      </c>
      <c r="AE178" s="15"/>
      <c r="AF178" s="15"/>
      <c r="AG178" s="54">
        <f t="shared" si="93"/>
        <v>1965000</v>
      </c>
      <c r="AH178" s="54">
        <f t="shared" si="94"/>
        <v>1450000</v>
      </c>
      <c r="AI178" s="54">
        <f t="shared" si="95"/>
        <v>515000</v>
      </c>
    </row>
    <row r="179" spans="2:43" x14ac:dyDescent="0.25">
      <c r="C179" s="39">
        <v>2017</v>
      </c>
      <c r="D179" s="62" t="str">
        <f>+'JFK-124.009'!$F$4</f>
        <v>JFK-124.009</v>
      </c>
      <c r="E179" s="63" t="str">
        <f>+'JFK-124.009'!$F$5</f>
        <v>Bldg 14 Roof Replacement, East Wing</v>
      </c>
      <c r="F179" s="64">
        <f>+'JFK-124.009'!$F$6</f>
        <v>42768</v>
      </c>
      <c r="G179" s="65" t="str">
        <f>+'JFK-124.009'!$G$7</f>
        <v>Public</v>
      </c>
      <c r="H179" s="94">
        <f>+'JFK-124.009'!$F$7</f>
        <v>4800000</v>
      </c>
      <c r="I179" s="27">
        <f>+'JFK-124.009'!$F$8</f>
        <v>3901193</v>
      </c>
      <c r="J179" s="27">
        <v>3901193</v>
      </c>
      <c r="K179" s="26">
        <f>+'JFK-124.009'!$G$9</f>
        <v>-0.18725145833333334</v>
      </c>
      <c r="L179" s="11" t="str">
        <f>+'JFK-124.009'!$F$11</f>
        <v>GOOD</v>
      </c>
      <c r="M179" s="15">
        <f>+'JFK-124.009'!$H$12</f>
        <v>14</v>
      </c>
      <c r="N179" s="35" t="s">
        <v>93</v>
      </c>
      <c r="O179" s="15">
        <v>1</v>
      </c>
      <c r="P179" s="35" t="s">
        <v>458</v>
      </c>
      <c r="Q179" s="35" t="s">
        <v>1284</v>
      </c>
      <c r="R179" s="15"/>
      <c r="S179" s="24"/>
      <c r="T179" s="62" t="str">
        <f>+'JFK-124.009'!$J$4</f>
        <v>Henry Yu</v>
      </c>
      <c r="U179" s="62"/>
      <c r="V179" s="94">
        <f>+'JFK-124.009'!$F$12</f>
        <v>5044696</v>
      </c>
      <c r="W179" s="165">
        <f t="shared" si="91"/>
        <v>0.77332568701860327</v>
      </c>
      <c r="X179" s="15"/>
      <c r="Y179" s="161">
        <f t="shared" si="92"/>
        <v>0.81274854166666666</v>
      </c>
      <c r="Z179" s="11" t="str">
        <f t="shared" si="78"/>
        <v>FAIL</v>
      </c>
      <c r="AA179" s="11"/>
      <c r="AB179" s="15"/>
      <c r="AC179" s="239">
        <f>VLOOKUP(H179,ECON_ADJUSTMENT!J$2:W$240,12,FALSE)</f>
        <v>4494896.6528627826</v>
      </c>
      <c r="AD179" s="15" t="str">
        <f t="shared" si="83"/>
        <v>GOOD</v>
      </c>
      <c r="AE179" s="15"/>
      <c r="AF179" s="15"/>
      <c r="AG179" s="54">
        <f t="shared" si="93"/>
        <v>4800000</v>
      </c>
      <c r="AH179" s="54">
        <f t="shared" si="94"/>
        <v>3901193</v>
      </c>
      <c r="AI179" s="54">
        <f t="shared" si="95"/>
        <v>898807</v>
      </c>
    </row>
    <row r="180" spans="2:43" x14ac:dyDescent="0.25">
      <c r="C180" s="39">
        <v>2017</v>
      </c>
      <c r="D180" s="62" t="str">
        <f>+'MFP-924.645 Void'!$F$4</f>
        <v>MFP-924.645</v>
      </c>
      <c r="E180" s="63" t="str">
        <f>+'MFP-924.645 Void'!$F$5</f>
        <v>NJ Paving and Utility Rehab by Work Order</v>
      </c>
      <c r="F180" s="64">
        <f>+'MFP-924.645 Void'!$F$6</f>
        <v>42766</v>
      </c>
      <c r="G180" s="65"/>
      <c r="H180" s="94"/>
      <c r="I180" s="27"/>
      <c r="J180" s="27"/>
      <c r="K180" s="26"/>
      <c r="L180" s="11"/>
      <c r="M180" s="15"/>
      <c r="N180" s="35"/>
      <c r="O180" s="15"/>
      <c r="P180" s="35"/>
      <c r="Q180" s="35" t="s">
        <v>1283</v>
      </c>
      <c r="R180" s="15"/>
      <c r="S180" s="24" t="s">
        <v>472</v>
      </c>
      <c r="T180" s="62" t="str">
        <f>+'MFP-924.645 Void'!$J$4</f>
        <v>Ed Minall</v>
      </c>
      <c r="U180" s="62"/>
      <c r="V180" s="94"/>
      <c r="W180" s="165"/>
      <c r="X180" s="15"/>
      <c r="Y180" s="161"/>
      <c r="Z180" s="11"/>
      <c r="AA180" s="11"/>
      <c r="AB180" s="15"/>
      <c r="AC180" s="239"/>
      <c r="AD180" s="15"/>
      <c r="AE180" s="15"/>
      <c r="AF180" s="15"/>
      <c r="AG180" s="54">
        <f t="shared" si="93"/>
        <v>0</v>
      </c>
      <c r="AH180" s="54">
        <f t="shared" si="94"/>
        <v>0</v>
      </c>
      <c r="AI180" s="54">
        <f t="shared" si="95"/>
        <v>0</v>
      </c>
    </row>
    <row r="181" spans="2:43" x14ac:dyDescent="0.25">
      <c r="C181" s="39">
        <v>2017</v>
      </c>
      <c r="D181" s="62" t="str">
        <f>+'JFK-154.022'!$F$4</f>
        <v>JFK-154.022</v>
      </c>
      <c r="E181" s="63" t="str">
        <f>+'JFK-154.022'!$F$5</f>
        <v>Vehicle Gates Security Upgrade</v>
      </c>
      <c r="F181" s="64">
        <f>+'JFK-154.022'!$F$6</f>
        <v>42765</v>
      </c>
      <c r="G181" s="65" t="str">
        <f>+'JFK-154.022'!$G$7</f>
        <v>VVP</v>
      </c>
      <c r="H181" s="94">
        <f>+'JFK-154.022'!$F$7</f>
        <v>6500000</v>
      </c>
      <c r="I181" s="27">
        <f>+'JFK-154.022'!$F$8</f>
        <v>5987000</v>
      </c>
      <c r="J181" s="27"/>
      <c r="K181" s="26">
        <f>+'JFK-154.022'!$G$9</f>
        <v>-7.8923076923076929E-2</v>
      </c>
      <c r="L181" s="11" t="str">
        <f>+'JFK-154.022'!$F$11</f>
        <v>GOOD</v>
      </c>
      <c r="M181" s="15">
        <f>+'JFK-154.022'!$H$12</f>
        <v>5</v>
      </c>
      <c r="N181" s="35" t="s">
        <v>93</v>
      </c>
      <c r="O181" s="15">
        <v>1</v>
      </c>
      <c r="P181" s="35" t="s">
        <v>458</v>
      </c>
      <c r="Q181" s="35" t="s">
        <v>1283</v>
      </c>
      <c r="R181" s="15"/>
      <c r="S181" s="24"/>
      <c r="T181" s="62" t="str">
        <f>+'JFK-154.022'!$J$4</f>
        <v>Nathan Demaisip</v>
      </c>
      <c r="U181" s="62"/>
      <c r="V181" s="94">
        <f>+'JFK-154.022'!$F$12</f>
        <v>7176261</v>
      </c>
      <c r="W181" s="165">
        <f t="shared" si="91"/>
        <v>0.83427846339479572</v>
      </c>
      <c r="X181" s="15"/>
      <c r="Y181" s="161">
        <f t="shared" si="92"/>
        <v>0.92107692307692313</v>
      </c>
      <c r="Z181" s="11" t="str">
        <f t="shared" si="78"/>
        <v>GOOD</v>
      </c>
      <c r="AA181" s="11"/>
      <c r="AB181" s="15"/>
      <c r="AC181" s="239">
        <f>VLOOKUP(H181,ECON_ADJUSTMENT!J$2:W$240,12,FALSE)</f>
        <v>6066563.3384419344</v>
      </c>
      <c r="AD181" s="15" t="str">
        <f t="shared" si="83"/>
        <v>GOOD</v>
      </c>
      <c r="AE181" s="15"/>
      <c r="AF181" s="15"/>
      <c r="AG181" s="54">
        <f t="shared" si="93"/>
        <v>6500000</v>
      </c>
      <c r="AH181" s="54">
        <f t="shared" si="94"/>
        <v>5987000</v>
      </c>
      <c r="AI181" s="54">
        <f t="shared" si="95"/>
        <v>513000</v>
      </c>
    </row>
    <row r="182" spans="2:43" x14ac:dyDescent="0.25">
      <c r="C182" s="39">
        <v>2017</v>
      </c>
      <c r="D182" s="62" t="str">
        <f>+'LGA-103.015'!$F$4</f>
        <v>LGA-103.015</v>
      </c>
      <c r="E182" s="63" t="str">
        <f>+'LGA-103.015'!$F$5</f>
        <v>Pump House 6 Substation</v>
      </c>
      <c r="F182" s="64">
        <f>+'LGA-103.015'!$F$6</f>
        <v>42761</v>
      </c>
      <c r="G182" s="65" t="str">
        <f>+'LGA-103.015'!$G$7</f>
        <v>Public</v>
      </c>
      <c r="H182" s="94">
        <f>+'LGA-103.015'!$F$7</f>
        <v>5100000</v>
      </c>
      <c r="I182" s="27">
        <f>+'LGA-103.015'!$F$8</f>
        <v>4640176</v>
      </c>
      <c r="J182" s="27"/>
      <c r="K182" s="26">
        <f>+'LGA-103.015'!$G$9</f>
        <v>-9.0161568627450978E-2</v>
      </c>
      <c r="L182" s="11" t="str">
        <f>+'LGA-103.015'!$F$11</f>
        <v>GOOD</v>
      </c>
      <c r="M182" s="15">
        <f>+'LGA-103.015'!$H$12</f>
        <v>7</v>
      </c>
      <c r="N182" s="35" t="s">
        <v>93</v>
      </c>
      <c r="O182" s="15">
        <v>1</v>
      </c>
      <c r="P182" s="35" t="s">
        <v>458</v>
      </c>
      <c r="Q182" s="35" t="s">
        <v>1286</v>
      </c>
      <c r="R182" s="15"/>
      <c r="S182" s="24"/>
      <c r="T182" s="62" t="str">
        <f>+'LGA-103.015'!$J$4</f>
        <v>Joe Lucin</v>
      </c>
      <c r="U182" s="62"/>
      <c r="V182" s="94">
        <f>+'LGA-103.015'!$F$12</f>
        <v>5666320.8571428573</v>
      </c>
      <c r="W182" s="165">
        <f t="shared" si="91"/>
        <v>0.81890456205823248</v>
      </c>
      <c r="X182" s="15"/>
      <c r="Y182" s="161">
        <f t="shared" si="92"/>
        <v>0.90983843137254905</v>
      </c>
      <c r="Z182" s="11" t="str">
        <f t="shared" ref="Z182:Z245" si="96">(IF(Y182&lt;$Y$3,"FAIL",IF(Y182&gt;$Y$4,"FAIL","GOOD")))</f>
        <v>GOOD</v>
      </c>
      <c r="AA182" s="11"/>
      <c r="AB182" s="15"/>
      <c r="AC182" s="239">
        <f>VLOOKUP(H182,ECON_ADJUSTMENT!J$2:W$240,12,FALSE)</f>
        <v>4848480.6675528502</v>
      </c>
      <c r="AD182" s="15" t="str">
        <f t="shared" si="83"/>
        <v>GOOD</v>
      </c>
      <c r="AE182" s="15"/>
      <c r="AF182" s="15"/>
      <c r="AG182" s="54">
        <f t="shared" si="93"/>
        <v>5100000</v>
      </c>
      <c r="AH182" s="54">
        <f t="shared" si="94"/>
        <v>4640176</v>
      </c>
      <c r="AI182" s="54">
        <f t="shared" si="95"/>
        <v>459824</v>
      </c>
    </row>
    <row r="183" spans="2:43" x14ac:dyDescent="0.25">
      <c r="C183" s="39">
        <v>2017</v>
      </c>
      <c r="D183" s="62" t="str">
        <f>+'EWR-154.392'!$F$4</f>
        <v>EWR-154.392</v>
      </c>
      <c r="E183" s="63" t="str">
        <f>+'EWR-154.392'!$F$5</f>
        <v xml:space="preserve">Terminal A Redev - Bridges N57, N58, N59 and Utilities </v>
      </c>
      <c r="F183" s="64">
        <f>+'EWR-154.392'!$F$6</f>
        <v>42759</v>
      </c>
      <c r="G183" s="65" t="str">
        <f>+'EWR-154.392'!$G$7</f>
        <v>PQL</v>
      </c>
      <c r="H183" s="94">
        <f>+'EWR-154.392'!$F$7</f>
        <v>69800000</v>
      </c>
      <c r="I183" s="27">
        <f>+'EWR-154.392'!$F$8</f>
        <v>67107000</v>
      </c>
      <c r="J183" s="27"/>
      <c r="K183" s="26">
        <f>+'EWR-154.392'!$G$9</f>
        <v>-3.8581661891117482E-2</v>
      </c>
      <c r="L183" s="11" t="str">
        <f>+'EWR-154.392'!$F$11</f>
        <v>GOOD</v>
      </c>
      <c r="M183" s="15">
        <f>+'EWR-154.392'!$H$12</f>
        <v>9</v>
      </c>
      <c r="N183" s="35" t="s">
        <v>25</v>
      </c>
      <c r="O183" s="15">
        <v>1</v>
      </c>
      <c r="P183" s="35" t="s">
        <v>458</v>
      </c>
      <c r="Q183" s="35" t="s">
        <v>1283</v>
      </c>
      <c r="R183" s="15"/>
      <c r="S183" s="24"/>
      <c r="T183" s="62" t="str">
        <f>+'EWR-154.392'!$J$4</f>
        <v>Henry Yu</v>
      </c>
      <c r="U183" s="62"/>
      <c r="V183" s="94">
        <f>+'EWR-154.392'!$F$12</f>
        <v>74580198.444444448</v>
      </c>
      <c r="W183" s="165">
        <f t="shared" si="91"/>
        <v>0.89979647949031261</v>
      </c>
      <c r="X183" s="15"/>
      <c r="Y183" s="161">
        <f t="shared" si="92"/>
        <v>0.96141833810888255</v>
      </c>
      <c r="Z183" s="11" t="str">
        <f t="shared" si="96"/>
        <v>GOOD</v>
      </c>
      <c r="AA183" s="11"/>
      <c r="AB183" s="15"/>
      <c r="AC183" s="239">
        <f>VLOOKUP(H183,ECON_ADJUSTMENT!J$2:W$240,12,FALSE)</f>
        <v>65443279.550456516</v>
      </c>
      <c r="AD183" s="15" t="str">
        <f t="shared" si="83"/>
        <v>GOOD</v>
      </c>
      <c r="AE183" s="15"/>
      <c r="AF183" s="15"/>
      <c r="AG183" s="54">
        <f t="shared" si="93"/>
        <v>69800000</v>
      </c>
      <c r="AH183" s="54">
        <f t="shared" si="94"/>
        <v>67107000</v>
      </c>
      <c r="AI183" s="54">
        <f t="shared" si="95"/>
        <v>2693000</v>
      </c>
    </row>
    <row r="184" spans="2:43" x14ac:dyDescent="0.25">
      <c r="C184" s="39">
        <v>2017</v>
      </c>
      <c r="D184" s="62" t="str">
        <f>+'HT-924.089'!$F$4</f>
        <v>HT-924.089</v>
      </c>
      <c r="E184" s="63" t="str">
        <f>+'HT-924.089'!$F$5</f>
        <v>NJ Service Building 1 and 2 Priority Repairs</v>
      </c>
      <c r="F184" s="64">
        <f>+'HT-924.089'!$F$6</f>
        <v>42753</v>
      </c>
      <c r="G184" s="65" t="str">
        <f>+'HT-924.089'!$G$7</f>
        <v>MWBE</v>
      </c>
      <c r="H184" s="94">
        <f>+'HT-924.089'!$F$7</f>
        <v>1410000</v>
      </c>
      <c r="I184" s="27">
        <f>+'HT-924.089'!$F$8</f>
        <v>1399756</v>
      </c>
      <c r="J184" s="27"/>
      <c r="K184" s="26">
        <f>+'HT-924.089'!$G$9</f>
        <v>-7.2652482269503545E-3</v>
      </c>
      <c r="L184" s="11" t="str">
        <f>+'HT-924.089'!$F$11</f>
        <v>GOOD</v>
      </c>
      <c r="M184" s="15">
        <f>+'HT-924.089'!$H$12</f>
        <v>3</v>
      </c>
      <c r="N184" s="35" t="s">
        <v>25</v>
      </c>
      <c r="O184" s="15">
        <v>1</v>
      </c>
      <c r="P184" s="35" t="s">
        <v>457</v>
      </c>
      <c r="Q184" s="35" t="s">
        <v>1284</v>
      </c>
      <c r="R184" s="15"/>
      <c r="S184" s="24"/>
      <c r="T184" s="62" t="str">
        <f>+'HT-924.089'!$J$4</f>
        <v>Reddy Gunda</v>
      </c>
      <c r="U184" s="62"/>
      <c r="V184" s="94">
        <f>+'HT-924.089'!$F$12</f>
        <v>2214692</v>
      </c>
      <c r="W184" s="165">
        <f t="shared" si="91"/>
        <v>0.63203190330754799</v>
      </c>
      <c r="X184" s="15"/>
      <c r="Y184" s="161">
        <f t="shared" si="92"/>
        <v>0.9927347517730496</v>
      </c>
      <c r="Z184" s="11" t="str">
        <f t="shared" si="96"/>
        <v>GOOD</v>
      </c>
      <c r="AA184" s="11"/>
      <c r="AB184" s="15"/>
      <c r="AC184" s="239">
        <f>VLOOKUP(H184,ECON_ADJUSTMENT!J$2:W$240,12,FALSE)</f>
        <v>2723530.6737139095</v>
      </c>
      <c r="AD184" s="15" t="str">
        <f t="shared" si="83"/>
        <v>FAIL</v>
      </c>
      <c r="AE184" s="15"/>
      <c r="AF184" s="15"/>
      <c r="AG184" s="54">
        <f t="shared" si="93"/>
        <v>1410000</v>
      </c>
      <c r="AH184" s="54">
        <f t="shared" si="94"/>
        <v>1399756</v>
      </c>
      <c r="AI184" s="54">
        <f t="shared" si="95"/>
        <v>10244</v>
      </c>
    </row>
    <row r="185" spans="2:43" x14ac:dyDescent="0.25">
      <c r="C185" s="39">
        <v>2017</v>
      </c>
      <c r="D185" s="62" t="str">
        <f>+'MFP-924.644'!$F$4</f>
        <v>MFP-924.644</v>
      </c>
      <c r="E185" s="63" t="str">
        <f>+'MFP-924.644'!$F$5</f>
        <v>NJ Marine Terminals Railroad Rehab via Work Order</v>
      </c>
      <c r="F185" s="64">
        <f>+'MFP-924.644'!$F$6</f>
        <v>42752</v>
      </c>
      <c r="G185" s="65" t="str">
        <f>+'MFP-924.644'!$G$7</f>
        <v>Public</v>
      </c>
      <c r="H185" s="94">
        <f>+'MFP-924.644'!$F$7</f>
        <v>4200000</v>
      </c>
      <c r="I185" s="27">
        <f>+'MFP-924.644'!$F$8</f>
        <v>3987114</v>
      </c>
      <c r="J185" s="27"/>
      <c r="K185" s="26">
        <f>+'MFP-924.644'!$G$9</f>
        <v>-5.0687142857142854E-2</v>
      </c>
      <c r="L185" s="11" t="str">
        <f>+'MFP-924.644'!$F$11</f>
        <v>GOOD</v>
      </c>
      <c r="M185" s="15">
        <f>+'MFP-924.644'!$H$12</f>
        <v>3</v>
      </c>
      <c r="N185" s="35" t="s">
        <v>25</v>
      </c>
      <c r="O185" s="15">
        <v>1</v>
      </c>
      <c r="P185" s="35" t="s">
        <v>492</v>
      </c>
      <c r="Q185" s="35" t="s">
        <v>1283</v>
      </c>
      <c r="R185" s="15"/>
      <c r="S185" s="24"/>
      <c r="T185" s="62" t="str">
        <f>+'MFP-924.644'!$J$4</f>
        <v>Ed Minall</v>
      </c>
      <c r="U185" s="62"/>
      <c r="V185" s="94">
        <f>+'MFP-924.644'!$F$12</f>
        <v>4163509.6666666665</v>
      </c>
      <c r="W185" s="165">
        <f t="shared" si="91"/>
        <v>0.95763293932546811</v>
      </c>
      <c r="X185" s="15"/>
      <c r="Y185" s="161">
        <f t="shared" si="92"/>
        <v>0.94931285714285718</v>
      </c>
      <c r="Z185" s="11" t="str">
        <f t="shared" si="96"/>
        <v>GOOD</v>
      </c>
      <c r="AA185" s="11"/>
      <c r="AB185" s="15"/>
      <c r="AC185" s="239">
        <f>VLOOKUP(H185,ECON_ADJUSTMENT!J$2:W$240,12,FALSE)</f>
        <v>3972861.2224817472</v>
      </c>
      <c r="AD185" s="15" t="str">
        <f t="shared" si="83"/>
        <v>GOOD</v>
      </c>
      <c r="AE185" s="15"/>
      <c r="AF185" s="15"/>
      <c r="AG185" s="54">
        <f t="shared" si="93"/>
        <v>4200000</v>
      </c>
      <c r="AH185" s="54">
        <f t="shared" si="94"/>
        <v>3987114</v>
      </c>
      <c r="AI185" s="54">
        <f t="shared" si="95"/>
        <v>212886</v>
      </c>
    </row>
    <row r="186" spans="2:43" x14ac:dyDescent="0.25">
      <c r="C186" s="39">
        <v>2017</v>
      </c>
      <c r="D186" s="62" t="str">
        <f>+'JFK-1067'!$F$4</f>
        <v>JFK-1067</v>
      </c>
      <c r="E186" s="63" t="str">
        <f>+'JFK-1067'!$F$5</f>
        <v>Asphalt Pavement Repairs via Work Order</v>
      </c>
      <c r="F186" s="64">
        <f>+'JFK-1067'!$F$6</f>
        <v>42746</v>
      </c>
      <c r="G186" s="65" t="str">
        <f>+'JFK-1067'!$G$7</f>
        <v>PQL</v>
      </c>
      <c r="H186" s="94">
        <f>+'JFK-1067'!$F$7</f>
        <v>12071025</v>
      </c>
      <c r="I186" s="27">
        <f>+'JFK-1067'!$F$8</f>
        <v>9977777</v>
      </c>
      <c r="J186" s="27"/>
      <c r="K186" s="26">
        <f>+'JFK-1067'!$G$9</f>
        <v>-0.17341095723022693</v>
      </c>
      <c r="L186" s="11" t="str">
        <f>+'JFK-1067'!$F$11</f>
        <v>FAIL</v>
      </c>
      <c r="M186" s="15">
        <f>+'JFK-1067'!$H$12</f>
        <v>3</v>
      </c>
      <c r="N186" s="35" t="s">
        <v>93</v>
      </c>
      <c r="O186" s="15">
        <v>1</v>
      </c>
      <c r="P186" s="35" t="s">
        <v>458</v>
      </c>
      <c r="Q186" s="35" t="s">
        <v>1283</v>
      </c>
      <c r="R186" s="15"/>
      <c r="S186" s="24"/>
      <c r="T186" s="62" t="str">
        <f>+'JFK-1067'!$J$4</f>
        <v>Henry Yu</v>
      </c>
      <c r="U186" s="62"/>
      <c r="V186" s="94">
        <f>+'JFK-1067'!$F$12</f>
        <v>10361867</v>
      </c>
      <c r="W186" s="165">
        <f t="shared" si="91"/>
        <v>0.96293235572315294</v>
      </c>
      <c r="X186" s="15"/>
      <c r="Y186" s="161">
        <f t="shared" si="92"/>
        <v>0.82658904276977307</v>
      </c>
      <c r="Z186" s="11" t="str">
        <f t="shared" si="96"/>
        <v>FAIL</v>
      </c>
      <c r="AA186" s="11"/>
      <c r="AB186" s="15"/>
      <c r="AC186" s="239">
        <f>VLOOKUP(H186,ECON_ADJUSTMENT!J$2:W$240,12,FALSE)</f>
        <v>12833401.814845894</v>
      </c>
      <c r="AD186" s="15" t="str">
        <f t="shared" si="83"/>
        <v>FAIL</v>
      </c>
      <c r="AE186" s="15"/>
      <c r="AF186" s="15"/>
      <c r="AG186" s="54">
        <f t="shared" si="93"/>
        <v>12071025</v>
      </c>
      <c r="AH186" s="54">
        <f t="shared" si="94"/>
        <v>9977777</v>
      </c>
      <c r="AI186" s="54">
        <f t="shared" si="95"/>
        <v>2093248</v>
      </c>
    </row>
    <row r="187" spans="2:43" x14ac:dyDescent="0.25">
      <c r="B187" s="164">
        <f>(COUNTIF(L170:L187,"G*")/COUNTA(L170:L187))</f>
        <v>0.76470588235294112</v>
      </c>
      <c r="C187" s="39">
        <v>2017</v>
      </c>
      <c r="D187" s="62" t="str">
        <f>+'JFK-124.016'!$F$4</f>
        <v>JFK-124.016</v>
      </c>
      <c r="E187" s="63" t="str">
        <f>+'JFK-124.016'!$F$5</f>
        <v>Rehab Taxiway Q, QG and Restricted Vehicle Service Road</v>
      </c>
      <c r="F187" s="64">
        <f>+'JFK-124.016'!$F$6</f>
        <v>42739</v>
      </c>
      <c r="G187" s="65" t="str">
        <f>+'JFK-124.016'!$G$7</f>
        <v>PQL</v>
      </c>
      <c r="H187" s="94">
        <f>+'JFK-124.016'!$F$7</f>
        <v>28695000</v>
      </c>
      <c r="I187" s="27">
        <f>+'JFK-124.016'!$F$8</f>
        <v>31768035</v>
      </c>
      <c r="J187" s="27"/>
      <c r="K187" s="26">
        <f>+'JFK-124.016'!$G$9</f>
        <v>0.10709304756926294</v>
      </c>
      <c r="L187" s="11" t="str">
        <f>+'JFK-124.016'!$F$11</f>
        <v>GOOD</v>
      </c>
      <c r="M187" s="15">
        <f>+'JFK-124.016'!$H$12</f>
        <v>2</v>
      </c>
      <c r="N187" s="35" t="s">
        <v>93</v>
      </c>
      <c r="O187" s="15">
        <v>1</v>
      </c>
      <c r="P187" s="35" t="s">
        <v>458</v>
      </c>
      <c r="Q187" s="35" t="s">
        <v>1283</v>
      </c>
      <c r="R187" s="15"/>
      <c r="S187" s="24"/>
      <c r="T187" s="62" t="str">
        <f>+'JFK-124.016'!$J$4</f>
        <v>Henry Yu</v>
      </c>
      <c r="U187" s="62"/>
      <c r="V187" s="94">
        <f>+'JFK-124.016'!$F$12</f>
        <v>33299542.5</v>
      </c>
      <c r="W187" s="165">
        <f t="shared" si="91"/>
        <v>0.95400815191379884</v>
      </c>
      <c r="X187" s="15"/>
      <c r="Y187" s="161">
        <f t="shared" si="92"/>
        <v>1.1070930475692629</v>
      </c>
      <c r="Z187" s="11" t="str">
        <f t="shared" si="96"/>
        <v>FAIL</v>
      </c>
      <c r="AA187" s="11"/>
      <c r="AB187" s="15"/>
      <c r="AC187" s="239">
        <f>VLOOKUP(H187,ECON_ADJUSTMENT!J$2:W$240,12,FALSE)</f>
        <v>29679502.27410242</v>
      </c>
      <c r="AD187" s="15" t="str">
        <f t="shared" si="83"/>
        <v>GOOD</v>
      </c>
      <c r="AE187" s="15"/>
      <c r="AF187" s="15"/>
      <c r="AG187" s="54">
        <f t="shared" si="93"/>
        <v>28695000</v>
      </c>
      <c r="AH187" s="54">
        <f t="shared" si="94"/>
        <v>31768035</v>
      </c>
      <c r="AI187" s="54">
        <f t="shared" si="95"/>
        <v>-3073035</v>
      </c>
      <c r="AK187" s="4">
        <f>SUM(H170:H187)</f>
        <v>637499025</v>
      </c>
      <c r="AL187" s="4">
        <f>SUM(I170:I187)</f>
        <v>598248635</v>
      </c>
      <c r="AM187" s="7">
        <f>+AL187/AK187</f>
        <v>0.93843066661945096</v>
      </c>
      <c r="AO187" s="4">
        <f>+AK187+AK168+AK147+AK134</f>
        <v>1118635025</v>
      </c>
      <c r="AP187" s="4">
        <f>+AL187+AL168+AL147+AL134</f>
        <v>1037674716</v>
      </c>
      <c r="AQ187" s="7">
        <f>+AP187/AO187</f>
        <v>0.92762580538723971</v>
      </c>
    </row>
    <row r="188" spans="2:43" ht="7.5" customHeight="1" x14ac:dyDescent="0.25">
      <c r="C188" s="39"/>
      <c r="G188" s="45"/>
      <c r="P188" s="11"/>
      <c r="Q188" s="11"/>
      <c r="T188" s="15"/>
      <c r="U188" s="15"/>
      <c r="V188" s="94"/>
      <c r="W188" s="165"/>
      <c r="AC188" s="239"/>
      <c r="AD188" s="15"/>
      <c r="AG188" s="54"/>
      <c r="AH188" s="54"/>
      <c r="AI188" s="54"/>
    </row>
    <row r="189" spans="2:43" x14ac:dyDescent="0.25">
      <c r="C189" s="39">
        <v>2016</v>
      </c>
      <c r="D189" s="62" t="str">
        <f>+'PAT-084.039'!$F$4</f>
        <v>PAT-084.039</v>
      </c>
      <c r="E189" s="63" t="str">
        <f>+'PAT-084.039'!$F$5</f>
        <v>Event Detection Systems for Tunnels E and F</v>
      </c>
      <c r="F189" s="64">
        <f>+'PAT-084.039'!$F$6</f>
        <v>42731</v>
      </c>
      <c r="G189" s="65" t="str">
        <f>+'PAT-084.039'!$G$7</f>
        <v>PQL</v>
      </c>
      <c r="H189" s="27">
        <f>+'PAT-084.039'!$F$7</f>
        <v>18500000</v>
      </c>
      <c r="I189" s="27">
        <f>+'PAT-084.039'!$F$8</f>
        <v>15978000</v>
      </c>
      <c r="J189" s="27">
        <v>15978000</v>
      </c>
      <c r="K189" s="26">
        <f>+'PAT-084.039'!$G$9</f>
        <v>-0.13632432432432431</v>
      </c>
      <c r="L189" s="11" t="str">
        <f>+'PAT-084.039'!$F$11</f>
        <v>GOOD</v>
      </c>
      <c r="M189" s="15">
        <f>+'PAT-084.039'!$H$12</f>
        <v>2</v>
      </c>
      <c r="N189" s="35" t="s">
        <v>226</v>
      </c>
      <c r="O189" s="15">
        <v>4</v>
      </c>
      <c r="P189" s="35" t="s">
        <v>459</v>
      </c>
      <c r="Q189" s="35"/>
      <c r="R189" s="15"/>
      <c r="S189" s="24" t="s">
        <v>827</v>
      </c>
      <c r="T189" s="62" t="str">
        <f>+'PAT-084.039'!$J$4</f>
        <v>Nathan Demaisip</v>
      </c>
      <c r="U189" s="62"/>
      <c r="V189" s="94">
        <f>+'PAT-084.039'!$F$12</f>
        <v>17726500</v>
      </c>
      <c r="W189" s="165">
        <f t="shared" si="91"/>
        <v>0.90136236707753925</v>
      </c>
      <c r="X189" s="15"/>
      <c r="Y189" s="161">
        <f t="shared" ref="Y189:Y202" si="97">+I189/H189</f>
        <v>0.86367567567567571</v>
      </c>
      <c r="Z189" s="11" t="str">
        <f t="shared" si="96"/>
        <v>GOOD</v>
      </c>
      <c r="AA189" s="11"/>
      <c r="AB189" s="15"/>
      <c r="AC189" s="239">
        <f>VLOOKUP(H189,ECON_ADJUSTMENT!J$2:W$240,12,FALSE)</f>
        <v>20809250.252877992</v>
      </c>
      <c r="AD189" s="15" t="str">
        <f t="shared" si="83"/>
        <v>FAIL</v>
      </c>
      <c r="AE189" s="15"/>
      <c r="AF189" s="15"/>
      <c r="AG189" s="54">
        <f t="shared" ref="AG189:AG202" si="98">+H189</f>
        <v>18500000</v>
      </c>
      <c r="AH189" s="54">
        <f t="shared" ref="AH189:AH202" si="99">+I189</f>
        <v>15978000</v>
      </c>
      <c r="AI189" s="54">
        <f t="shared" ref="AI189:AI202" si="100">+AG189-AH189</f>
        <v>2522000</v>
      </c>
    </row>
    <row r="190" spans="2:43" x14ac:dyDescent="0.25">
      <c r="C190" s="39">
        <v>2016</v>
      </c>
      <c r="D190" s="62" t="str">
        <f>+'EWR-924.288'!$F$4</f>
        <v>EWR-924.288</v>
      </c>
      <c r="E190" s="63" t="str">
        <f>+'EWR-924.288'!$F$5</f>
        <v>Fuel Farm Roadway Drainage Improvements</v>
      </c>
      <c r="F190" s="64">
        <f>+'EWR-924.288'!$F$6</f>
        <v>42725</v>
      </c>
      <c r="G190" s="65" t="str">
        <f>+'EWR-924.288'!$G$7</f>
        <v>MWBE</v>
      </c>
      <c r="H190" s="27">
        <f>+'EWR-924.288'!$F$7</f>
        <v>600000</v>
      </c>
      <c r="I190" s="27">
        <f>+'EWR-924.288'!$F$8</f>
        <v>421111</v>
      </c>
      <c r="J190" s="27">
        <v>421111</v>
      </c>
      <c r="K190" s="26">
        <f>+'EWR-924.288'!$G$9</f>
        <v>-0.29814833333333335</v>
      </c>
      <c r="L190" s="11" t="str">
        <f>+'EWR-924.288'!$F$11</f>
        <v>GOOD</v>
      </c>
      <c r="M190" s="15">
        <f>+'EWR-924.288'!$H$12</f>
        <v>8</v>
      </c>
      <c r="N190" s="35" t="s">
        <v>25</v>
      </c>
      <c r="O190" s="15">
        <v>4</v>
      </c>
      <c r="P190" s="35" t="s">
        <v>458</v>
      </c>
      <c r="Q190" s="35"/>
      <c r="R190" s="15"/>
      <c r="S190" s="24"/>
      <c r="T190" s="62" t="str">
        <f>+'EWR-924.288'!$J$4</f>
        <v>Henry Yu</v>
      </c>
      <c r="U190" s="62"/>
      <c r="V190" s="94">
        <f>+'EWR-924.288'!$F$12</f>
        <v>662973.5</v>
      </c>
      <c r="W190" s="165">
        <f t="shared" si="91"/>
        <v>0.63518526758611016</v>
      </c>
      <c r="X190" s="15"/>
      <c r="Y190" s="161">
        <f t="shared" si="97"/>
        <v>0.70185166666666665</v>
      </c>
      <c r="Z190" s="11" t="str">
        <f t="shared" si="96"/>
        <v>FAIL</v>
      </c>
      <c r="AA190" s="11"/>
      <c r="AB190" s="15"/>
      <c r="AC190" s="239">
        <f>VLOOKUP(H190,ECON_ADJUSTMENT!J$2:W$240,12,FALSE)</f>
        <v>-532301.62203755463</v>
      </c>
      <c r="AD190" s="15" t="str">
        <f t="shared" si="83"/>
        <v>FAIL</v>
      </c>
      <c r="AE190" s="15"/>
      <c r="AF190" s="15"/>
      <c r="AG190" s="54">
        <f t="shared" si="98"/>
        <v>600000</v>
      </c>
      <c r="AH190" s="54">
        <f t="shared" si="99"/>
        <v>421111</v>
      </c>
      <c r="AI190" s="54">
        <f t="shared" si="100"/>
        <v>178889</v>
      </c>
    </row>
    <row r="191" spans="2:43" x14ac:dyDescent="0.25">
      <c r="C191" s="39">
        <v>2016</v>
      </c>
      <c r="D191" s="62" t="str">
        <f>+'PAT-534.316 Void'!$F$4</f>
        <v>PAT-534.316</v>
      </c>
      <c r="E191" s="63" t="str">
        <f>+'PAT-534.316 Void'!$F$5</f>
        <v>Journal Square Transport Center - Hardening phase 2</v>
      </c>
      <c r="F191" s="64">
        <f>+'PAT-534.316 Void'!$F$6</f>
        <v>42719</v>
      </c>
      <c r="G191" s="65"/>
      <c r="H191" s="27"/>
      <c r="I191" s="27"/>
      <c r="J191" s="27"/>
      <c r="K191" s="26"/>
      <c r="L191" s="11"/>
      <c r="M191" s="15"/>
      <c r="N191" s="35"/>
      <c r="O191" s="15"/>
      <c r="P191" s="35"/>
      <c r="Q191" s="35"/>
      <c r="R191" s="15"/>
      <c r="S191" s="24" t="s">
        <v>911</v>
      </c>
      <c r="T191" s="62" t="str">
        <f>+'PAT-534.316 Void'!$J$4</f>
        <v>Nathan Demaisip</v>
      </c>
      <c r="U191" s="62"/>
      <c r="V191" s="94"/>
      <c r="W191" s="165"/>
      <c r="X191" s="15"/>
      <c r="Y191" s="161"/>
      <c r="Z191" s="11"/>
      <c r="AA191" s="11"/>
      <c r="AB191" s="15"/>
      <c r="AC191" s="239"/>
      <c r="AD191" s="15"/>
      <c r="AE191" s="15"/>
      <c r="AF191" s="15"/>
      <c r="AG191" s="54">
        <f t="shared" si="98"/>
        <v>0</v>
      </c>
      <c r="AH191" s="54">
        <f t="shared" si="99"/>
        <v>0</v>
      </c>
      <c r="AI191" s="54">
        <f t="shared" si="100"/>
        <v>0</v>
      </c>
    </row>
    <row r="192" spans="2:43" x14ac:dyDescent="0.25">
      <c r="C192" s="39">
        <v>2016</v>
      </c>
      <c r="D192" s="62" t="str">
        <f>+'PN-654.551'!$F$4</f>
        <v>PN-654.551</v>
      </c>
      <c r="E192" s="63" t="str">
        <f>+'PN-654.551'!$F$5</f>
        <v>Tyler Street Pavement Rehab</v>
      </c>
      <c r="F192" s="64">
        <f>+'PN-654.551'!$F$6</f>
        <v>42719</v>
      </c>
      <c r="G192" s="65" t="str">
        <f>+'PN-654.551'!$G$7</f>
        <v>MWBE</v>
      </c>
      <c r="H192" s="27">
        <f>+'PN-654.551'!$F$7</f>
        <v>1460000</v>
      </c>
      <c r="I192" s="27">
        <f>+'PN-654.551'!$F$8</f>
        <v>1457020</v>
      </c>
      <c r="J192" s="27"/>
      <c r="K192" s="26">
        <f>+'PN-654.551'!$G$9</f>
        <v>-2.0410958904109591E-3</v>
      </c>
      <c r="L192" s="11" t="str">
        <f>+'PN-654.551'!$F$11</f>
        <v>GOOD</v>
      </c>
      <c r="M192" s="15">
        <f>+'PN-654.551'!$H$12</f>
        <v>7</v>
      </c>
      <c r="N192" s="35" t="s">
        <v>25</v>
      </c>
      <c r="O192" s="15">
        <v>4</v>
      </c>
      <c r="P192" s="35" t="s">
        <v>492</v>
      </c>
      <c r="Q192" s="35"/>
      <c r="R192" s="15"/>
      <c r="S192" s="24"/>
      <c r="T192" s="62" t="str">
        <f>+'PN-654.551'!$J$4</f>
        <v>Ed Minall</v>
      </c>
      <c r="U192" s="62"/>
      <c r="V192" s="94">
        <f>+'PN-654.551'!$F$12</f>
        <v>1609377.2857142857</v>
      </c>
      <c r="W192" s="165">
        <f t="shared" si="91"/>
        <v>0.90533152973718944</v>
      </c>
      <c r="X192" s="15"/>
      <c r="Y192" s="161">
        <f t="shared" si="97"/>
        <v>0.9979589041095891</v>
      </c>
      <c r="Z192" s="11" t="str">
        <f t="shared" si="96"/>
        <v>GOOD</v>
      </c>
      <c r="AA192" s="11"/>
      <c r="AB192" s="15"/>
      <c r="AC192" s="239">
        <f>VLOOKUP(H192,ECON_ADJUSTMENT!J$2:W$240,12,FALSE)</f>
        <v>2767033.6262456621</v>
      </c>
      <c r="AD192" s="15" t="str">
        <f t="shared" si="83"/>
        <v>FAIL</v>
      </c>
      <c r="AE192" s="15"/>
      <c r="AF192" s="15"/>
      <c r="AG192" s="54">
        <f t="shared" si="98"/>
        <v>1460000</v>
      </c>
      <c r="AH192" s="54">
        <f t="shared" si="99"/>
        <v>1457020</v>
      </c>
      <c r="AI192" s="54">
        <f t="shared" si="100"/>
        <v>2980</v>
      </c>
    </row>
    <row r="193" spans="2:35" x14ac:dyDescent="0.25">
      <c r="C193" s="39">
        <v>2016</v>
      </c>
      <c r="D193" s="62" t="str">
        <f>+'PJ-664.503'!$F$4</f>
        <v>PJ-664.503</v>
      </c>
      <c r="E193" s="63" t="str">
        <f>+'PJ-664.503'!$F$5</f>
        <v>Greenville Yard Phase 1</v>
      </c>
      <c r="F193" s="64">
        <f>+'PJ-664.503'!$F$6</f>
        <v>42718</v>
      </c>
      <c r="G193" s="65" t="str">
        <f>+'PJ-664.503'!$G$7</f>
        <v>Public</v>
      </c>
      <c r="H193" s="27">
        <f>+'PJ-664.503'!$F$7</f>
        <v>61900000</v>
      </c>
      <c r="I193" s="27">
        <f>+'PJ-664.503'!$F$8</f>
        <v>47681062</v>
      </c>
      <c r="J193" s="27"/>
      <c r="K193" s="26">
        <f>+'PJ-664.503'!$G$9</f>
        <v>-0.22970820678513731</v>
      </c>
      <c r="L193" s="11" t="str">
        <f>+'PJ-664.503'!$F$11</f>
        <v>GOOD</v>
      </c>
      <c r="M193" s="15">
        <f>+'PJ-664.503'!$H$12</f>
        <v>7</v>
      </c>
      <c r="N193" s="35" t="s">
        <v>25</v>
      </c>
      <c r="O193" s="15">
        <v>4</v>
      </c>
      <c r="P193" s="35" t="s">
        <v>492</v>
      </c>
      <c r="Q193" s="35"/>
      <c r="R193" s="15"/>
      <c r="S193" s="24"/>
      <c r="T193" s="62" t="str">
        <f>+'PJ-664.503'!$J$4</f>
        <v>Wen Chang</v>
      </c>
      <c r="U193" s="62"/>
      <c r="V193" s="94">
        <f>+'PJ-664.503'!$F$12</f>
        <v>58156986.285714284</v>
      </c>
      <c r="W193" s="165">
        <f t="shared" si="91"/>
        <v>0.8198681713965017</v>
      </c>
      <c r="X193" s="15"/>
      <c r="Y193" s="161">
        <f t="shared" si="97"/>
        <v>0.77029179321486263</v>
      </c>
      <c r="Z193" s="11" t="str">
        <f t="shared" si="96"/>
        <v>FAIL</v>
      </c>
      <c r="AA193" s="11"/>
      <c r="AB193" s="15"/>
      <c r="AC193" s="239">
        <f>VLOOKUP(H193,ECON_ADJUSTMENT!J$2:W$240,12,FALSE)</f>
        <v>56650095.296599768</v>
      </c>
      <c r="AD193" s="15" t="str">
        <f t="shared" si="83"/>
        <v>GOOD</v>
      </c>
      <c r="AE193" s="15"/>
      <c r="AF193" s="15"/>
      <c r="AG193" s="54">
        <f t="shared" si="98"/>
        <v>61900000</v>
      </c>
      <c r="AH193" s="54">
        <f t="shared" si="99"/>
        <v>47681062</v>
      </c>
      <c r="AI193" s="54">
        <f t="shared" si="100"/>
        <v>14218938</v>
      </c>
    </row>
    <row r="194" spans="2:35" x14ac:dyDescent="0.25">
      <c r="C194" s="39">
        <v>2016</v>
      </c>
      <c r="D194" s="62" t="str">
        <f>+'LGA-124.236'!$F$4</f>
        <v>LGA-124.236</v>
      </c>
      <c r="E194" s="63" t="str">
        <f>+'LGA-124.236'!$F$5</f>
        <v>Wetland Mitigation at Westchester Creek</v>
      </c>
      <c r="F194" s="64">
        <f>+'LGA-124.236'!$F$6</f>
        <v>42712</v>
      </c>
      <c r="G194" s="65" t="str">
        <f>+'LGA-124.236'!$G$7</f>
        <v>Public</v>
      </c>
      <c r="H194" s="27">
        <f>+'LGA-124.236'!$F$7</f>
        <v>2170000</v>
      </c>
      <c r="I194" s="27">
        <f>+'LGA-124.236'!$F$8</f>
        <v>1903225</v>
      </c>
      <c r="J194" s="27">
        <v>1903225</v>
      </c>
      <c r="K194" s="26">
        <f>+'LGA-124.236'!$G$9</f>
        <v>-0.12293778801843318</v>
      </c>
      <c r="L194" s="11" t="str">
        <f>+'LGA-124.236'!$F$11</f>
        <v>GOOD</v>
      </c>
      <c r="M194" s="15">
        <f>+'LGA-124.236'!$H$12</f>
        <v>5</v>
      </c>
      <c r="N194" s="35" t="s">
        <v>93</v>
      </c>
      <c r="O194" s="15">
        <v>4</v>
      </c>
      <c r="P194" s="35" t="s">
        <v>458</v>
      </c>
      <c r="Q194" s="35"/>
      <c r="R194" s="15"/>
      <c r="S194" s="24"/>
      <c r="T194" s="62" t="str">
        <f>+'LGA-124.236'!$J$4</f>
        <v>Henry Yu</v>
      </c>
      <c r="U194" s="62"/>
      <c r="V194" s="94">
        <f>+'LGA-124.236'!$F$12</f>
        <v>2604208.7999999998</v>
      </c>
      <c r="W194" s="165">
        <f t="shared" si="91"/>
        <v>0.73082657581066468</v>
      </c>
      <c r="X194" s="15"/>
      <c r="Y194" s="161">
        <f t="shared" si="97"/>
        <v>0.87706221198156686</v>
      </c>
      <c r="Z194" s="11" t="str">
        <f t="shared" si="96"/>
        <v>GOOD</v>
      </c>
      <c r="AA194" s="11"/>
      <c r="AB194" s="15"/>
      <c r="AC194" s="239">
        <f>VLOOKUP(H194,ECON_ADJUSTMENT!J$2:W$240,12,FALSE)</f>
        <v>1465057.7983567738</v>
      </c>
      <c r="AD194" s="15" t="str">
        <f t="shared" si="83"/>
        <v>FAIL</v>
      </c>
      <c r="AE194" s="15"/>
      <c r="AF194" s="15"/>
      <c r="AG194" s="54">
        <f t="shared" si="98"/>
        <v>2170000</v>
      </c>
      <c r="AH194" s="54">
        <f t="shared" si="99"/>
        <v>1903225</v>
      </c>
      <c r="AI194" s="54">
        <f t="shared" si="100"/>
        <v>266775</v>
      </c>
    </row>
    <row r="195" spans="2:35" x14ac:dyDescent="0.25">
      <c r="C195" s="39">
        <v>2016</v>
      </c>
      <c r="D195" s="62" t="str">
        <f>+'SWF-017'!$F$4</f>
        <v>SWF-017</v>
      </c>
      <c r="E195" s="63" t="str">
        <f>+'SWF-017'!$F$5</f>
        <v>Asphalt and Concrete Repairs via Work Order</v>
      </c>
      <c r="F195" s="64">
        <f>+'SWF-017'!$F$6</f>
        <v>42703</v>
      </c>
      <c r="G195" s="65" t="str">
        <f>+'SWF-017'!$G$7</f>
        <v>Public</v>
      </c>
      <c r="H195" s="27">
        <f>+'SWF-017'!$F$7</f>
        <v>1763000</v>
      </c>
      <c r="I195" s="27">
        <f>+'SWF-017'!$F$8</f>
        <v>2233850</v>
      </c>
      <c r="J195" s="27"/>
      <c r="K195" s="26">
        <f>+'SWF-017'!$G$9</f>
        <v>0.26707317073170733</v>
      </c>
      <c r="L195" s="11" t="str">
        <f>+'SWF-017'!$F$11</f>
        <v>FAIL</v>
      </c>
      <c r="M195" s="15">
        <f>+'SWF-017'!$H$12</f>
        <v>2</v>
      </c>
      <c r="N195" s="35" t="s">
        <v>93</v>
      </c>
      <c r="O195" s="15">
        <v>4</v>
      </c>
      <c r="P195" s="35" t="s">
        <v>458</v>
      </c>
      <c r="Q195" s="35"/>
      <c r="R195" s="15"/>
      <c r="S195" s="24"/>
      <c r="T195" s="62" t="str">
        <f>+'SWF-017'!$J$4</f>
        <v>Joe Lucin</v>
      </c>
      <c r="U195" s="62"/>
      <c r="V195" s="94">
        <f>+'SWF-017'!$F$12</f>
        <v>2494277.5</v>
      </c>
      <c r="W195" s="165">
        <f t="shared" si="91"/>
        <v>0.89559000552264134</v>
      </c>
      <c r="X195" s="15"/>
      <c r="Y195" s="161">
        <f t="shared" si="97"/>
        <v>1.2670731707317073</v>
      </c>
      <c r="Z195" s="11" t="str">
        <f t="shared" si="96"/>
        <v>FAIL</v>
      </c>
      <c r="AA195" s="11"/>
      <c r="AB195" s="15"/>
      <c r="AC195" s="239">
        <f>VLOOKUP(H195,ECON_ADJUSTMENT!J$2:W$240,12,FALSE)</f>
        <v>1852527.3160841088</v>
      </c>
      <c r="AD195" s="15" t="str">
        <f t="shared" si="83"/>
        <v>FAIL</v>
      </c>
      <c r="AE195" s="15"/>
      <c r="AF195" s="15"/>
      <c r="AG195" s="54">
        <f t="shared" si="98"/>
        <v>1763000</v>
      </c>
      <c r="AH195" s="54">
        <f t="shared" si="99"/>
        <v>2233850</v>
      </c>
      <c r="AI195" s="54">
        <f t="shared" si="100"/>
        <v>-470850</v>
      </c>
    </row>
    <row r="196" spans="2:35" x14ac:dyDescent="0.25">
      <c r="C196" s="39">
        <v>2016</v>
      </c>
      <c r="D196" s="62" t="str">
        <f>+'GWB-924.159A Void'!$F$4</f>
        <v>GWB-924.159A</v>
      </c>
      <c r="E196" s="63" t="str">
        <f>+'GWB-924.159A Void'!$F$5</f>
        <v>NJ Admin Building Heating Hot Water &amp; Chilled Water Piping Replacement</v>
      </c>
      <c r="F196" s="64">
        <f>+'GWB-924.159A Void'!$F$6</f>
        <v>42691</v>
      </c>
      <c r="G196" s="65"/>
      <c r="H196" s="27"/>
      <c r="I196" s="27"/>
      <c r="J196" s="27"/>
      <c r="K196" s="26"/>
      <c r="L196" s="11"/>
      <c r="M196" s="15"/>
      <c r="N196" s="35"/>
      <c r="O196" s="15"/>
      <c r="P196" s="35"/>
      <c r="Q196" s="35"/>
      <c r="R196" s="15"/>
      <c r="S196" s="24" t="s">
        <v>820</v>
      </c>
      <c r="T196" s="62" t="str">
        <f>+'GWB-924.159A Void'!$J$4</f>
        <v>Reddy Gunda</v>
      </c>
      <c r="U196" s="62"/>
      <c r="V196" s="94"/>
      <c r="W196" s="165"/>
      <c r="X196" s="15"/>
      <c r="Y196" s="161"/>
      <c r="Z196" s="11"/>
      <c r="AA196" s="11"/>
      <c r="AB196" s="15"/>
      <c r="AC196" s="239"/>
      <c r="AD196" s="15"/>
      <c r="AE196" s="15"/>
      <c r="AF196" s="15"/>
      <c r="AG196" s="54">
        <f t="shared" si="98"/>
        <v>0</v>
      </c>
      <c r="AH196" s="54">
        <f t="shared" si="99"/>
        <v>0</v>
      </c>
      <c r="AI196" s="54">
        <f t="shared" si="100"/>
        <v>0</v>
      </c>
    </row>
    <row r="197" spans="2:35" x14ac:dyDescent="0.25">
      <c r="C197" s="39">
        <v>2016</v>
      </c>
      <c r="D197" s="62" t="str">
        <f>+'GWB-563'!$F$4</f>
        <v>GWB-563</v>
      </c>
      <c r="E197" s="63" t="str">
        <f>+'GWB-563'!$F$5</f>
        <v>Sanitary Sewer Rehab at NJ Admin Bldg Lower Parking Lot</v>
      </c>
      <c r="F197" s="64">
        <f>+'GWB-563'!$F$6</f>
        <v>42681</v>
      </c>
      <c r="G197" s="65" t="str">
        <f>+'GWB-563'!$G$7</f>
        <v>PQL</v>
      </c>
      <c r="H197" s="27">
        <f>+'GWB-563'!$F$7</f>
        <v>850000</v>
      </c>
      <c r="I197" s="27">
        <f>+'GWB-563'!$F$8</f>
        <v>651800</v>
      </c>
      <c r="J197" s="27">
        <v>651800</v>
      </c>
      <c r="K197" s="26">
        <f>+'GWB-563'!$G$9</f>
        <v>-0.23317647058823529</v>
      </c>
      <c r="L197" s="11" t="str">
        <f>+'GWB-563'!$F$11</f>
        <v>GOOD</v>
      </c>
      <c r="M197" s="15">
        <f>+'GWB-563'!$H$12</f>
        <v>9</v>
      </c>
      <c r="N197" s="35" t="s">
        <v>25</v>
      </c>
      <c r="O197" s="15">
        <v>4</v>
      </c>
      <c r="P197" s="35" t="s">
        <v>457</v>
      </c>
      <c r="Q197" s="35"/>
      <c r="R197" s="15"/>
      <c r="S197" s="24"/>
      <c r="T197" s="62" t="str">
        <f>+'GWB-563'!$J$4</f>
        <v>Reddy Gunda</v>
      </c>
      <c r="U197" s="62"/>
      <c r="V197" s="94">
        <f>+'GWB-563'!$F$12</f>
        <v>1031448.1111111111</v>
      </c>
      <c r="W197" s="165">
        <f t="shared" si="91"/>
        <v>0.63192708676140652</v>
      </c>
      <c r="X197" s="15"/>
      <c r="Y197" s="161">
        <f t="shared" si="97"/>
        <v>0.76682352941176468</v>
      </c>
      <c r="Z197" s="11" t="str">
        <f t="shared" si="96"/>
        <v>FAIL</v>
      </c>
      <c r="AA197" s="11"/>
      <c r="AB197" s="15"/>
      <c r="AC197" s="239">
        <f>VLOOKUP(H197,ECON_ADJUSTMENT!J$2:W$240,12,FALSE)</f>
        <v>1604930.8944609901</v>
      </c>
      <c r="AD197" s="15" t="str">
        <f t="shared" si="83"/>
        <v>FAIL</v>
      </c>
      <c r="AE197" s="15"/>
      <c r="AF197" s="15"/>
      <c r="AG197" s="54">
        <f t="shared" si="98"/>
        <v>850000</v>
      </c>
      <c r="AH197" s="54">
        <f t="shared" si="99"/>
        <v>651800</v>
      </c>
      <c r="AI197" s="54">
        <f t="shared" si="100"/>
        <v>198200</v>
      </c>
    </row>
    <row r="198" spans="2:35" x14ac:dyDescent="0.25">
      <c r="C198" s="39">
        <v>2016</v>
      </c>
      <c r="D198" s="62" t="str">
        <f>+'HT-924.097'!$F$4</f>
        <v>HT-924.097</v>
      </c>
      <c r="E198" s="63" t="str">
        <f>+'HT-924.097'!$F$5</f>
        <v>Ventilation Bldg Evac Stack Inspection Structures</v>
      </c>
      <c r="F198" s="64">
        <f>+'HT-924.097'!$F$6</f>
        <v>42677</v>
      </c>
      <c r="G198" s="65" t="str">
        <f>+'HT-924.097'!$G$7</f>
        <v>MWBE</v>
      </c>
      <c r="H198" s="27">
        <f>+'HT-924.097'!$F$7</f>
        <v>480000</v>
      </c>
      <c r="I198" s="27">
        <f>+'HT-924.097'!$F$8</f>
        <v>770000</v>
      </c>
      <c r="J198" s="27"/>
      <c r="K198" s="26">
        <f>+'HT-924.097'!$G$9</f>
        <v>0.60416666666666663</v>
      </c>
      <c r="L198" s="11" t="str">
        <f>+'HT-924.097'!$F$11</f>
        <v>FAIL</v>
      </c>
      <c r="M198" s="15">
        <f>+'HT-924.097'!$H$12</f>
        <v>4</v>
      </c>
      <c r="N198" s="35" t="s">
        <v>226</v>
      </c>
      <c r="O198" s="15">
        <v>4</v>
      </c>
      <c r="P198" s="35" t="s">
        <v>457</v>
      </c>
      <c r="Q198" s="35"/>
      <c r="R198" s="15"/>
      <c r="S198" s="24"/>
      <c r="T198" s="62" t="str">
        <f>+'HT-924.097'!$J$4</f>
        <v>Reddy Gunda</v>
      </c>
      <c r="U198" s="62"/>
      <c r="V198" s="94">
        <f>+'HT-924.097'!$F$12</f>
        <v>1288250</v>
      </c>
      <c r="W198" s="165">
        <f t="shared" si="91"/>
        <v>0.59771007180283331</v>
      </c>
      <c r="X198" s="15"/>
      <c r="Y198" s="161">
        <f t="shared" si="97"/>
        <v>1.6041666666666667</v>
      </c>
      <c r="Z198" s="11" t="str">
        <f t="shared" si="96"/>
        <v>FAIL</v>
      </c>
      <c r="AA198" s="11"/>
      <c r="AB198" s="15"/>
      <c r="AC198" s="239">
        <f>VLOOKUP(H198,ECON_ADJUSTMENT!J$2:W$240,12,FALSE)</f>
        <v>1283009.0457260185</v>
      </c>
      <c r="AD198" s="15" t="str">
        <f t="shared" si="83"/>
        <v>GOOD</v>
      </c>
      <c r="AE198" s="15"/>
      <c r="AF198" s="15"/>
      <c r="AG198" s="54">
        <f t="shared" si="98"/>
        <v>480000</v>
      </c>
      <c r="AH198" s="54">
        <f t="shared" si="99"/>
        <v>770000</v>
      </c>
      <c r="AI198" s="54">
        <f t="shared" si="100"/>
        <v>-290000</v>
      </c>
    </row>
    <row r="199" spans="2:35" x14ac:dyDescent="0.25">
      <c r="C199" s="39">
        <v>2016</v>
      </c>
      <c r="D199" s="62" t="str">
        <f>+'AKO-924.054'!$F$4</f>
        <v>AKO-924.054</v>
      </c>
      <c r="E199" s="63" t="str">
        <f>+'AKO-924.054'!$F$5</f>
        <v>OBX - Structural Rehabilitation</v>
      </c>
      <c r="F199" s="64">
        <f>+'AKO-924.054'!$F$6</f>
        <v>42670</v>
      </c>
      <c r="G199" s="65" t="str">
        <f>+'AKO-924.054'!$G$7</f>
        <v>Public</v>
      </c>
      <c r="H199" s="27">
        <f>+'AKO-924.054'!$F$7</f>
        <v>2150000</v>
      </c>
      <c r="I199" s="27">
        <f>+'AKO-924.054'!$F$8</f>
        <v>1654320</v>
      </c>
      <c r="J199" s="27">
        <v>1654320</v>
      </c>
      <c r="K199" s="26">
        <f>+'AKO-924.054'!$G$9</f>
        <v>-0.23054883720930233</v>
      </c>
      <c r="L199" s="11" t="str">
        <f>+'AKO-924.054'!$F$11</f>
        <v>FAIL</v>
      </c>
      <c r="M199" s="15">
        <f>+'AKO-924.054'!$H$12</f>
        <v>1</v>
      </c>
      <c r="N199" s="35" t="s">
        <v>226</v>
      </c>
      <c r="O199" s="15">
        <v>4</v>
      </c>
      <c r="P199" s="35" t="s">
        <v>457</v>
      </c>
      <c r="Q199" s="35"/>
      <c r="R199" s="15"/>
      <c r="S199" s="24" t="s">
        <v>782</v>
      </c>
      <c r="T199" s="62" t="str">
        <f>+'AKO-924.054'!$J$4</f>
        <v>Reddy Gunda</v>
      </c>
      <c r="U199" s="62"/>
      <c r="V199" s="94">
        <f>+'AKO-924.054'!$F$12</f>
        <v>1654320</v>
      </c>
      <c r="W199" s="165">
        <f t="shared" si="91"/>
        <v>1</v>
      </c>
      <c r="X199" s="15"/>
      <c r="Y199" s="161">
        <f t="shared" si="97"/>
        <v>0.7694511627906977</v>
      </c>
      <c r="Z199" s="11" t="str">
        <f t="shared" si="96"/>
        <v>FAIL</v>
      </c>
      <c r="AA199" s="11"/>
      <c r="AB199" s="15"/>
      <c r="AC199" s="239">
        <f>VLOOKUP(H199,ECON_ADJUSTMENT!J$2:W$240,12,FALSE)</f>
        <v>1447656.6173440726</v>
      </c>
      <c r="AD199" s="15" t="str">
        <f t="shared" si="83"/>
        <v>FAIL</v>
      </c>
      <c r="AE199" s="15"/>
      <c r="AF199" s="15"/>
      <c r="AG199" s="54">
        <f t="shared" si="98"/>
        <v>2150000</v>
      </c>
      <c r="AH199" s="54">
        <f t="shared" si="99"/>
        <v>1654320</v>
      </c>
      <c r="AI199" s="54">
        <f t="shared" si="100"/>
        <v>495680</v>
      </c>
    </row>
    <row r="200" spans="2:35" x14ac:dyDescent="0.25">
      <c r="C200" s="39">
        <v>2016</v>
      </c>
      <c r="D200" s="62" t="str">
        <f>+'HT-224.127'!$F$4</f>
        <v>HT-224.127</v>
      </c>
      <c r="E200" s="63" t="str">
        <f>+'HT-224.127'!$F$5</f>
        <v>Replacement of Piers 9 and 204 Phase II</v>
      </c>
      <c r="F200" s="64">
        <f>+'HT-224.127'!$F$6</f>
        <v>42668</v>
      </c>
      <c r="G200" s="65" t="str">
        <f>+'HT-224.127'!$G$7</f>
        <v>Public</v>
      </c>
      <c r="H200" s="27">
        <f>+'HT-224.127'!$F$7</f>
        <v>67636000</v>
      </c>
      <c r="I200" s="27">
        <f>+'HT-224.127'!$F$8</f>
        <v>49942700</v>
      </c>
      <c r="J200" s="27">
        <v>49942700</v>
      </c>
      <c r="K200" s="26">
        <f>+'HT-224.127'!$G$9</f>
        <v>-0.26159589567685848</v>
      </c>
      <c r="L200" s="11" t="str">
        <f>+'HT-224.127'!$F$11</f>
        <v>FAIL</v>
      </c>
      <c r="M200" s="15">
        <f>+'HT-224.127'!$H$12</f>
        <v>7</v>
      </c>
      <c r="N200" s="35" t="s">
        <v>25</v>
      </c>
      <c r="O200" s="15">
        <v>4</v>
      </c>
      <c r="P200" s="35" t="s">
        <v>457</v>
      </c>
      <c r="Q200" s="35"/>
      <c r="R200" s="15"/>
      <c r="S200" s="24"/>
      <c r="T200" s="62" t="str">
        <f>+'HT-224.127'!$J$4</f>
        <v>Reddy Gunda</v>
      </c>
      <c r="U200" s="62"/>
      <c r="V200" s="94">
        <f>+'HT-224.127'!$F$12</f>
        <v>57740503.857142858</v>
      </c>
      <c r="W200" s="165">
        <f t="shared" si="91"/>
        <v>0.86495088653130581</v>
      </c>
      <c r="X200" s="15"/>
      <c r="Y200" s="161">
        <f t="shared" si="97"/>
        <v>0.73840410432314152</v>
      </c>
      <c r="Z200" s="11" t="str">
        <f t="shared" si="96"/>
        <v>FAIL</v>
      </c>
      <c r="AA200" s="11"/>
      <c r="AB200" s="15"/>
      <c r="AC200" s="239">
        <f>VLOOKUP(H200,ECON_ADJUSTMENT!J$2:W$240,12,FALSE)</f>
        <v>61640754.011042468</v>
      </c>
      <c r="AD200" s="15" t="str">
        <f t="shared" ref="AD200:AD263" si="101">(IF(AC200&lt;(I200*0.9),"FAIL",IF(AC200&gt;(V200*1.1),"FAIL","GOOD")))</f>
        <v>GOOD</v>
      </c>
      <c r="AE200" s="15"/>
      <c r="AF200" s="15"/>
      <c r="AG200" s="54">
        <f t="shared" si="98"/>
        <v>67636000</v>
      </c>
      <c r="AH200" s="54">
        <f t="shared" si="99"/>
        <v>49942700</v>
      </c>
      <c r="AI200" s="54">
        <f t="shared" si="100"/>
        <v>17693300</v>
      </c>
    </row>
    <row r="201" spans="2:35" x14ac:dyDescent="0.25">
      <c r="C201" s="39">
        <v>2016</v>
      </c>
      <c r="D201" s="62" t="str">
        <f>+'PAT-024.069A'!$F$4</f>
        <v>PAT-024.069A</v>
      </c>
      <c r="E201" s="63" t="str">
        <f>+'PAT-024.069A'!$F$5</f>
        <v>30th Street Mezzanine Rehab</v>
      </c>
      <c r="F201" s="64">
        <f>+'PAT-024.069A'!$F$6</f>
        <v>42667</v>
      </c>
      <c r="G201" s="65" t="str">
        <f>+'PAT-024.069A'!$G$7</f>
        <v>Public</v>
      </c>
      <c r="H201" s="27">
        <f>+'PAT-024.069A'!$F$7</f>
        <v>2400000</v>
      </c>
      <c r="I201" s="27">
        <f>+'PAT-024.069A'!$F$8</f>
        <v>3617000</v>
      </c>
      <c r="J201" s="27">
        <v>3617000</v>
      </c>
      <c r="K201" s="26">
        <f>+'PAT-024.069A'!$G$9</f>
        <v>0.50708333333333333</v>
      </c>
      <c r="L201" s="11" t="str">
        <f>+'PAT-024.069A'!$F$11</f>
        <v>FAIL</v>
      </c>
      <c r="M201" s="15">
        <f>+'PAT-024.069A'!$H$12</f>
        <v>2</v>
      </c>
      <c r="N201" s="35" t="s">
        <v>93</v>
      </c>
      <c r="O201" s="15">
        <v>4</v>
      </c>
      <c r="P201" s="35" t="s">
        <v>459</v>
      </c>
      <c r="Q201" s="35"/>
      <c r="R201" s="15"/>
      <c r="S201" s="24"/>
      <c r="T201" s="62" t="str">
        <f>+'PAT-024.069A'!$J$4</f>
        <v>Nathan Demaisip</v>
      </c>
      <c r="U201" s="62"/>
      <c r="V201" s="94">
        <f>+'PAT-024.069A'!$F$12</f>
        <v>4280561.5</v>
      </c>
      <c r="W201" s="165">
        <f t="shared" si="91"/>
        <v>0.84498260333369812</v>
      </c>
      <c r="X201" s="15"/>
      <c r="Y201" s="161">
        <f t="shared" si="97"/>
        <v>1.5070833333333333</v>
      </c>
      <c r="Z201" s="11" t="str">
        <f t="shared" si="96"/>
        <v>FAIL</v>
      </c>
      <c r="AA201" s="11"/>
      <c r="AB201" s="15"/>
      <c r="AC201" s="239">
        <f>VLOOKUP(H201,ECON_ADJUSTMENT!J$2:W$240,12,FALSE)</f>
        <v>2499321.2308381917</v>
      </c>
      <c r="AD201" s="15" t="str">
        <f t="shared" si="101"/>
        <v>FAIL</v>
      </c>
      <c r="AE201" s="15"/>
      <c r="AF201" s="15"/>
      <c r="AG201" s="54">
        <f t="shared" si="98"/>
        <v>2400000</v>
      </c>
      <c r="AH201" s="54">
        <f t="shared" si="99"/>
        <v>3617000</v>
      </c>
      <c r="AI201" s="54">
        <f t="shared" si="100"/>
        <v>-1217000</v>
      </c>
    </row>
    <row r="202" spans="2:35" x14ac:dyDescent="0.25">
      <c r="B202" s="164">
        <f>(COUNTIF(L189:L202,"G*")/COUNTA(L189:L202))</f>
        <v>0.58333333333333337</v>
      </c>
      <c r="C202" s="39">
        <v>2016</v>
      </c>
      <c r="D202" s="62" t="str">
        <f>+'PJ-664.527'!$F$4</f>
        <v>PJ-664.527</v>
      </c>
      <c r="E202" s="63" t="str">
        <f>+'PJ-664.527'!$F$5</f>
        <v>Bldg 108 Switchgear Replacement</v>
      </c>
      <c r="F202" s="64">
        <f>+'PJ-664.527'!$F$6</f>
        <v>42648</v>
      </c>
      <c r="G202" s="65" t="str">
        <f>+'PJ-664.527'!$G$7</f>
        <v>Public</v>
      </c>
      <c r="H202" s="27">
        <f>+'PJ-664.527'!$F$7</f>
        <v>3120000</v>
      </c>
      <c r="I202" s="27">
        <f>+'PJ-664.527'!$F$8</f>
        <v>2147100</v>
      </c>
      <c r="J202" s="27">
        <v>2147100</v>
      </c>
      <c r="K202" s="26">
        <f>+'PJ-664.527'!$G$9</f>
        <v>-0.31182692307692306</v>
      </c>
      <c r="L202" s="11" t="str">
        <f>+'PJ-664.527'!$F$11</f>
        <v>GOOD</v>
      </c>
      <c r="M202" s="15">
        <f>+'PJ-664.527'!$H$12</f>
        <v>7</v>
      </c>
      <c r="N202" s="35" t="s">
        <v>25</v>
      </c>
      <c r="O202" s="15">
        <v>4</v>
      </c>
      <c r="P202" s="35" t="s">
        <v>492</v>
      </c>
      <c r="Q202" s="35"/>
      <c r="R202" s="15"/>
      <c r="S202" s="24"/>
      <c r="T202" s="62" t="str">
        <f>+'PJ-664.527'!$J$4</f>
        <v>Ramani Sundaram and Ed Minall</v>
      </c>
      <c r="U202" s="62"/>
      <c r="V202" s="94">
        <f>+'PJ-664.527'!$F$12</f>
        <v>3325700.1428571427</v>
      </c>
      <c r="W202" s="165">
        <f t="shared" si="91"/>
        <v>0.64560841560279836</v>
      </c>
      <c r="X202" s="15"/>
      <c r="Y202" s="161">
        <f t="shared" si="97"/>
        <v>0.68817307692307694</v>
      </c>
      <c r="Z202" s="11" t="str">
        <f t="shared" si="96"/>
        <v>FAIL</v>
      </c>
      <c r="AA202" s="11"/>
      <c r="AB202" s="15"/>
      <c r="AC202" s="239">
        <f>VLOOKUP(H202,ECON_ADJUSTMENT!J$2:W$240,12,FALSE)</f>
        <v>2291613.8964600801</v>
      </c>
      <c r="AD202" s="15" t="str">
        <f t="shared" si="101"/>
        <v>GOOD</v>
      </c>
      <c r="AE202" s="15"/>
      <c r="AF202" s="15"/>
      <c r="AG202" s="54">
        <f t="shared" si="98"/>
        <v>3120000</v>
      </c>
      <c r="AH202" s="54">
        <f t="shared" si="99"/>
        <v>2147100</v>
      </c>
      <c r="AI202" s="54">
        <f t="shared" si="100"/>
        <v>972900</v>
      </c>
    </row>
    <row r="203" spans="2:35" ht="7.5" customHeight="1" x14ac:dyDescent="0.25">
      <c r="C203" s="39"/>
      <c r="G203" s="45"/>
      <c r="P203" s="11"/>
      <c r="Q203" s="11"/>
      <c r="T203" s="15"/>
      <c r="U203" s="15"/>
      <c r="V203" s="94"/>
      <c r="W203" s="165"/>
      <c r="AC203" s="239"/>
      <c r="AD203" s="15"/>
      <c r="AG203" s="54"/>
      <c r="AH203" s="54"/>
      <c r="AI203" s="54"/>
    </row>
    <row r="204" spans="2:35" x14ac:dyDescent="0.25">
      <c r="C204" s="39">
        <v>2016</v>
      </c>
      <c r="D204" s="62" t="str">
        <f>+'JFK-144.019'!$F$4</f>
        <v>JFK-144.019</v>
      </c>
      <c r="E204" s="63" t="str">
        <f>+'JFK-144.019'!$F$5</f>
        <v>Rehab Runway4R-22L and Associated Taxiways</v>
      </c>
      <c r="F204" s="64">
        <f>+'JFK-144.019'!$F$6</f>
        <v>42626</v>
      </c>
      <c r="G204" s="65" t="str">
        <f>+'JFK-144.019'!$G$7</f>
        <v>PQL</v>
      </c>
      <c r="H204" s="27">
        <f>+'JFK-144.019'!$F$7</f>
        <v>73640000</v>
      </c>
      <c r="I204" s="27">
        <f>+'JFK-144.019'!$F$8</f>
        <v>68462700</v>
      </c>
      <c r="J204" s="27">
        <v>68462700</v>
      </c>
      <c r="K204" s="26">
        <f>+'JFK-144.019'!$G$9</f>
        <v>-7.0305540467137426E-2</v>
      </c>
      <c r="L204" s="11" t="str">
        <f>+'JFK-144.019'!$F$11</f>
        <v>GOOD</v>
      </c>
      <c r="M204" s="15">
        <f>+'JFK-144.019'!$H$12</f>
        <v>2</v>
      </c>
      <c r="N204" s="35" t="s">
        <v>93</v>
      </c>
      <c r="O204" s="15">
        <v>3</v>
      </c>
      <c r="P204" s="35" t="s">
        <v>458</v>
      </c>
      <c r="Q204" s="35"/>
      <c r="R204" s="15"/>
      <c r="S204" s="24"/>
      <c r="T204" s="62" t="str">
        <f>+'JFK-144.019'!$J$4</f>
        <v>Wen Chang</v>
      </c>
      <c r="U204" s="62"/>
      <c r="V204" s="94">
        <f>+'JFK-144.019'!$F$12</f>
        <v>74810850</v>
      </c>
      <c r="W204" s="165">
        <f t="shared" si="91"/>
        <v>0.91514399315072614</v>
      </c>
      <c r="X204" s="15"/>
      <c r="Y204" s="161">
        <f t="shared" ref="Y204:Y212" si="102">+I204/H204</f>
        <v>0.92969445953286256</v>
      </c>
      <c r="Z204" s="11" t="str">
        <f t="shared" si="96"/>
        <v>GOOD</v>
      </c>
      <c r="AA204" s="11"/>
      <c r="AB204" s="15"/>
      <c r="AC204" s="239">
        <f>VLOOKUP(H204,ECON_ADJUSTMENT!J$2:W$240,12,FALSE)</f>
        <v>68784306.304895133</v>
      </c>
      <c r="AD204" s="15" t="str">
        <f t="shared" si="101"/>
        <v>GOOD</v>
      </c>
      <c r="AE204" s="15"/>
      <c r="AF204" s="15"/>
      <c r="AG204" s="54">
        <f t="shared" ref="AG204:AG212" si="103">+H204</f>
        <v>73640000</v>
      </c>
      <c r="AH204" s="54">
        <f t="shared" ref="AH204:AH212" si="104">+I204</f>
        <v>68462700</v>
      </c>
      <c r="AI204" s="54">
        <f t="shared" ref="AI204:AI212" si="105">+AG204-AH204</f>
        <v>5177300</v>
      </c>
    </row>
    <row r="205" spans="2:35" x14ac:dyDescent="0.25">
      <c r="C205" s="39">
        <v>2016</v>
      </c>
      <c r="D205" s="62" t="str">
        <f>+'PN-654.042A'!$F$4</f>
        <v>PN-654.042A</v>
      </c>
      <c r="E205" s="63" t="str">
        <f>+'PN-654.042A'!$F$5</f>
        <v>Demo Buildings 269 and 270</v>
      </c>
      <c r="F205" s="64">
        <f>+'PN-654.042A'!$F$6</f>
        <v>42612</v>
      </c>
      <c r="G205" s="65" t="str">
        <f>+'PN-654.042A'!$G$7</f>
        <v>Public</v>
      </c>
      <c r="H205" s="27">
        <f>+'PN-654.042A'!$F$7</f>
        <v>2000000</v>
      </c>
      <c r="I205" s="27">
        <f>+'PN-654.042A'!$F$8</f>
        <v>1460000</v>
      </c>
      <c r="J205" s="27"/>
      <c r="K205" s="26">
        <f>+'PN-654.042A'!$G$9</f>
        <v>-0.27</v>
      </c>
      <c r="L205" s="11" t="str">
        <f>+'PN-654.042A'!$F$11</f>
        <v>GOOD</v>
      </c>
      <c r="M205" s="15">
        <f>+'PN-654.042A'!$H$12</f>
        <v>10</v>
      </c>
      <c r="N205" s="35" t="s">
        <v>25</v>
      </c>
      <c r="O205" s="15">
        <v>3</v>
      </c>
      <c r="P205" s="35" t="s">
        <v>492</v>
      </c>
      <c r="Q205" s="35"/>
      <c r="R205" s="15"/>
      <c r="S205" s="24"/>
      <c r="T205" s="62" t="str">
        <f>+'PN-654.042A'!$J$4</f>
        <v>Wen Chang</v>
      </c>
      <c r="U205" s="62"/>
      <c r="V205" s="94">
        <f>+'PN-654.042A'!$F$12</f>
        <v>2042108.1</v>
      </c>
      <c r="W205" s="165">
        <f t="shared" si="91"/>
        <v>0.71494746042092483</v>
      </c>
      <c r="X205" s="15"/>
      <c r="Y205" s="161">
        <f t="shared" si="102"/>
        <v>0.73</v>
      </c>
      <c r="Z205" s="11" t="str">
        <f t="shared" si="96"/>
        <v>FAIL</v>
      </c>
      <c r="AA205" s="11"/>
      <c r="AB205" s="15"/>
      <c r="AC205" s="239">
        <f>VLOOKUP(H205,ECON_ADJUSTMENT!J$2:W$240,12,FALSE)</f>
        <v>3236865.5135885938</v>
      </c>
      <c r="AD205" s="15" t="str">
        <f t="shared" si="101"/>
        <v>FAIL</v>
      </c>
      <c r="AE205" s="15"/>
      <c r="AF205" s="15"/>
      <c r="AG205" s="54">
        <f t="shared" si="103"/>
        <v>2000000</v>
      </c>
      <c r="AH205" s="54">
        <f t="shared" si="104"/>
        <v>1460000</v>
      </c>
      <c r="AI205" s="54">
        <f t="shared" si="105"/>
        <v>540000</v>
      </c>
    </row>
    <row r="206" spans="2:35" x14ac:dyDescent="0.25">
      <c r="C206" s="39">
        <v>2016</v>
      </c>
      <c r="D206" s="62" t="str">
        <f>+'EWR-924.366'!$F$4</f>
        <v>EWR-924.366</v>
      </c>
      <c r="E206" s="63" t="str">
        <f>+'EWR-924.366'!$F$5</f>
        <v>Bridge N5 Flooding Mitigation</v>
      </c>
      <c r="F206" s="64">
        <f>+'EWR-924.366'!$F$6</f>
        <v>42606</v>
      </c>
      <c r="G206" s="65" t="str">
        <f>+'EWR-924.366'!$G$7</f>
        <v>MWBE</v>
      </c>
      <c r="H206" s="27">
        <f>+'EWR-924.366'!$F$7</f>
        <v>230000</v>
      </c>
      <c r="I206" s="27">
        <f>+'EWR-924.366'!$F$8</f>
        <v>274450</v>
      </c>
      <c r="J206" s="27"/>
      <c r="K206" s="26">
        <f>+'EWR-924.366'!$G$9</f>
        <v>0.1932608695652174</v>
      </c>
      <c r="L206" s="11" t="str">
        <f>+'EWR-924.366'!$F$11</f>
        <v>FAIL</v>
      </c>
      <c r="M206" s="15">
        <f>+'EWR-924.366'!$H$12</f>
        <v>3</v>
      </c>
      <c r="N206" s="35" t="s">
        <v>25</v>
      </c>
      <c r="O206" s="15">
        <v>3</v>
      </c>
      <c r="P206" s="35" t="s">
        <v>458</v>
      </c>
      <c r="Q206" s="35"/>
      <c r="R206" s="15"/>
      <c r="S206" s="24"/>
      <c r="T206" s="62" t="str">
        <f>+'EWR-924.366'!$J$4</f>
        <v>Henry Yu</v>
      </c>
      <c r="U206" s="62"/>
      <c r="V206" s="94">
        <f>+'EWR-924.366'!$F$12</f>
        <v>362483.33333333331</v>
      </c>
      <c r="W206" s="165">
        <f t="shared" si="91"/>
        <v>0.75713825923030953</v>
      </c>
      <c r="X206" s="15"/>
      <c r="Y206" s="161">
        <f t="shared" si="102"/>
        <v>1.1932608695652174</v>
      </c>
      <c r="Z206" s="11" t="str">
        <f t="shared" si="96"/>
        <v>FAIL</v>
      </c>
      <c r="AA206" s="11"/>
      <c r="AB206" s="15"/>
      <c r="AC206" s="239">
        <f>VLOOKUP(H206,ECON_ADJUSTMENT!J$2:W$240,12,FALSE)</f>
        <v>1065494.2830672537</v>
      </c>
      <c r="AD206" s="15" t="str">
        <f t="shared" si="101"/>
        <v>FAIL</v>
      </c>
      <c r="AE206" s="15"/>
      <c r="AF206" s="15"/>
      <c r="AG206" s="54">
        <f t="shared" si="103"/>
        <v>230000</v>
      </c>
      <c r="AH206" s="54">
        <f t="shared" si="104"/>
        <v>274450</v>
      </c>
      <c r="AI206" s="54">
        <f t="shared" si="105"/>
        <v>-44450</v>
      </c>
    </row>
    <row r="207" spans="2:35" x14ac:dyDescent="0.25">
      <c r="C207" s="39">
        <v>2016</v>
      </c>
      <c r="D207" s="62" t="str">
        <f>+'PAT-784.164'!$F$4</f>
        <v>PAT-784.164</v>
      </c>
      <c r="E207" s="63" t="str">
        <f>+'PAT-784.164'!$F$5</f>
        <v>Replace Roof - MacMillian-Bloedel Building</v>
      </c>
      <c r="F207" s="64">
        <f>+'PAT-784.164'!$F$6</f>
        <v>42601</v>
      </c>
      <c r="G207" s="65" t="str">
        <f>+'PAT-784.164'!$G$7</f>
        <v>Public</v>
      </c>
      <c r="H207" s="27">
        <f>+'PAT-784.164'!$F$7</f>
        <v>6120000</v>
      </c>
      <c r="I207" s="27">
        <f>+'PAT-784.164'!$F$8</f>
        <v>4674300</v>
      </c>
      <c r="J207" s="27">
        <v>4753054</v>
      </c>
      <c r="K207" s="26">
        <f>+'PAT-784.164'!$G$9</f>
        <v>-0.23622549019607844</v>
      </c>
      <c r="L207" s="11" t="str">
        <f>+'PAT-784.164'!$F$11</f>
        <v>GOOD</v>
      </c>
      <c r="M207" s="15">
        <f>+'PAT-784.164'!$H$12</f>
        <v>6</v>
      </c>
      <c r="N207" s="35" t="s">
        <v>25</v>
      </c>
      <c r="O207" s="15">
        <v>3</v>
      </c>
      <c r="P207" s="35" t="s">
        <v>459</v>
      </c>
      <c r="Q207" s="35"/>
      <c r="R207" s="15"/>
      <c r="S207" s="24" t="s">
        <v>726</v>
      </c>
      <c r="T207" s="62" t="str">
        <f>+'PAT-784.164'!$J$4</f>
        <v>Nathan Demaisip</v>
      </c>
      <c r="U207" s="62"/>
      <c r="V207" s="94">
        <f>+'PAT-784.164'!$F$12</f>
        <v>6420291.666666667</v>
      </c>
      <c r="W207" s="165">
        <f t="shared" si="91"/>
        <v>0.72805103610298072</v>
      </c>
      <c r="X207" s="15"/>
      <c r="Y207" s="161">
        <f t="shared" si="102"/>
        <v>0.76377450980392159</v>
      </c>
      <c r="Z207" s="11" t="str">
        <f t="shared" si="96"/>
        <v>FAIL</v>
      </c>
      <c r="AA207" s="11"/>
      <c r="AB207" s="15"/>
      <c r="AC207" s="239">
        <f>VLOOKUP(H207,ECON_ADJUSTMENT!J$2:W$240,12,FALSE)</f>
        <v>5735940.8992006108</v>
      </c>
      <c r="AD207" s="15" t="str">
        <f t="shared" si="101"/>
        <v>GOOD</v>
      </c>
      <c r="AE207" s="15"/>
      <c r="AF207" s="15"/>
      <c r="AG207" s="54">
        <f t="shared" si="103"/>
        <v>6120000</v>
      </c>
      <c r="AH207" s="54">
        <f t="shared" si="104"/>
        <v>4674300</v>
      </c>
      <c r="AI207" s="54">
        <f t="shared" si="105"/>
        <v>1445700</v>
      </c>
    </row>
    <row r="208" spans="2:35" x14ac:dyDescent="0.25">
      <c r="C208" s="39">
        <v>2016</v>
      </c>
      <c r="D208" s="62" t="str">
        <f>+'LT-534'!$F$4</f>
        <v>LT-534</v>
      </c>
      <c r="E208" s="63" t="str">
        <f>+'LT-534'!$F$5</f>
        <v>Maintenance Pavement Repairs via Work Order</v>
      </c>
      <c r="F208" s="64">
        <f>+'LT-534'!$F$6</f>
        <v>42593</v>
      </c>
      <c r="G208" s="65" t="str">
        <f>+'LT-534'!$G$7</f>
        <v>Public</v>
      </c>
      <c r="H208" s="27">
        <f>+'LT-534'!$F$7</f>
        <v>1450000</v>
      </c>
      <c r="I208" s="27">
        <f>+'LT-534'!$F$8</f>
        <v>763000</v>
      </c>
      <c r="J208" s="27"/>
      <c r="K208" s="26">
        <f>+'LT-534'!$G$9</f>
        <v>-0.47379310344827585</v>
      </c>
      <c r="L208" s="11" t="str">
        <f>+'LT-534'!$F$11</f>
        <v>GOOD</v>
      </c>
      <c r="M208" s="15">
        <f>+'LT-534'!$H$12</f>
        <v>6</v>
      </c>
      <c r="N208" s="35" t="s">
        <v>93</v>
      </c>
      <c r="O208" s="15">
        <v>3</v>
      </c>
      <c r="P208" s="35" t="s">
        <v>457</v>
      </c>
      <c r="Q208" s="35"/>
      <c r="R208" s="15"/>
      <c r="S208" s="24"/>
      <c r="T208" s="62" t="str">
        <f>+'LT-534'!$J$4</f>
        <v>Reddy Gunda</v>
      </c>
      <c r="U208" s="62"/>
      <c r="V208" s="94">
        <f>+'LT-534'!$F$12</f>
        <v>1855432</v>
      </c>
      <c r="W208" s="165">
        <f t="shared" si="91"/>
        <v>0.41122498695721538</v>
      </c>
      <c r="X208" s="15"/>
      <c r="Y208" s="161">
        <f t="shared" si="102"/>
        <v>0.52620689655172415</v>
      </c>
      <c r="Z208" s="11" t="str">
        <f t="shared" si="96"/>
        <v>FAIL</v>
      </c>
      <c r="AA208" s="11"/>
      <c r="AB208" s="15"/>
      <c r="AC208" s="239">
        <f>VLOOKUP(H208,ECON_ADJUSTMENT!J$2:W$240,12,FALSE)</f>
        <v>207248.57100224542</v>
      </c>
      <c r="AD208" s="15" t="str">
        <f t="shared" si="101"/>
        <v>FAIL</v>
      </c>
      <c r="AE208" s="15"/>
      <c r="AF208" s="15"/>
      <c r="AG208" s="54">
        <f t="shared" si="103"/>
        <v>1450000</v>
      </c>
      <c r="AH208" s="54">
        <f t="shared" si="104"/>
        <v>763000</v>
      </c>
      <c r="AI208" s="54">
        <f t="shared" si="105"/>
        <v>687000</v>
      </c>
    </row>
    <row r="209" spans="2:35" x14ac:dyDescent="0.25">
      <c r="C209" s="39">
        <v>2016</v>
      </c>
      <c r="D209" s="62" t="str">
        <f>+'LT-944.096 Void'!$F$4</f>
        <v>LT-944.096</v>
      </c>
      <c r="E209" s="63" t="str">
        <f>+'LT-944.096 Void'!$F$5</f>
        <v>Replacement of Aboveground Storage Tanks</v>
      </c>
      <c r="F209" s="64">
        <f>+'LT-944.096 Void'!$F$6</f>
        <v>42587</v>
      </c>
      <c r="G209" s="65"/>
      <c r="H209" s="27"/>
      <c r="I209" s="27"/>
      <c r="J209" s="27"/>
      <c r="K209" s="26"/>
      <c r="L209" s="11"/>
      <c r="M209" s="15">
        <f>+'LT-944.096 Void'!$H$12</f>
        <v>4</v>
      </c>
      <c r="N209" s="35" t="s">
        <v>93</v>
      </c>
      <c r="O209" s="15">
        <v>3</v>
      </c>
      <c r="P209" s="35" t="s">
        <v>457</v>
      </c>
      <c r="Q209" s="35"/>
      <c r="R209" s="15"/>
      <c r="S209" s="24" t="s">
        <v>753</v>
      </c>
      <c r="T209" s="62" t="str">
        <f>+'LT-944.096 Void'!$J$4</f>
        <v>Reddy Gunda</v>
      </c>
      <c r="U209" s="62"/>
      <c r="V209" s="94"/>
      <c r="W209" s="165"/>
      <c r="X209" s="15"/>
      <c r="Y209" s="161"/>
      <c r="Z209" s="11"/>
      <c r="AA209" s="11"/>
      <c r="AB209" s="15"/>
      <c r="AC209" s="239"/>
      <c r="AD209" s="15"/>
      <c r="AE209" s="15"/>
      <c r="AF209" s="15"/>
      <c r="AG209" s="54">
        <f t="shared" si="103"/>
        <v>0</v>
      </c>
      <c r="AH209" s="54">
        <f t="shared" si="104"/>
        <v>0</v>
      </c>
      <c r="AI209" s="54">
        <f t="shared" si="105"/>
        <v>0</v>
      </c>
    </row>
    <row r="210" spans="2:35" x14ac:dyDescent="0.25">
      <c r="C210" s="39">
        <v>2016</v>
      </c>
      <c r="D210" s="62" t="str">
        <f>+'LT-934.027'!$F$4</f>
        <v>LT-934.027</v>
      </c>
      <c r="E210" s="63" t="str">
        <f>+'LT-934.027'!$F$5</f>
        <v>NJ Admin Bldg - Emergency Power Modifications</v>
      </c>
      <c r="F210" s="64">
        <f>+'LT-934.027'!$F$6</f>
        <v>42586</v>
      </c>
      <c r="G210" s="65" t="str">
        <f>+'LT-934.027'!$G$7</f>
        <v>MWBE</v>
      </c>
      <c r="H210" s="27">
        <f>+'LT-934.027'!$F$7</f>
        <v>800000</v>
      </c>
      <c r="I210" s="27">
        <f>+'LT-934.027'!$F$8</f>
        <v>485250</v>
      </c>
      <c r="J210" s="27"/>
      <c r="K210" s="26">
        <f>+'LT-934.027'!$G$9</f>
        <v>-0.3934375</v>
      </c>
      <c r="L210" s="11" t="str">
        <f>+'LT-934.027'!$F$11</f>
        <v>GOOD</v>
      </c>
      <c r="M210" s="15">
        <f>+'LT-934.027'!$H$12</f>
        <v>4</v>
      </c>
      <c r="N210" s="35" t="s">
        <v>25</v>
      </c>
      <c r="O210" s="15">
        <v>3</v>
      </c>
      <c r="P210" s="35" t="s">
        <v>457</v>
      </c>
      <c r="Q210" s="35"/>
      <c r="R210" s="15"/>
      <c r="S210" s="24"/>
      <c r="T210" s="62" t="str">
        <f>+'LT-934.027'!$J$4</f>
        <v>Reddy Gunda</v>
      </c>
      <c r="U210" s="62"/>
      <c r="V210" s="94">
        <f>+'LT-934.027'!$F$12</f>
        <v>790959</v>
      </c>
      <c r="W210" s="165">
        <f t="shared" si="91"/>
        <v>0.6134957690600904</v>
      </c>
      <c r="X210" s="15"/>
      <c r="Y210" s="161">
        <f t="shared" si="102"/>
        <v>0.6065625</v>
      </c>
      <c r="Z210" s="11" t="str">
        <f t="shared" si="96"/>
        <v>FAIL</v>
      </c>
      <c r="AA210" s="11"/>
      <c r="AB210" s="15"/>
      <c r="AC210" s="239">
        <f>VLOOKUP(H210,ECON_ADJUSTMENT!J$2:W$240,12,FALSE)</f>
        <v>1561427.9419292372</v>
      </c>
      <c r="AD210" s="15" t="str">
        <f t="shared" si="101"/>
        <v>FAIL</v>
      </c>
      <c r="AE210" s="15"/>
      <c r="AF210" s="15"/>
      <c r="AG210" s="54">
        <f t="shared" si="103"/>
        <v>800000</v>
      </c>
      <c r="AH210" s="54">
        <f t="shared" si="104"/>
        <v>485250</v>
      </c>
      <c r="AI210" s="54">
        <f t="shared" si="105"/>
        <v>314750</v>
      </c>
    </row>
    <row r="211" spans="2:35" x14ac:dyDescent="0.25">
      <c r="C211" s="39">
        <v>2016</v>
      </c>
      <c r="D211" s="62" t="str">
        <f>+'JFK-1064'!$F$4</f>
        <v>JFK-1064</v>
      </c>
      <c r="E211" s="63" t="str">
        <f>+'JFK-1064'!$F$5</f>
        <v>Bulk Fuel Farm West End &amp; Satellite Remediation Upgrades</v>
      </c>
      <c r="F211" s="64">
        <f>+'JFK-1064'!$F$6</f>
        <v>42584</v>
      </c>
      <c r="G211" s="65" t="str">
        <f>+'JFK-1064'!$G$7</f>
        <v>Public</v>
      </c>
      <c r="H211" s="27">
        <f>+'JFK-1064'!$F$7</f>
        <v>1750000</v>
      </c>
      <c r="I211" s="27">
        <f>+'JFK-1064'!$F$8</f>
        <v>1930000</v>
      </c>
      <c r="J211" s="27">
        <v>1930000</v>
      </c>
      <c r="K211" s="26">
        <f>+'JFK-1064'!$G$9</f>
        <v>0.10285714285714286</v>
      </c>
      <c r="L211" s="11" t="str">
        <f>+'JFK-1064'!$F$11</f>
        <v>GOOD</v>
      </c>
      <c r="M211" s="15">
        <f>+'JFK-1064'!$H$12</f>
        <v>9</v>
      </c>
      <c r="N211" s="35" t="s">
        <v>93</v>
      </c>
      <c r="O211" s="15">
        <v>3</v>
      </c>
      <c r="P211" s="35" t="s">
        <v>458</v>
      </c>
      <c r="Q211" s="35"/>
      <c r="R211" s="15"/>
      <c r="S211" s="24"/>
      <c r="T211" s="62" t="str">
        <f>+'JFK-1064'!$J$4</f>
        <v>Wen Chang</v>
      </c>
      <c r="U211" s="62"/>
      <c r="V211" s="94">
        <f>+'JFK-1064'!$F$12</f>
        <v>2809540.888888889</v>
      </c>
      <c r="W211" s="165">
        <f t="shared" si="91"/>
        <v>0.68694497653788267</v>
      </c>
      <c r="X211" s="15"/>
      <c r="Y211" s="161">
        <f t="shared" si="102"/>
        <v>1.1028571428571428</v>
      </c>
      <c r="Z211" s="11" t="str">
        <f t="shared" si="96"/>
        <v>FAIL</v>
      </c>
      <c r="AA211" s="11"/>
      <c r="AB211" s="15"/>
      <c r="AC211" s="239">
        <f>VLOOKUP(H211,ECON_ADJUSTMENT!J$2:W$240,12,FALSE)</f>
        <v>1099632.9970900491</v>
      </c>
      <c r="AD211" s="15" t="str">
        <f t="shared" si="101"/>
        <v>FAIL</v>
      </c>
      <c r="AE211" s="15"/>
      <c r="AF211" s="15"/>
      <c r="AG211" s="54">
        <f t="shared" si="103"/>
        <v>1750000</v>
      </c>
      <c r="AH211" s="54">
        <f t="shared" si="104"/>
        <v>1930000</v>
      </c>
      <c r="AI211" s="54">
        <f t="shared" si="105"/>
        <v>-180000</v>
      </c>
    </row>
    <row r="212" spans="2:35" x14ac:dyDescent="0.25">
      <c r="B212" s="164">
        <f>(COUNTIF(L204:L212,"G*")/COUNTA(L204:L212))</f>
        <v>0.875</v>
      </c>
      <c r="C212" s="39">
        <v>2016</v>
      </c>
      <c r="D212" s="62" t="str">
        <f>+'LT-800.382'!$F$4</f>
        <v>LT-800.382</v>
      </c>
      <c r="E212" s="63" t="str">
        <f>+'LT-800.382'!$F$5</f>
        <v>North Tube Pump Discharge Line</v>
      </c>
      <c r="F212" s="64">
        <f>+'LT-800.382'!$F$6</f>
        <v>42579</v>
      </c>
      <c r="G212" s="65" t="str">
        <f>+'LT-800.382'!$G$7</f>
        <v>MWBE</v>
      </c>
      <c r="H212" s="27">
        <f>+'LT-800.382'!$F$7</f>
        <v>1636000</v>
      </c>
      <c r="I212" s="27">
        <f>+'LT-800.382'!$F$8</f>
        <v>1365000</v>
      </c>
      <c r="J212" s="27"/>
      <c r="K212" s="26">
        <f>+'LT-800.382'!$G$9</f>
        <v>-0.1656479217603912</v>
      </c>
      <c r="L212" s="11" t="str">
        <f>+'LT-800.382'!$F$11</f>
        <v>GOOD</v>
      </c>
      <c r="M212" s="15">
        <f>+'LT-800.382'!$H$12</f>
        <v>3</v>
      </c>
      <c r="N212" s="35" t="s">
        <v>93</v>
      </c>
      <c r="O212" s="15">
        <v>3</v>
      </c>
      <c r="P212" s="35" t="s">
        <v>457</v>
      </c>
      <c r="Q212" s="35"/>
      <c r="R212" s="15"/>
      <c r="S212" s="24"/>
      <c r="T212" s="62" t="str">
        <f>+'LT-800.382'!$J$4</f>
        <v>Reddy Gunda</v>
      </c>
      <c r="U212" s="62"/>
      <c r="V212" s="94">
        <f>+'LT-800.382'!$F$12</f>
        <v>1849733.6666666667</v>
      </c>
      <c r="W212" s="165">
        <f t="shared" si="91"/>
        <v>0.73794407519208616</v>
      </c>
      <c r="X212" s="15"/>
      <c r="Y212" s="161">
        <f t="shared" si="102"/>
        <v>0.83435207823960877</v>
      </c>
      <c r="Z212" s="11" t="str">
        <f t="shared" si="96"/>
        <v>FAIL</v>
      </c>
      <c r="AA212" s="11"/>
      <c r="AB212" s="15"/>
      <c r="AC212" s="239">
        <f>VLOOKUP(H212,ECON_ADJUSTMENT!J$2:W$240,12,FALSE)</f>
        <v>2920164.0191574325</v>
      </c>
      <c r="AD212" s="15" t="str">
        <f t="shared" si="101"/>
        <v>FAIL</v>
      </c>
      <c r="AE212" s="15"/>
      <c r="AF212" s="15"/>
      <c r="AG212" s="54">
        <f t="shared" si="103"/>
        <v>1636000</v>
      </c>
      <c r="AH212" s="54">
        <f t="shared" si="104"/>
        <v>1365000</v>
      </c>
      <c r="AI212" s="54">
        <f t="shared" si="105"/>
        <v>271000</v>
      </c>
    </row>
    <row r="213" spans="2:35" ht="7.5" customHeight="1" x14ac:dyDescent="0.25">
      <c r="C213" s="39"/>
      <c r="G213" s="45"/>
      <c r="P213" s="11"/>
      <c r="Q213" s="11"/>
      <c r="T213" s="15"/>
      <c r="U213" s="15"/>
      <c r="V213" s="94"/>
      <c r="W213" s="165"/>
      <c r="AC213" s="239"/>
      <c r="AD213" s="15"/>
      <c r="AG213" s="54"/>
      <c r="AH213" s="54"/>
      <c r="AI213" s="54"/>
    </row>
    <row r="214" spans="2:35" x14ac:dyDescent="0.25">
      <c r="C214" s="39">
        <v>2016</v>
      </c>
      <c r="D214" s="62" t="str">
        <f>+'LT-924.028'!$F$4</f>
        <v>LT-924.028</v>
      </c>
      <c r="E214" s="63" t="str">
        <f>+'LT-924.028'!$F$5</f>
        <v>Priority Repairs on NY Approach Retaining Walls (Dyer Ave.)</v>
      </c>
      <c r="F214" s="64">
        <f>+'LT-924.028'!$F$6</f>
        <v>42538</v>
      </c>
      <c r="G214" s="65" t="str">
        <f>+'LT-924.028'!$G$7</f>
        <v>Public</v>
      </c>
      <c r="H214" s="27">
        <f>+'LT-924.028'!$F$7</f>
        <v>1800000</v>
      </c>
      <c r="I214" s="27">
        <f>+'LT-924.028'!$F$8</f>
        <v>1628370</v>
      </c>
      <c r="J214" s="27">
        <v>1628370</v>
      </c>
      <c r="K214" s="26">
        <f>+'LT-924.028'!$G$9</f>
        <v>-9.5350000000000004E-2</v>
      </c>
      <c r="L214" s="11" t="str">
        <f>+'LT-924.028'!$F$11</f>
        <v>GOOD</v>
      </c>
      <c r="M214" s="15">
        <f>+'LT-924.028'!$H$12</f>
        <v>13</v>
      </c>
      <c r="N214" s="35" t="s">
        <v>93</v>
      </c>
      <c r="O214" s="15">
        <v>2</v>
      </c>
      <c r="P214" s="35" t="s">
        <v>457</v>
      </c>
      <c r="Q214" s="35"/>
      <c r="R214" s="15"/>
      <c r="S214" s="24"/>
      <c r="T214" s="62" t="str">
        <f>+'LT-924.028'!$J$4</f>
        <v>Reddy Gunda</v>
      </c>
      <c r="U214" s="62"/>
      <c r="V214" s="94">
        <f>+'LT-924.028'!$F$12</f>
        <v>3393286.076923077</v>
      </c>
      <c r="W214" s="165">
        <f t="shared" si="91"/>
        <v>0.47987996387164433</v>
      </c>
      <c r="X214" s="15"/>
      <c r="Y214" s="161">
        <f t="shared" ref="Y214:Y226" si="106">+I214/H214</f>
        <v>0.90464999999999995</v>
      </c>
      <c r="Z214" s="11" t="str">
        <f t="shared" si="96"/>
        <v>GOOD</v>
      </c>
      <c r="AA214" s="11"/>
      <c r="AB214" s="15"/>
      <c r="AC214" s="239">
        <f>VLOOKUP(H214,ECON_ADJUSTMENT!J$2:W$240,12,FALSE)</f>
        <v>1884719.5009576059</v>
      </c>
      <c r="AD214" s="15" t="str">
        <f t="shared" si="101"/>
        <v>GOOD</v>
      </c>
      <c r="AE214" s="15"/>
      <c r="AF214" s="15"/>
      <c r="AG214" s="54">
        <f t="shared" ref="AG214:AG226" si="107">+H214</f>
        <v>1800000</v>
      </c>
      <c r="AH214" s="54">
        <f t="shared" ref="AH214:AH226" si="108">+I214</f>
        <v>1628370</v>
      </c>
      <c r="AI214" s="54">
        <f t="shared" ref="AI214:AI226" si="109">+AG214-AH214</f>
        <v>171630</v>
      </c>
    </row>
    <row r="215" spans="2:35" x14ac:dyDescent="0.25">
      <c r="C215" s="39">
        <v>2016</v>
      </c>
      <c r="D215" s="62" t="str">
        <f>+'PN-654.038'!$F$4</f>
        <v>PN-654.038</v>
      </c>
      <c r="E215" s="63" t="str">
        <f>+'PN-654.038'!$F$5</f>
        <v>Expressrail Port Newark Administration Building</v>
      </c>
      <c r="F215" s="64">
        <f>+'PN-654.038'!$F$6</f>
        <v>42523</v>
      </c>
      <c r="G215" s="65" t="str">
        <f>+'PN-654.038'!$G$7</f>
        <v>D-B</v>
      </c>
      <c r="H215" s="27">
        <f>+'PN-654.038'!$F$7</f>
        <v>2253000</v>
      </c>
      <c r="I215" s="27">
        <f>+'PN-654.038'!$F$8</f>
        <v>2665637</v>
      </c>
      <c r="J215" s="27"/>
      <c r="K215" s="26">
        <f>+'PN-654.038'!$G$9</f>
        <v>0.18315002219263204</v>
      </c>
      <c r="L215" s="11" t="str">
        <f>+'PN-654.038'!$F$11</f>
        <v>FAIL</v>
      </c>
      <c r="M215" s="15">
        <f>+'PN-654.038'!$H$12</f>
        <v>4</v>
      </c>
      <c r="N215" s="35" t="s">
        <v>25</v>
      </c>
      <c r="O215" s="15">
        <v>2</v>
      </c>
      <c r="P215" s="35" t="s">
        <v>492</v>
      </c>
      <c r="Q215" s="35"/>
      <c r="R215" s="15"/>
      <c r="S215" s="24"/>
      <c r="T215" s="62" t="str">
        <f>+'PN-654.038'!$J$4</f>
        <v>Ramani Sundaram</v>
      </c>
      <c r="U215" s="62"/>
      <c r="V215" s="94">
        <f>+'PN-654.038'!$F$12</f>
        <v>3137033.75</v>
      </c>
      <c r="W215" s="165">
        <f t="shared" si="91"/>
        <v>0.84973169319584141</v>
      </c>
      <c r="X215" s="15"/>
      <c r="Y215" s="161">
        <f t="shared" si="106"/>
        <v>1.1831500221926321</v>
      </c>
      <c r="Z215" s="11" t="str">
        <f t="shared" si="96"/>
        <v>FAIL</v>
      </c>
      <c r="AA215" s="11"/>
      <c r="AB215" s="15"/>
      <c r="AC215" s="239">
        <f>VLOOKUP(H215,ECON_ADJUSTMENT!J$2:W$240,12,FALSE)</f>
        <v>4198574.0047350675</v>
      </c>
      <c r="AD215" s="15" t="str">
        <f t="shared" si="101"/>
        <v>FAIL</v>
      </c>
      <c r="AE215" s="15"/>
      <c r="AF215" s="15"/>
      <c r="AG215" s="54">
        <f t="shared" si="107"/>
        <v>2253000</v>
      </c>
      <c r="AH215" s="54">
        <f t="shared" si="108"/>
        <v>2665637</v>
      </c>
      <c r="AI215" s="54">
        <f t="shared" si="109"/>
        <v>-412637</v>
      </c>
    </row>
    <row r="216" spans="2:35" x14ac:dyDescent="0.25">
      <c r="C216" s="39">
        <v>2016</v>
      </c>
      <c r="D216" s="62" t="str">
        <f>+'HT-469'!$F$4</f>
        <v>HT-469</v>
      </c>
      <c r="E216" s="63" t="str">
        <f>+'HT-469'!$F$5</f>
        <v>Mitigate Water Leakage at Ventilation Ducts and Mid-River Pump Room</v>
      </c>
      <c r="F216" s="64">
        <f>+'HT-469'!$F$6</f>
        <v>42517</v>
      </c>
      <c r="G216" s="65" t="str">
        <f>+'HT-469'!$G$7</f>
        <v>Public</v>
      </c>
      <c r="H216" s="27">
        <f>+'HT-469'!$F$7</f>
        <v>2800000</v>
      </c>
      <c r="I216" s="27">
        <f>+'HT-469'!$F$8</f>
        <v>3295274</v>
      </c>
      <c r="J216" s="27"/>
      <c r="K216" s="26">
        <f>+'HT-469'!$G$9</f>
        <v>0.17688357142857142</v>
      </c>
      <c r="L216" s="11" t="str">
        <f>+'HT-469'!$F$11</f>
        <v>FAIL</v>
      </c>
      <c r="M216" s="15">
        <f>+'HT-469'!$H$12</f>
        <v>6</v>
      </c>
      <c r="N216" s="35" t="s">
        <v>226</v>
      </c>
      <c r="O216" s="15">
        <v>2</v>
      </c>
      <c r="P216" s="35" t="s">
        <v>457</v>
      </c>
      <c r="Q216" s="35"/>
      <c r="R216" s="15"/>
      <c r="S216" s="24"/>
      <c r="T216" s="62" t="str">
        <f>+'HT-469'!$J$4</f>
        <v>Reddy Gunda</v>
      </c>
      <c r="U216" s="62"/>
      <c r="V216" s="94">
        <f>+'HT-469'!$F$12</f>
        <v>4625451.5</v>
      </c>
      <c r="W216" s="165">
        <f t="shared" si="91"/>
        <v>0.71242212787227366</v>
      </c>
      <c r="X216" s="15"/>
      <c r="Y216" s="161">
        <f t="shared" si="106"/>
        <v>1.1768835714285715</v>
      </c>
      <c r="Z216" s="11" t="str">
        <f t="shared" si="96"/>
        <v>FAIL</v>
      </c>
      <c r="AA216" s="11"/>
      <c r="AB216" s="15"/>
      <c r="AC216" s="239">
        <f>VLOOKUP(H216,ECON_ADJUSTMENT!J$2:W$240,12,FALSE)</f>
        <v>2754778.5515926648</v>
      </c>
      <c r="AD216" s="15" t="str">
        <f t="shared" si="101"/>
        <v>FAIL</v>
      </c>
      <c r="AE216" s="15"/>
      <c r="AF216" s="15"/>
      <c r="AG216" s="54">
        <f t="shared" si="107"/>
        <v>2800000</v>
      </c>
      <c r="AH216" s="54">
        <f t="shared" si="108"/>
        <v>3295274</v>
      </c>
      <c r="AI216" s="54">
        <f t="shared" si="109"/>
        <v>-495274</v>
      </c>
    </row>
    <row r="217" spans="2:35" x14ac:dyDescent="0.25">
      <c r="C217" s="39">
        <v>2016</v>
      </c>
      <c r="D217" s="62" t="str">
        <f>+'LGA-124.086'!$F$4</f>
        <v>LGA-124.086</v>
      </c>
      <c r="E217" s="63" t="str">
        <f>+'LGA-124.086'!$F$5</f>
        <v>Rehab of Runway 22 Deck Wearing Course</v>
      </c>
      <c r="F217" s="64">
        <f>+'LGA-124.086'!$F$6</f>
        <v>42514</v>
      </c>
      <c r="G217" s="65" t="str">
        <f>+'LGA-124.086'!$G$7</f>
        <v>PQL</v>
      </c>
      <c r="H217" s="27">
        <f>+'LGA-124.086'!$F$7</f>
        <v>1930000</v>
      </c>
      <c r="I217" s="27">
        <f>+'LGA-124.086'!$F$8</f>
        <v>2277000</v>
      </c>
      <c r="J217" s="27"/>
      <c r="K217" s="26">
        <f>+'LGA-124.086'!$G$9</f>
        <v>0.17979274611398963</v>
      </c>
      <c r="L217" s="11" t="str">
        <f>+'LGA-124.086'!$F$11</f>
        <v>FAIL</v>
      </c>
      <c r="M217" s="15">
        <f>+'LGA-124.086'!$H$12</f>
        <v>4</v>
      </c>
      <c r="N217" s="35" t="s">
        <v>93</v>
      </c>
      <c r="O217" s="15">
        <v>2</v>
      </c>
      <c r="P217" s="35" t="s">
        <v>458</v>
      </c>
      <c r="Q217" s="35"/>
      <c r="R217" s="15"/>
      <c r="S217" s="24" t="s">
        <v>667</v>
      </c>
      <c r="T217" s="62" t="str">
        <f>+'LGA-124.086'!$J$4</f>
        <v>Lucita Mendoza and Nathan Demaisip</v>
      </c>
      <c r="U217" s="62"/>
      <c r="V217" s="94">
        <f>+'LGA-124.086'!$F$12</f>
        <v>2736160.75</v>
      </c>
      <c r="W217" s="165">
        <f t="shared" si="91"/>
        <v>0.83218794802169427</v>
      </c>
      <c r="X217" s="15"/>
      <c r="Y217" s="161">
        <f t="shared" si="106"/>
        <v>1.1797927461139897</v>
      </c>
      <c r="Z217" s="11" t="str">
        <f t="shared" si="96"/>
        <v>FAIL</v>
      </c>
      <c r="AA217" s="11"/>
      <c r="AB217" s="15"/>
      <c r="AC217" s="239">
        <f>VLOOKUP(H217,ECON_ADJUSTMENT!J$2:W$240,12,FALSE)</f>
        <v>3917544.9313799436</v>
      </c>
      <c r="AD217" s="15" t="str">
        <f t="shared" si="101"/>
        <v>FAIL</v>
      </c>
      <c r="AE217" s="15"/>
      <c r="AF217" s="15"/>
      <c r="AG217" s="54">
        <f t="shared" si="107"/>
        <v>1930000</v>
      </c>
      <c r="AH217" s="54">
        <f t="shared" si="108"/>
        <v>2277000</v>
      </c>
      <c r="AI217" s="54">
        <f t="shared" si="109"/>
        <v>-347000</v>
      </c>
    </row>
    <row r="218" spans="2:35" x14ac:dyDescent="0.25">
      <c r="C218" s="39">
        <v>2016</v>
      </c>
      <c r="D218" s="62" t="str">
        <f>+'NYNJRR-644.537'!$F$4</f>
        <v>NYNJRR-644.537</v>
      </c>
      <c r="E218" s="63" t="str">
        <f>+'NYNJRR-644.537'!$F$5</f>
        <v>Repl Barge Mooring Structures at Greenville Yard</v>
      </c>
      <c r="F218" s="64">
        <f>+'NYNJRR-644.537'!$F$6</f>
        <v>42500</v>
      </c>
      <c r="G218" s="65" t="str">
        <f>+'NYNJRR-644.537'!$G$7</f>
        <v>Public</v>
      </c>
      <c r="H218" s="27">
        <f>+'NYNJRR-644.537'!$F$7</f>
        <v>4000000</v>
      </c>
      <c r="I218" s="27">
        <f>+'NYNJRR-644.537'!$F$8</f>
        <v>3838287</v>
      </c>
      <c r="J218" s="27"/>
      <c r="K218" s="26">
        <f>+'NYNJRR-644.537'!$G$9</f>
        <v>-4.0428249999999999E-2</v>
      </c>
      <c r="L218" s="11" t="str">
        <f>+'NYNJRR-644.537'!$F$11</f>
        <v>GOOD</v>
      </c>
      <c r="M218" s="15">
        <f>+'NYNJRR-644.537'!$H$12</f>
        <v>11</v>
      </c>
      <c r="N218" s="35" t="s">
        <v>25</v>
      </c>
      <c r="O218" s="15">
        <v>2</v>
      </c>
      <c r="P218" s="35" t="s">
        <v>492</v>
      </c>
      <c r="Q218" s="35"/>
      <c r="R218" s="15"/>
      <c r="S218" s="24"/>
      <c r="T218" s="62" t="str">
        <f>+'NYNJRR-644.537'!$J$4</f>
        <v>Wen Chang</v>
      </c>
      <c r="U218" s="62"/>
      <c r="V218" s="94">
        <f>+'NYNJRR-644.537'!$F$12</f>
        <v>5748930.4545454541</v>
      </c>
      <c r="W218" s="165">
        <f t="shared" si="91"/>
        <v>0.66765236253035842</v>
      </c>
      <c r="X218" s="15"/>
      <c r="Y218" s="161">
        <f t="shared" si="106"/>
        <v>0.95957174999999995</v>
      </c>
      <c r="Z218" s="11" t="str">
        <f t="shared" si="96"/>
        <v>GOOD</v>
      </c>
      <c r="AA218" s="11"/>
      <c r="AB218" s="15"/>
      <c r="AC218" s="239">
        <f>VLOOKUP(H218,ECON_ADJUSTMENT!J$2:W$240,12,FALSE)</f>
        <v>3891415.7118542856</v>
      </c>
      <c r="AD218" s="15" t="str">
        <f t="shared" si="101"/>
        <v>GOOD</v>
      </c>
      <c r="AE218" s="15"/>
      <c r="AF218" s="15"/>
      <c r="AG218" s="54">
        <f t="shared" si="107"/>
        <v>4000000</v>
      </c>
      <c r="AH218" s="54">
        <f t="shared" si="108"/>
        <v>3838287</v>
      </c>
      <c r="AI218" s="54">
        <f t="shared" si="109"/>
        <v>161713</v>
      </c>
    </row>
    <row r="219" spans="2:35" x14ac:dyDescent="0.25">
      <c r="C219" s="39">
        <v>2016</v>
      </c>
      <c r="D219" s="62" t="str">
        <f>+'HT-473A Void'!$F$4</f>
        <v>HT-473A</v>
      </c>
      <c r="E219" s="63" t="str">
        <f>+'HT-473A Void'!$F$5</f>
        <v>Emerg Gen Infrastructure at NY &amp; NJ Ventilation Bldgs</v>
      </c>
      <c r="F219" s="64">
        <f>+'HT-473A Void'!$F$6</f>
        <v>42496</v>
      </c>
      <c r="G219" s="65" t="str">
        <f>+'HT-473A Void'!$G$7</f>
        <v>Public</v>
      </c>
      <c r="H219" s="27"/>
      <c r="I219" s="27"/>
      <c r="J219" s="27"/>
      <c r="K219" s="26"/>
      <c r="L219" s="11"/>
      <c r="M219" s="15">
        <f>+'HT-473A Void'!$H$12</f>
        <v>9</v>
      </c>
      <c r="N219" s="35" t="s">
        <v>226</v>
      </c>
      <c r="O219" s="15">
        <v>2</v>
      </c>
      <c r="P219" s="35" t="s">
        <v>457</v>
      </c>
      <c r="Q219" s="35"/>
      <c r="R219" s="15"/>
      <c r="S219" s="24" t="s">
        <v>690</v>
      </c>
      <c r="T219" s="62" t="str">
        <f>+'GWB-244.246'!$J$4</f>
        <v>Reddy Gunda</v>
      </c>
      <c r="U219" s="62"/>
      <c r="V219" s="94"/>
      <c r="W219" s="165"/>
      <c r="X219" s="15"/>
      <c r="Y219" s="161"/>
      <c r="Z219" s="11"/>
      <c r="AA219" s="11"/>
      <c r="AB219" s="15"/>
      <c r="AC219" s="239"/>
      <c r="AD219" s="15"/>
      <c r="AE219" s="15"/>
      <c r="AF219" s="15"/>
      <c r="AG219" s="54">
        <f t="shared" si="107"/>
        <v>0</v>
      </c>
      <c r="AH219" s="54">
        <f t="shared" si="108"/>
        <v>0</v>
      </c>
      <c r="AI219" s="54">
        <f t="shared" si="109"/>
        <v>0</v>
      </c>
    </row>
    <row r="220" spans="2:35" x14ac:dyDescent="0.25">
      <c r="C220" s="39">
        <v>2016</v>
      </c>
      <c r="D220" s="62" t="str">
        <f>+'LT-924.014A'!$F$4</f>
        <v>LT-924.014A</v>
      </c>
      <c r="E220" s="63" t="str">
        <f>+'LT-924.014A'!$F$5</f>
        <v>Water Line Leak Repairs</v>
      </c>
      <c r="F220" s="64">
        <f>+'LT-924.014A'!$F$6</f>
        <v>42496</v>
      </c>
      <c r="G220" s="65" t="str">
        <f>+'LT-924.014A'!$G$7</f>
        <v>Public</v>
      </c>
      <c r="H220" s="27">
        <f>+'LT-924.014A'!$F$7</f>
        <v>2000000</v>
      </c>
      <c r="I220" s="27">
        <f>+'LT-924.014A'!$F$8</f>
        <v>2059960</v>
      </c>
      <c r="J220" s="27">
        <v>2059960</v>
      </c>
      <c r="K220" s="26">
        <f>+'LT-924.014A'!$G$9</f>
        <v>2.998E-2</v>
      </c>
      <c r="L220" s="11" t="str">
        <f>+'LT-924.014A'!$F$11</f>
        <v>GOOD</v>
      </c>
      <c r="M220" s="15">
        <f>+'LT-924.014A'!$H$12</f>
        <v>2</v>
      </c>
      <c r="N220" s="35" t="s">
        <v>25</v>
      </c>
      <c r="O220" s="15">
        <v>2</v>
      </c>
      <c r="P220" s="35" t="s">
        <v>457</v>
      </c>
      <c r="Q220" s="35"/>
      <c r="R220" s="15"/>
      <c r="S220" s="24"/>
      <c r="T220" s="62" t="str">
        <f>+'GWB-244.246'!$J$4</f>
        <v>Reddy Gunda</v>
      </c>
      <c r="U220" s="62"/>
      <c r="V220" s="94">
        <f>+'LT-924.014A'!$F$12</f>
        <v>3206380</v>
      </c>
      <c r="W220" s="165">
        <f t="shared" si="91"/>
        <v>0.64245660214946454</v>
      </c>
      <c r="X220" s="15"/>
      <c r="Y220" s="161">
        <f t="shared" si="106"/>
        <v>1.0299799999999999</v>
      </c>
      <c r="Z220" s="11" t="str">
        <f t="shared" si="96"/>
        <v>GOOD</v>
      </c>
      <c r="AA220" s="11"/>
      <c r="AB220" s="15"/>
      <c r="AC220" s="239">
        <f>VLOOKUP(H220,ECON_ADJUSTMENT!J$2:W$240,12,FALSE)</f>
        <v>3236865.5135885938</v>
      </c>
      <c r="AD220" s="15" t="str">
        <f t="shared" si="101"/>
        <v>GOOD</v>
      </c>
      <c r="AE220" s="15"/>
      <c r="AF220" s="15"/>
      <c r="AG220" s="54">
        <f t="shared" si="107"/>
        <v>2000000</v>
      </c>
      <c r="AH220" s="54">
        <f t="shared" si="108"/>
        <v>2059960</v>
      </c>
      <c r="AI220" s="54">
        <f t="shared" si="109"/>
        <v>-59960</v>
      </c>
    </row>
    <row r="221" spans="2:35" x14ac:dyDescent="0.25">
      <c r="C221" s="39">
        <v>2016</v>
      </c>
      <c r="D221" s="62" t="str">
        <f>+'GWB-244.246'!$F$4</f>
        <v>GWB-244.246</v>
      </c>
      <c r="E221" s="63" t="str">
        <f>+'GWB-244.246'!$F$5</f>
        <v>Access Ramp Crash Barrier</v>
      </c>
      <c r="F221" s="64">
        <f>+'GWB-244.246'!$F$6</f>
        <v>42488</v>
      </c>
      <c r="G221" s="65" t="str">
        <f>+'GWB-244.246'!$G$7</f>
        <v>PQL</v>
      </c>
      <c r="H221" s="27">
        <f>+'GWB-244.246'!$F$7</f>
        <v>1700000</v>
      </c>
      <c r="I221" s="27">
        <f>+'GWB-244.246'!$F$8</f>
        <v>815000</v>
      </c>
      <c r="J221" s="27">
        <v>815000</v>
      </c>
      <c r="K221" s="26">
        <f>+'GWB-244.246'!$G$9</f>
        <v>-0.52058823529411768</v>
      </c>
      <c r="L221" s="11" t="str">
        <f>+'GWB-244.246'!$F$11</f>
        <v>FAIL</v>
      </c>
      <c r="M221" s="15">
        <f>+'GWB-244.246'!$H$12</f>
        <v>7</v>
      </c>
      <c r="N221" s="35" t="s">
        <v>25</v>
      </c>
      <c r="O221" s="15">
        <v>2</v>
      </c>
      <c r="P221" s="35" t="s">
        <v>457</v>
      </c>
      <c r="Q221" s="35"/>
      <c r="R221" s="15"/>
      <c r="S221" s="24" t="s">
        <v>662</v>
      </c>
      <c r="T221" s="62" t="str">
        <f>+'GWB-244.246'!$J$4</f>
        <v>Reddy Gunda</v>
      </c>
      <c r="U221" s="62"/>
      <c r="V221" s="94">
        <f>+'GWB-244.246'!$F$12</f>
        <v>1371284.4285714286</v>
      </c>
      <c r="W221" s="165">
        <f t="shared" si="91"/>
        <v>0.5943333002395772</v>
      </c>
      <c r="X221" s="15"/>
      <c r="Y221" s="161">
        <f t="shared" si="106"/>
        <v>0.47941176470588237</v>
      </c>
      <c r="Z221" s="11" t="str">
        <f t="shared" si="96"/>
        <v>FAIL</v>
      </c>
      <c r="AA221" s="11"/>
      <c r="AB221" s="15"/>
      <c r="AC221" s="239">
        <f>VLOOKUP(H221,ECON_ADJUSTMENT!J$2:W$240,12,FALSE)</f>
        <v>2344481.0875007901</v>
      </c>
      <c r="AD221" s="15" t="str">
        <f t="shared" si="101"/>
        <v>FAIL</v>
      </c>
      <c r="AE221" s="15"/>
      <c r="AF221" s="15"/>
      <c r="AG221" s="54">
        <f t="shared" si="107"/>
        <v>1700000</v>
      </c>
      <c r="AH221" s="54">
        <f t="shared" si="108"/>
        <v>815000</v>
      </c>
      <c r="AI221" s="54">
        <f t="shared" si="109"/>
        <v>885000</v>
      </c>
    </row>
    <row r="222" spans="2:35" x14ac:dyDescent="0.25">
      <c r="C222" s="39">
        <v>2016</v>
      </c>
      <c r="D222" s="62" t="str">
        <f>+'HT-224.117'!$F$4</f>
        <v>HT-224.117</v>
      </c>
      <c r="E222" s="63" t="str">
        <f>+'HT-224.117'!$F$5</f>
        <v>Waterside Buffer Zone Protection</v>
      </c>
      <c r="F222" s="64">
        <f>+'HT-224.117'!$F$6</f>
        <v>42486</v>
      </c>
      <c r="G222" s="65" t="str">
        <f>+'HT-224.117'!$G$7</f>
        <v>Public</v>
      </c>
      <c r="H222" s="27">
        <f>+'HT-224.117'!$F$7</f>
        <v>600000</v>
      </c>
      <c r="I222" s="27">
        <f>+'HT-224.117'!$F$8</f>
        <v>675000</v>
      </c>
      <c r="J222" s="27">
        <v>675000</v>
      </c>
      <c r="K222" s="26">
        <f>+'HT-224.117'!$G$9</f>
        <v>0.125</v>
      </c>
      <c r="L222" s="11" t="str">
        <f>+'HT-224.117'!$F$11</f>
        <v>FAIL</v>
      </c>
      <c r="M222" s="15">
        <f>+'HT-224.117'!$H$12</f>
        <v>3</v>
      </c>
      <c r="N222" s="35" t="s">
        <v>93</v>
      </c>
      <c r="O222" s="15">
        <v>2</v>
      </c>
      <c r="P222" s="35" t="s">
        <v>457</v>
      </c>
      <c r="Q222" s="35"/>
      <c r="R222" s="15"/>
      <c r="S222" s="24"/>
      <c r="T222" s="62" t="str">
        <f>+'HT-224.117'!$J$4</f>
        <v>Nathan Demaisip</v>
      </c>
      <c r="U222" s="62"/>
      <c r="V222" s="94">
        <f>+'HT-224.117'!$F$12</f>
        <v>900333.33333333337</v>
      </c>
      <c r="W222" s="165">
        <f t="shared" si="91"/>
        <v>0.74972232506479075</v>
      </c>
      <c r="X222" s="15"/>
      <c r="Y222" s="161">
        <f t="shared" si="106"/>
        <v>1.125</v>
      </c>
      <c r="Z222" s="11" t="str">
        <f t="shared" si="96"/>
        <v>FAIL</v>
      </c>
      <c r="AA222" s="11"/>
      <c r="AB222" s="15"/>
      <c r="AC222" s="239">
        <f>VLOOKUP(H222,ECON_ADJUSTMENT!J$2:W$240,12,FALSE)</f>
        <v>-532301.62203755463</v>
      </c>
      <c r="AD222" s="15" t="str">
        <f t="shared" si="101"/>
        <v>FAIL</v>
      </c>
      <c r="AE222" s="15"/>
      <c r="AF222" s="15"/>
      <c r="AG222" s="54">
        <f t="shared" si="107"/>
        <v>600000</v>
      </c>
      <c r="AH222" s="54">
        <f t="shared" si="108"/>
        <v>675000</v>
      </c>
      <c r="AI222" s="54">
        <f t="shared" si="109"/>
        <v>-75000</v>
      </c>
    </row>
    <row r="223" spans="2:35" x14ac:dyDescent="0.25">
      <c r="C223" s="39">
        <v>2016</v>
      </c>
      <c r="D223" s="62" t="str">
        <f>+'EWR-924.281'!$F$4</f>
        <v>EWR-924.281</v>
      </c>
      <c r="E223" s="63" t="str">
        <f>+'EWR-924.281'!$F$5</f>
        <v>Peripheral Ditch Tide Gate Valve Repairs</v>
      </c>
      <c r="F223" s="64">
        <f>+'EWR-924.281'!$F$6</f>
        <v>42479</v>
      </c>
      <c r="G223" s="65" t="str">
        <f>+'EWR-924.281'!$G$7</f>
        <v>Public</v>
      </c>
      <c r="H223" s="27">
        <f>+'EWR-924.281'!$F$7</f>
        <v>670000</v>
      </c>
      <c r="I223" s="27">
        <f>+'EWR-924.281'!$F$8</f>
        <v>897950</v>
      </c>
      <c r="J223" s="27"/>
      <c r="K223" s="26">
        <f>+'EWR-924.281'!$G$9</f>
        <v>0.34022388059701492</v>
      </c>
      <c r="L223" s="11" t="str">
        <f>+'EWR-924.281'!$F$11</f>
        <v>FAIL</v>
      </c>
      <c r="M223" s="15">
        <f>+'EWR-924.281'!$H$12</f>
        <v>5</v>
      </c>
      <c r="N223" s="35" t="s">
        <v>25</v>
      </c>
      <c r="O223" s="15">
        <v>2</v>
      </c>
      <c r="P223" s="35" t="s">
        <v>458</v>
      </c>
      <c r="Q223" s="35"/>
      <c r="R223" s="15"/>
      <c r="S223" s="24"/>
      <c r="T223" s="62" t="str">
        <f>+'EWR-924.281'!$J$4</f>
        <v>Henry Yu</v>
      </c>
      <c r="U223" s="62"/>
      <c r="V223" s="94">
        <f>+'EWR-924.281'!$F$12</f>
        <v>1079081</v>
      </c>
      <c r="W223" s="165">
        <f t="shared" si="91"/>
        <v>0.8321432774740728</v>
      </c>
      <c r="X223" s="15"/>
      <c r="Y223" s="161">
        <f t="shared" si="106"/>
        <v>1.340223880597015</v>
      </c>
      <c r="Z223" s="11" t="str">
        <f t="shared" si="96"/>
        <v>FAIL</v>
      </c>
      <c r="AA223" s="11"/>
      <c r="AB223" s="15"/>
      <c r="AC223" s="239">
        <f>VLOOKUP(H223,ECON_ADJUSTMENT!J$2:W$240,12,FALSE)</f>
        <v>-471397.48849310051</v>
      </c>
      <c r="AD223" s="15" t="str">
        <f t="shared" si="101"/>
        <v>FAIL</v>
      </c>
      <c r="AE223" s="15"/>
      <c r="AF223" s="15"/>
      <c r="AG223" s="54">
        <f t="shared" si="107"/>
        <v>670000</v>
      </c>
      <c r="AH223" s="54">
        <f t="shared" si="108"/>
        <v>897950</v>
      </c>
      <c r="AI223" s="54">
        <f t="shared" si="109"/>
        <v>-227950</v>
      </c>
    </row>
    <row r="224" spans="2:35" x14ac:dyDescent="0.25">
      <c r="C224" s="39">
        <v>2016</v>
      </c>
      <c r="D224" s="62" t="str">
        <f>+'EP-684.509A'!$F$4</f>
        <v>EP-684.509A</v>
      </c>
      <c r="E224" s="63" t="str">
        <f>+'EP-684.509A'!$F$5</f>
        <v>Bldg 1400 Upgrade of Fire Supression System</v>
      </c>
      <c r="F224" s="64">
        <f>+'EP-684.509A'!$F$6</f>
        <v>42474</v>
      </c>
      <c r="G224" s="65" t="str">
        <f>+'PAT-784.163'!$G$7</f>
        <v>Public</v>
      </c>
      <c r="H224" s="27">
        <f>+'EP-684.509A'!$F$7</f>
        <v>700000</v>
      </c>
      <c r="I224" s="27">
        <f>+'EP-684.509A'!$F$8</f>
        <v>442247</v>
      </c>
      <c r="J224" s="27"/>
      <c r="K224" s="26">
        <f>+'EP-684.509A'!$G$9</f>
        <v>-0.36821857142857145</v>
      </c>
      <c r="L224" s="11" t="str">
        <f>+'EP-684.509A'!$F$11</f>
        <v>GOOD</v>
      </c>
      <c r="M224" s="15">
        <f>+'EP-684.509A'!$H$12</f>
        <v>6</v>
      </c>
      <c r="N224" s="35" t="s">
        <v>25</v>
      </c>
      <c r="O224" s="15">
        <v>2</v>
      </c>
      <c r="P224" s="35" t="s">
        <v>492</v>
      </c>
      <c r="Q224" s="35"/>
      <c r="R224" s="15"/>
      <c r="S224" s="24"/>
      <c r="T224" s="62" t="str">
        <f>+'EP-684.509A'!$J$4</f>
        <v>Wen Chang</v>
      </c>
      <c r="U224" s="62"/>
      <c r="V224" s="94">
        <f>+'EP-684.509A'!$F$12</f>
        <v>855124.16666666663</v>
      </c>
      <c r="W224" s="165">
        <f t="shared" si="91"/>
        <v>0.51717284721809409</v>
      </c>
      <c r="X224" s="15"/>
      <c r="Y224" s="161">
        <f t="shared" si="106"/>
        <v>0.6317814285714286</v>
      </c>
      <c r="Z224" s="11" t="str">
        <f t="shared" si="96"/>
        <v>FAIL</v>
      </c>
      <c r="AA224" s="11"/>
      <c r="AB224" s="15"/>
      <c r="AC224" s="239">
        <f>VLOOKUP(H224,ECON_ADJUSTMENT!J$2:W$240,12,FALSE)</f>
        <v>-445295.71697404876</v>
      </c>
      <c r="AD224" s="15" t="str">
        <f t="shared" si="101"/>
        <v>FAIL</v>
      </c>
      <c r="AE224" s="15"/>
      <c r="AF224" s="15"/>
      <c r="AG224" s="54">
        <f t="shared" si="107"/>
        <v>700000</v>
      </c>
      <c r="AH224" s="54">
        <f t="shared" si="108"/>
        <v>442247</v>
      </c>
      <c r="AI224" s="54">
        <f t="shared" si="109"/>
        <v>257753</v>
      </c>
    </row>
    <row r="225" spans="2:39" x14ac:dyDescent="0.25">
      <c r="C225" s="39">
        <v>2016</v>
      </c>
      <c r="D225" s="62" t="str">
        <f>+'PAT-784.163'!$F$4</f>
        <v>PAT-784.163</v>
      </c>
      <c r="E225" s="63" t="str">
        <f>+'PAT-784.163'!$F$5</f>
        <v>PATH - Infrastructure for Standby Generators</v>
      </c>
      <c r="F225" s="64">
        <f>+'PAT-784.163'!$F$6</f>
        <v>42473</v>
      </c>
      <c r="G225" s="65" t="str">
        <f>+'PAT-784.163'!$G$7</f>
        <v>Public</v>
      </c>
      <c r="H225" s="27">
        <f>+'PAT-784.163'!$F$7</f>
        <v>1900000</v>
      </c>
      <c r="I225" s="27">
        <f>+'PAT-784.163'!$F$8</f>
        <v>1348800</v>
      </c>
      <c r="J225" s="27">
        <v>1348800</v>
      </c>
      <c r="K225" s="26">
        <f>+'PAT-784.163'!$G$9</f>
        <v>-0.29010526315789475</v>
      </c>
      <c r="L225" s="11" t="str">
        <f>+'PAT-784.163'!$F$11</f>
        <v>GOOD</v>
      </c>
      <c r="M225" s="15">
        <f>+'PAT-784.163'!$H$12</f>
        <v>11</v>
      </c>
      <c r="N225" s="35" t="s">
        <v>25</v>
      </c>
      <c r="O225" s="15">
        <v>2</v>
      </c>
      <c r="P225" s="35" t="s">
        <v>459</v>
      </c>
      <c r="Q225" s="35"/>
      <c r="R225" s="15"/>
      <c r="S225" s="24" t="s">
        <v>608</v>
      </c>
      <c r="T225" s="62" t="str">
        <f>+'PAT-784.163'!$J$4</f>
        <v>Nathan Demaisip</v>
      </c>
      <c r="U225" s="62"/>
      <c r="V225" s="94">
        <f>+'PAT-784.163'!$F$12</f>
        <v>2490256.4545454546</v>
      </c>
      <c r="W225" s="165">
        <f t="shared" si="91"/>
        <v>0.54163096236053965</v>
      </c>
      <c r="X225" s="15"/>
      <c r="Y225" s="161">
        <f t="shared" si="106"/>
        <v>0.70989473684210525</v>
      </c>
      <c r="Z225" s="11" t="str">
        <f t="shared" si="96"/>
        <v>FAIL</v>
      </c>
      <c r="AA225" s="11"/>
      <c r="AB225" s="15"/>
      <c r="AC225" s="239">
        <f>VLOOKUP(H225,ECON_ADJUSTMENT!J$2:W$240,12,FALSE)</f>
        <v>1230141.8546853079</v>
      </c>
      <c r="AD225" s="15" t="str">
        <f t="shared" si="101"/>
        <v>GOOD</v>
      </c>
      <c r="AE225" s="15"/>
      <c r="AF225" s="15"/>
      <c r="AG225" s="54">
        <f t="shared" si="107"/>
        <v>1900000</v>
      </c>
      <c r="AH225" s="54">
        <f t="shared" si="108"/>
        <v>1348800</v>
      </c>
      <c r="AI225" s="54">
        <f t="shared" si="109"/>
        <v>551200</v>
      </c>
    </row>
    <row r="226" spans="2:39" x14ac:dyDescent="0.25">
      <c r="B226" s="164">
        <f>(COUNTIF(L214:L226,"G*")/COUNTA(L214:L226))</f>
        <v>0.5</v>
      </c>
      <c r="C226" s="39">
        <v>2016</v>
      </c>
      <c r="D226" s="62" t="str">
        <f>+'SWF-164.054'!$F$4</f>
        <v>SWF-164.054</v>
      </c>
      <c r="E226" s="63" t="str">
        <f>+'SWF-164.054'!$F$5</f>
        <v>Stewart Airport - Backflow Prevention and Sump Pumps</v>
      </c>
      <c r="F226" s="64">
        <f>+'SWF-164.054'!$F$6</f>
        <v>42465</v>
      </c>
      <c r="G226" s="65" t="str">
        <f>+'SWF-164.054'!$G$7</f>
        <v>Public</v>
      </c>
      <c r="H226" s="27">
        <f>+'SWF-164.054'!$F$7</f>
        <v>1300000</v>
      </c>
      <c r="I226" s="27">
        <f>+'SWF-164.054'!$F$8</f>
        <v>1334000</v>
      </c>
      <c r="J226" s="27"/>
      <c r="K226" s="26">
        <f>+'SWF-164.054'!$G$9</f>
        <v>2.6153846153846153E-2</v>
      </c>
      <c r="L226" s="11" t="str">
        <f>+'SWF-164.054'!$F$11</f>
        <v>GOOD</v>
      </c>
      <c r="M226" s="15">
        <f>+'SWF-164.054'!$H$12</f>
        <v>6</v>
      </c>
      <c r="N226" s="35" t="s">
        <v>93</v>
      </c>
      <c r="O226" s="15">
        <v>2</v>
      </c>
      <c r="P226" s="35" t="s">
        <v>458</v>
      </c>
      <c r="Q226" s="35"/>
      <c r="R226" s="15"/>
      <c r="S226" s="24"/>
      <c r="T226" s="62" t="str">
        <f>+'SWF-164.054'!$J$4</f>
        <v>Lucita Mendoza</v>
      </c>
      <c r="U226" s="62"/>
      <c r="V226" s="94">
        <f>+'SWF-164.054'!$F$12</f>
        <v>2050240.6666666667</v>
      </c>
      <c r="W226" s="165">
        <f t="shared" ref="W226:W283" si="110">+I226/V226</f>
        <v>0.65065532144031224</v>
      </c>
      <c r="X226" s="15"/>
      <c r="Y226" s="161">
        <f t="shared" si="106"/>
        <v>1.0261538461538462</v>
      </c>
      <c r="Z226" s="11" t="str">
        <f t="shared" si="96"/>
        <v>GOOD</v>
      </c>
      <c r="AA226" s="11"/>
      <c r="AB226" s="15"/>
      <c r="AC226" s="239">
        <f>VLOOKUP(H226,ECON_ADJUSTMENT!J$2:W$240,12,FALSE)</f>
        <v>1996457.4672467667</v>
      </c>
      <c r="AD226" s="15" t="str">
        <f t="shared" si="101"/>
        <v>GOOD</v>
      </c>
      <c r="AE226" s="15"/>
      <c r="AF226" s="15"/>
      <c r="AG226" s="54">
        <f t="shared" si="107"/>
        <v>1300000</v>
      </c>
      <c r="AH226" s="54">
        <f t="shared" si="108"/>
        <v>1334000</v>
      </c>
      <c r="AI226" s="54">
        <f t="shared" si="109"/>
        <v>-34000</v>
      </c>
    </row>
    <row r="227" spans="2:39" ht="7.5" customHeight="1" x14ac:dyDescent="0.25">
      <c r="C227" s="39"/>
      <c r="G227" s="45"/>
      <c r="P227" s="11"/>
      <c r="Q227" s="11"/>
      <c r="T227" s="15"/>
      <c r="U227" s="15"/>
      <c r="V227" s="94"/>
      <c r="W227" s="165"/>
      <c r="AC227" s="239"/>
      <c r="AD227" s="15"/>
      <c r="AG227" s="54"/>
      <c r="AH227" s="54"/>
      <c r="AI227" s="54"/>
    </row>
    <row r="228" spans="2:39" x14ac:dyDescent="0.25">
      <c r="C228" s="39">
        <v>2016</v>
      </c>
      <c r="D228" s="15" t="str">
        <f>+'MFP-924.638'!$F$4</f>
        <v>MFP-924.638</v>
      </c>
      <c r="E228" s="24" t="str">
        <f>+'MFP-924.638'!$F$5</f>
        <v>NJ Marine Terminals - Dredging via Work Order</v>
      </c>
      <c r="F228" s="25">
        <f>+'MFP-924.638'!$F$6</f>
        <v>42450</v>
      </c>
      <c r="G228" s="46" t="str">
        <f>+'MFP-924.638'!$G$7</f>
        <v>PQL</v>
      </c>
      <c r="H228" s="27">
        <f>+'MFP-924.638'!$F$7</f>
        <v>13100000</v>
      </c>
      <c r="I228" s="27">
        <f>+'MFP-924.638'!$F$8</f>
        <v>14145813</v>
      </c>
      <c r="J228" s="27"/>
      <c r="K228" s="26">
        <f>+'MFP-924.638'!$G$9</f>
        <v>7.9833053435114501E-2</v>
      </c>
      <c r="L228" s="11" t="str">
        <f>+'MFP-924.638'!$F$11</f>
        <v>GOOD</v>
      </c>
      <c r="M228" s="15">
        <f>+'MFP-924.638'!$H$12</f>
        <v>5</v>
      </c>
      <c r="N228" s="35" t="s">
        <v>25</v>
      </c>
      <c r="O228" s="15">
        <v>1</v>
      </c>
      <c r="P228" s="35" t="s">
        <v>492</v>
      </c>
      <c r="Q228" s="35"/>
      <c r="R228" s="15"/>
      <c r="S228" s="24"/>
      <c r="T228" s="15" t="str">
        <f>+'MFP-924.638'!$J$4</f>
        <v>Wen Chang</v>
      </c>
      <c r="U228" s="15"/>
      <c r="V228" s="94">
        <f>+'MFP-924.638'!$F$12</f>
        <v>16660915.6</v>
      </c>
      <c r="W228" s="165">
        <f t="shared" si="110"/>
        <v>0.84904175374371382</v>
      </c>
      <c r="X228" s="15"/>
      <c r="Y228" s="161">
        <f t="shared" ref="Y228:Y237" si="111">+I228/H228</f>
        <v>1.0798330534351146</v>
      </c>
      <c r="Z228" s="11" t="str">
        <f t="shared" si="96"/>
        <v>GOOD</v>
      </c>
      <c r="AA228" s="11"/>
      <c r="AB228" s="15"/>
      <c r="AC228" s="239">
        <f>VLOOKUP(H228,ECON_ADJUSTMENT!J$2:W$240,12,FALSE)</f>
        <v>16110931.379448671</v>
      </c>
      <c r="AD228" s="15" t="str">
        <f t="shared" si="101"/>
        <v>GOOD</v>
      </c>
      <c r="AE228" s="15"/>
      <c r="AF228" s="15"/>
      <c r="AG228" s="54">
        <f>+H228</f>
        <v>13100000</v>
      </c>
      <c r="AH228" s="54">
        <f>+I228</f>
        <v>14145813</v>
      </c>
      <c r="AI228" s="54">
        <f>+AG228-AH228</f>
        <v>-1045813</v>
      </c>
      <c r="AK228" s="4">
        <f>SUM(AG228:AG238)</f>
        <v>142801000</v>
      </c>
      <c r="AL228" s="4">
        <f>SUM(AH228:AH238)</f>
        <v>116652275</v>
      </c>
      <c r="AM228" s="7">
        <f>+AK228/AL228</f>
        <v>1.2241595802567931</v>
      </c>
    </row>
    <row r="229" spans="2:39" x14ac:dyDescent="0.25">
      <c r="C229" s="39">
        <v>2016</v>
      </c>
      <c r="D229" s="15" t="str">
        <f>+'EWR-154.197'!$F$4</f>
        <v>EWR-154.197</v>
      </c>
      <c r="E229" s="24" t="str">
        <f>+'EWR-154.197'!$F$5</f>
        <v>Newark - Infrastructure Renewal, Electrical</v>
      </c>
      <c r="F229" s="25">
        <f>+'EWR-154.197'!$F$6</f>
        <v>42438</v>
      </c>
      <c r="G229" s="46" t="str">
        <f>+'EWR-154.197'!$G$7</f>
        <v>Public</v>
      </c>
      <c r="H229" s="27">
        <f>+'EWR-154.197'!$F$7</f>
        <v>25210000</v>
      </c>
      <c r="I229" s="27">
        <f>+'EWR-154.197'!$F$8</f>
        <v>17827873</v>
      </c>
      <c r="J229" s="27"/>
      <c r="K229" s="26">
        <f>+'EWR-154.197'!$G$9</f>
        <v>-0.29282534708449026</v>
      </c>
      <c r="L229" s="11" t="str">
        <f>+'EWR-154.197'!$F$11</f>
        <v>FAIL</v>
      </c>
      <c r="M229" s="15">
        <f>+'EWR-154.197'!$H$12</f>
        <v>13</v>
      </c>
      <c r="N229" s="35" t="s">
        <v>25</v>
      </c>
      <c r="O229" s="15">
        <v>1</v>
      </c>
      <c r="P229" s="35" t="s">
        <v>458</v>
      </c>
      <c r="Q229" s="35"/>
      <c r="R229" s="15"/>
      <c r="S229" s="24"/>
      <c r="T229" s="15" t="str">
        <f>+'EWR-154.197'!$J$4</f>
        <v>Nathan Demaisip</v>
      </c>
      <c r="U229" s="15"/>
      <c r="V229" s="94">
        <f>+'EWR-154.197'!$F$12</f>
        <v>21472408.615384616</v>
      </c>
      <c r="W229" s="165">
        <f t="shared" si="110"/>
        <v>0.83026889620695055</v>
      </c>
      <c r="X229" s="15"/>
      <c r="Y229" s="161">
        <f t="shared" si="111"/>
        <v>0.70717465291550974</v>
      </c>
      <c r="Z229" s="11" t="str">
        <f t="shared" si="96"/>
        <v>FAIL</v>
      </c>
      <c r="AA229" s="11"/>
      <c r="AB229" s="15"/>
      <c r="AC229" s="239">
        <f>VLOOKUP(H229,ECON_ADJUSTMENT!J$2:W$240,12,FALSE)</f>
        <v>24727628.728799459</v>
      </c>
      <c r="AD229" s="15" t="str">
        <f t="shared" si="101"/>
        <v>FAIL</v>
      </c>
      <c r="AE229" s="15"/>
      <c r="AF229" s="15"/>
      <c r="AG229" s="54">
        <f t="shared" ref="AG229:AG283" si="112">+H229</f>
        <v>25210000</v>
      </c>
      <c r="AH229" s="54">
        <f t="shared" ref="AH229:AH283" si="113">+I229</f>
        <v>17827873</v>
      </c>
      <c r="AI229" s="54">
        <f t="shared" ref="AI229:AI283" si="114">+AG229-AH229</f>
        <v>7382127</v>
      </c>
    </row>
    <row r="230" spans="2:39" x14ac:dyDescent="0.25">
      <c r="C230" s="39">
        <v>2016</v>
      </c>
      <c r="D230" s="15" t="str">
        <f>+'LGA-774.133B'!$F$4</f>
        <v>LGA-774.133B</v>
      </c>
      <c r="E230" s="24" t="str">
        <f>+'LGA-774.133B'!$F$5</f>
        <v>LGA - Emergency Storm Drainage Outfalls</v>
      </c>
      <c r="F230" s="25">
        <f>+'LGA-774.133B'!$F$6</f>
        <v>42418</v>
      </c>
      <c r="G230" s="46" t="str">
        <f>+'LGA-774.133B'!$G$7</f>
        <v>Public</v>
      </c>
      <c r="H230" s="27">
        <f>+'LGA-774.133B'!$F$7</f>
        <v>3250000</v>
      </c>
      <c r="I230" s="27">
        <f>+'LGA-774.133B'!$F$8</f>
        <v>2849549</v>
      </c>
      <c r="J230" s="27"/>
      <c r="K230" s="26">
        <f>+'LGA-774.133B'!$G$9</f>
        <v>-0.1232156923076923</v>
      </c>
      <c r="L230" s="11" t="str">
        <f>+'LGA-774.133B'!$F$11</f>
        <v>GOOD</v>
      </c>
      <c r="M230" s="15">
        <f>+'LGA-774.133B'!$H$12</f>
        <v>12</v>
      </c>
      <c r="N230" s="35" t="s">
        <v>93</v>
      </c>
      <c r="O230" s="15">
        <v>1</v>
      </c>
      <c r="P230" s="35" t="s">
        <v>458</v>
      </c>
      <c r="Q230" s="35"/>
      <c r="R230" s="15"/>
      <c r="S230" s="24"/>
      <c r="T230" s="15" t="str">
        <f>+'LGA-774.133B'!$J$4</f>
        <v>Lucita Mendoza</v>
      </c>
      <c r="U230" s="15"/>
      <c r="V230" s="94">
        <f>+'LGA-774.133B'!$F$12</f>
        <v>4197140.833333333</v>
      </c>
      <c r="W230" s="165">
        <f t="shared" si="110"/>
        <v>0.67892622934382518</v>
      </c>
      <c r="X230" s="15"/>
      <c r="Y230" s="161">
        <f t="shared" si="111"/>
        <v>0.87678430769230764</v>
      </c>
      <c r="Z230" s="11" t="str">
        <f t="shared" si="96"/>
        <v>GOOD</v>
      </c>
      <c r="AA230" s="11"/>
      <c r="AB230" s="15"/>
      <c r="AC230" s="239">
        <f>VLOOKUP(H230,ECON_ADJUSTMENT!J$2:W$240,12,FALSE)</f>
        <v>3146305.1243784418</v>
      </c>
      <c r="AD230" s="15" t="str">
        <f t="shared" si="101"/>
        <v>GOOD</v>
      </c>
      <c r="AE230" s="15"/>
      <c r="AF230" s="15"/>
      <c r="AG230" s="54">
        <f t="shared" si="112"/>
        <v>3250000</v>
      </c>
      <c r="AH230" s="54">
        <f t="shared" si="113"/>
        <v>2849549</v>
      </c>
      <c r="AI230" s="54">
        <f t="shared" si="114"/>
        <v>400451</v>
      </c>
    </row>
    <row r="231" spans="2:39" x14ac:dyDescent="0.25">
      <c r="C231" s="39">
        <v>2016</v>
      </c>
      <c r="D231" s="15" t="str">
        <f>+'GWB-244.150'!$F$4</f>
        <v>GWB-244.150</v>
      </c>
      <c r="E231" s="24" t="str">
        <f>+'GWB-244.150'!$F$5</f>
        <v>GWB - Replacement of PIP Helix, et. al.</v>
      </c>
      <c r="F231" s="25">
        <f>+'GWB-244.150'!$F$6</f>
        <v>42411</v>
      </c>
      <c r="G231" s="46" t="str">
        <f>+'GWB-244.150'!$G$7</f>
        <v>Public</v>
      </c>
      <c r="H231" s="27">
        <f>+'GWB-244.150'!$F$7</f>
        <v>69865000</v>
      </c>
      <c r="I231" s="27">
        <f>+'GWB-244.150'!$F$8</f>
        <v>57000000</v>
      </c>
      <c r="J231" s="27"/>
      <c r="K231" s="26">
        <f>+'GWB-244.150'!$G$9</f>
        <v>-0.18414084305446218</v>
      </c>
      <c r="L231" s="11" t="str">
        <f>+'GWB-244.150'!$F$11</f>
        <v>GOOD</v>
      </c>
      <c r="M231" s="15">
        <f>+'GWB-244.150'!$H$12</f>
        <v>11</v>
      </c>
      <c r="N231" s="35" t="s">
        <v>25</v>
      </c>
      <c r="O231" s="15">
        <v>1</v>
      </c>
      <c r="P231" s="35" t="s">
        <v>457</v>
      </c>
      <c r="Q231" s="35"/>
      <c r="R231" s="15"/>
      <c r="S231" s="24"/>
      <c r="T231" s="15" t="str">
        <f>+'GWB-244.150'!$J$4</f>
        <v>Reddy Gunda and Henry Yu</v>
      </c>
      <c r="U231" s="15"/>
      <c r="V231" s="94">
        <f>+'GWB-244.150'!$F$12</f>
        <v>72747881.454545453</v>
      </c>
      <c r="W231" s="165">
        <f t="shared" si="110"/>
        <v>0.78352797167866539</v>
      </c>
      <c r="X231" s="15"/>
      <c r="Y231" s="161">
        <f t="shared" si="111"/>
        <v>0.81585915694553779</v>
      </c>
      <c r="Z231" s="11" t="str">
        <f t="shared" si="96"/>
        <v>FAIL</v>
      </c>
      <c r="AA231" s="11"/>
      <c r="AB231" s="15"/>
      <c r="AC231" s="239">
        <f>VLOOKUP(H231,ECON_ADJUSTMENT!J$2:W$240,12,FALSE)</f>
        <v>63580115.634908013</v>
      </c>
      <c r="AD231" s="15" t="str">
        <f t="shared" si="101"/>
        <v>GOOD</v>
      </c>
      <c r="AE231" s="15"/>
      <c r="AF231" s="15"/>
      <c r="AG231" s="54">
        <f t="shared" si="112"/>
        <v>69865000</v>
      </c>
      <c r="AH231" s="54">
        <f t="shared" si="113"/>
        <v>57000000</v>
      </c>
      <c r="AI231" s="54">
        <f t="shared" si="114"/>
        <v>12865000</v>
      </c>
    </row>
    <row r="232" spans="2:39" x14ac:dyDescent="0.25">
      <c r="C232" s="39">
        <v>2016</v>
      </c>
      <c r="D232" s="15" t="str">
        <f>+'LGA-124.240'!$F$4</f>
        <v>LGA-124.240</v>
      </c>
      <c r="E232" s="24" t="str">
        <f>+'LGA-124.240'!$F$5</f>
        <v>LGA - Rehab Taxiway B between G and CY</v>
      </c>
      <c r="F232" s="25">
        <f>+'LGA-124.240'!$F$6</f>
        <v>42404</v>
      </c>
      <c r="G232" s="46" t="str">
        <f>+'LGA-124.240'!$G$7</f>
        <v>Public</v>
      </c>
      <c r="H232" s="27">
        <f>+'LGA-124.240'!$F$7</f>
        <v>4072000</v>
      </c>
      <c r="I232" s="27">
        <f>+'LGA-124.240'!$F$8</f>
        <v>2733000</v>
      </c>
      <c r="J232" s="27"/>
      <c r="K232" s="26">
        <f>+'LGA-124.240'!$G$9</f>
        <v>-0.3288310412573674</v>
      </c>
      <c r="L232" s="11" t="str">
        <f>+'LGA-124.240'!$F$11</f>
        <v>FAIL</v>
      </c>
      <c r="M232" s="15">
        <f>+'LGA-124.240'!$H$12</f>
        <v>3</v>
      </c>
      <c r="N232" s="35" t="s">
        <v>93</v>
      </c>
      <c r="O232" s="15">
        <v>1</v>
      </c>
      <c r="P232" s="35" t="s">
        <v>458</v>
      </c>
      <c r="Q232" s="35"/>
      <c r="R232" s="15"/>
      <c r="S232" s="24"/>
      <c r="T232" s="15" t="str">
        <f>+'LGA-124.240'!$J$4</f>
        <v>Lucita Mendoza</v>
      </c>
      <c r="U232" s="15"/>
      <c r="V232" s="94">
        <f>+'LGA-124.240'!$F$12</f>
        <v>3414973.6666666665</v>
      </c>
      <c r="W232" s="165">
        <f t="shared" si="110"/>
        <v>0.80029899693711648</v>
      </c>
      <c r="X232" s="15"/>
      <c r="Y232" s="161">
        <f t="shared" si="111"/>
        <v>0.6711689587426326</v>
      </c>
      <c r="Z232" s="11" t="str">
        <f t="shared" si="96"/>
        <v>FAIL</v>
      </c>
      <c r="AA232" s="11"/>
      <c r="AB232" s="15"/>
      <c r="AC232" s="239">
        <f>VLOOKUP(H232,ECON_ADJUSTMENT!J$2:W$240,12,FALSE)</f>
        <v>3861493.6640004599</v>
      </c>
      <c r="AD232" s="15" t="str">
        <f t="shared" si="101"/>
        <v>FAIL</v>
      </c>
      <c r="AE232" s="15"/>
      <c r="AF232" s="15"/>
      <c r="AG232" s="54">
        <f t="shared" si="112"/>
        <v>4072000</v>
      </c>
      <c r="AH232" s="54">
        <f t="shared" si="113"/>
        <v>2733000</v>
      </c>
      <c r="AI232" s="54">
        <f t="shared" si="114"/>
        <v>1339000</v>
      </c>
    </row>
    <row r="233" spans="2:39" x14ac:dyDescent="0.25">
      <c r="C233" s="39">
        <v>2016</v>
      </c>
      <c r="D233" s="15" t="str">
        <f>+'LGA-103.014'!$F$4</f>
        <v>LGA-103.014</v>
      </c>
      <c r="E233" s="24" t="str">
        <f>+'LGA-103.014'!$F$5</f>
        <v>LGA - Pump Houses 2 and 3 Rehabilitation</v>
      </c>
      <c r="F233" s="25">
        <f>+'LGA-103.014'!$F$6</f>
        <v>42394</v>
      </c>
      <c r="G233" s="46" t="str">
        <f>+'LGA-103.014'!$G$7</f>
        <v>Public</v>
      </c>
      <c r="H233" s="27">
        <f>+'LGA-103.014'!$F$7</f>
        <v>2530000</v>
      </c>
      <c r="I233" s="27">
        <f>+'LGA-103.014'!$F$8</f>
        <v>1836000</v>
      </c>
      <c r="J233" s="27"/>
      <c r="K233" s="26">
        <f>+'LGA-103.014'!$G$9</f>
        <v>-0.27430830039525694</v>
      </c>
      <c r="L233" s="11" t="str">
        <f>+'LGA-103.014'!$F$11</f>
        <v>GOOD</v>
      </c>
      <c r="M233" s="15">
        <f>+'LGA-103.014'!$H$12</f>
        <v>7</v>
      </c>
      <c r="N233" s="35" t="s">
        <v>93</v>
      </c>
      <c r="O233" s="15">
        <v>1</v>
      </c>
      <c r="P233" s="35" t="s">
        <v>458</v>
      </c>
      <c r="Q233" s="35"/>
      <c r="R233" s="15"/>
      <c r="S233" s="24"/>
      <c r="T233" s="15" t="str">
        <f>+'LGA-103.014'!$J$4</f>
        <v>Lucita Mendoza</v>
      </c>
      <c r="U233" s="15"/>
      <c r="V233" s="94">
        <f>+'LGA-103.014'!$F$12</f>
        <v>3023514.2857142859</v>
      </c>
      <c r="W233" s="165">
        <f t="shared" si="110"/>
        <v>0.60724039197527946</v>
      </c>
      <c r="X233" s="15"/>
      <c r="Y233" s="161">
        <f t="shared" si="111"/>
        <v>0.72569169960474311</v>
      </c>
      <c r="Z233" s="11" t="str">
        <f t="shared" si="96"/>
        <v>FAIL</v>
      </c>
      <c r="AA233" s="11"/>
      <c r="AB233" s="15"/>
      <c r="AC233" s="239">
        <f>VLOOKUP(H233,ECON_ADJUSTMENT!J$2:W$240,12,FALSE)</f>
        <v>2519862.6079211989</v>
      </c>
      <c r="AD233" s="15" t="str">
        <f t="shared" si="101"/>
        <v>GOOD</v>
      </c>
      <c r="AE233" s="15"/>
      <c r="AF233" s="15"/>
      <c r="AG233" s="54">
        <f t="shared" si="112"/>
        <v>2530000</v>
      </c>
      <c r="AH233" s="54">
        <f t="shared" si="113"/>
        <v>1836000</v>
      </c>
      <c r="AI233" s="54">
        <f t="shared" si="114"/>
        <v>694000</v>
      </c>
    </row>
    <row r="234" spans="2:39" x14ac:dyDescent="0.25">
      <c r="C234" s="39">
        <v>2016</v>
      </c>
      <c r="D234" s="15" t="str">
        <f>+'PAT-774.154'!$F$4</f>
        <v>PAT-774.154</v>
      </c>
      <c r="E234" s="24" t="str">
        <f>+'PAT-774.154'!$F$5</f>
        <v>PATH - Hoboken Station Under-Platform Fan Replacement</v>
      </c>
      <c r="F234" s="25">
        <f>+'PAT-774.154'!$F$6</f>
        <v>42391</v>
      </c>
      <c r="G234" s="46" t="str">
        <f>+'PAT-774.154'!$G$7</f>
        <v>Public</v>
      </c>
      <c r="H234" s="27">
        <f>+'PAT-774.154'!$F$7</f>
        <v>4574000</v>
      </c>
      <c r="I234" s="27">
        <f>+'PAT-774.154'!$F$8</f>
        <v>3774000</v>
      </c>
      <c r="J234" s="27">
        <v>3774000</v>
      </c>
      <c r="K234" s="26">
        <f>+'PAT-774.154'!$G$9</f>
        <v>-0.17490161783996502</v>
      </c>
      <c r="L234" s="11" t="str">
        <f>+'PAT-774.154'!$F$11</f>
        <v>GOOD</v>
      </c>
      <c r="M234" s="15">
        <f>+'PAT-774.154'!$H$12</f>
        <v>4</v>
      </c>
      <c r="N234" s="35" t="s">
        <v>25</v>
      </c>
      <c r="O234" s="15">
        <v>1</v>
      </c>
      <c r="P234" s="35" t="s">
        <v>459</v>
      </c>
      <c r="Q234" s="35"/>
      <c r="R234" s="15"/>
      <c r="S234" s="24"/>
      <c r="T234" s="15" t="str">
        <f>+'PAT-774.154'!$J$4</f>
        <v>Nathan Demaisip</v>
      </c>
      <c r="U234" s="15"/>
      <c r="V234" s="94">
        <f>+'PAT-774.154'!$F$12</f>
        <v>4382074.75</v>
      </c>
      <c r="W234" s="165">
        <f t="shared" si="110"/>
        <v>0.86123587919170019</v>
      </c>
      <c r="X234" s="15"/>
      <c r="Y234" s="161">
        <f t="shared" si="111"/>
        <v>0.82509838216003495</v>
      </c>
      <c r="Z234" s="11" t="str">
        <f t="shared" si="96"/>
        <v>FAIL</v>
      </c>
      <c r="AA234" s="11"/>
      <c r="AB234" s="15"/>
      <c r="AC234" s="239">
        <f>VLOOKUP(H234,ECON_ADJUSTMENT!J$2:W$240,12,FALSE)</f>
        <v>4298263.3074192591</v>
      </c>
      <c r="AD234" s="15" t="str">
        <f t="shared" si="101"/>
        <v>GOOD</v>
      </c>
      <c r="AE234" s="15"/>
      <c r="AF234" s="15"/>
      <c r="AG234" s="54">
        <f t="shared" si="112"/>
        <v>4574000</v>
      </c>
      <c r="AH234" s="54">
        <f t="shared" si="113"/>
        <v>3774000</v>
      </c>
      <c r="AI234" s="54">
        <f t="shared" si="114"/>
        <v>800000</v>
      </c>
    </row>
    <row r="235" spans="2:39" x14ac:dyDescent="0.25">
      <c r="C235" s="39">
        <v>2016</v>
      </c>
      <c r="D235" s="15" t="str">
        <f>+'PN-654.544'!$F$4</f>
        <v>PN-654.544</v>
      </c>
      <c r="E235" s="24" t="str">
        <f>+'PN-654.544'!$F$5</f>
        <v>Port Newark - Install Intelligent Transport Devices and Traffic Signals</v>
      </c>
      <c r="F235" s="25">
        <f>+'PN-654.544'!$F$6</f>
        <v>42389</v>
      </c>
      <c r="G235" s="46" t="str">
        <f>+'PN-654.544'!$G$7</f>
        <v>Public</v>
      </c>
      <c r="H235" s="27">
        <f>+'PN-654.544'!$F$7</f>
        <v>10000000</v>
      </c>
      <c r="I235" s="27">
        <f>+'PN-654.544'!$F$8</f>
        <v>6499990</v>
      </c>
      <c r="J235" s="27"/>
      <c r="K235" s="26">
        <f>+'PN-654.544'!$G$9</f>
        <v>-0.35000100000000001</v>
      </c>
      <c r="L235" s="11" t="str">
        <f>+'PN-654.544'!$F$11</f>
        <v>FAIL</v>
      </c>
      <c r="M235" s="15">
        <f>+'PN-654.544'!$H$12</f>
        <v>6</v>
      </c>
      <c r="N235" s="35" t="s">
        <v>25</v>
      </c>
      <c r="O235" s="15">
        <v>1</v>
      </c>
      <c r="P235" s="35" t="s">
        <v>492</v>
      </c>
      <c r="Q235" s="35"/>
      <c r="R235" s="15"/>
      <c r="S235" s="24"/>
      <c r="T235" s="15" t="str">
        <f>+'PN-654.544'!$J$4</f>
        <v>Wen Chang</v>
      </c>
      <c r="U235" s="15"/>
      <c r="V235" s="94">
        <f>+'PN-654.544'!$F$12</f>
        <v>8102115</v>
      </c>
      <c r="W235" s="165">
        <f t="shared" si="110"/>
        <v>0.80225842264643243</v>
      </c>
      <c r="X235" s="15"/>
      <c r="Y235" s="161">
        <f t="shared" si="111"/>
        <v>0.64999899999999999</v>
      </c>
      <c r="Z235" s="11" t="str">
        <f t="shared" si="96"/>
        <v>FAIL</v>
      </c>
      <c r="AA235" s="11"/>
      <c r="AB235" s="15"/>
      <c r="AC235" s="239">
        <f>VLOOKUP(H235,ECON_ADJUSTMENT!J$2:W$240,12,FALSE)</f>
        <v>9111770.0156646408</v>
      </c>
      <c r="AD235" s="15" t="str">
        <f t="shared" si="101"/>
        <v>FAIL</v>
      </c>
      <c r="AE235" s="15"/>
      <c r="AF235" s="15"/>
      <c r="AG235" s="54">
        <f t="shared" si="112"/>
        <v>10000000</v>
      </c>
      <c r="AH235" s="54">
        <f t="shared" si="113"/>
        <v>6499990</v>
      </c>
      <c r="AI235" s="54">
        <f t="shared" si="114"/>
        <v>3500010</v>
      </c>
    </row>
    <row r="236" spans="2:39" x14ac:dyDescent="0.25">
      <c r="C236" s="39">
        <v>2016</v>
      </c>
      <c r="D236" s="15" t="str">
        <f>+'WTC-222.004'!$F$4</f>
        <v>WTC-222.004</v>
      </c>
      <c r="E236" s="24" t="str">
        <f>+'WTC-222.004'!$F$5</f>
        <v>WTC - Tower One Public Safety Radio Room</v>
      </c>
      <c r="F236" s="25">
        <f>+'WTC-222.004'!$F$6</f>
        <v>42388</v>
      </c>
      <c r="G236" s="46" t="str">
        <f>+'WTC-222.004'!$G$7</f>
        <v>PQL</v>
      </c>
      <c r="H236" s="27">
        <f>+'WTC-222.004'!$F$7</f>
        <v>9000000</v>
      </c>
      <c r="I236" s="27">
        <f>+'WTC-222.004'!$F$8</f>
        <v>8936000</v>
      </c>
      <c r="J236" s="27"/>
      <c r="K236" s="26">
        <f>+'WTC-222.004'!$G$9</f>
        <v>-7.1111111111111115E-3</v>
      </c>
      <c r="L236" s="11" t="str">
        <f>+'WTC-222.004'!$F$11</f>
        <v>GOOD</v>
      </c>
      <c r="M236" s="15">
        <f>+'WTC-222.004'!$H$12</f>
        <v>3</v>
      </c>
      <c r="N236" s="35" t="s">
        <v>93</v>
      </c>
      <c r="O236" s="15">
        <v>1</v>
      </c>
      <c r="P236" s="35" t="s">
        <v>455</v>
      </c>
      <c r="Q236" s="35"/>
      <c r="R236" s="15"/>
      <c r="S236" s="24"/>
      <c r="T236" s="15" t="str">
        <f>+'WTC-222.004'!$J$4</f>
        <v>Nathan Demaisip</v>
      </c>
      <c r="U236" s="15"/>
      <c r="V236" s="94">
        <f>+'WTC-222.004'!$F$12</f>
        <v>10453304.333333334</v>
      </c>
      <c r="W236" s="165">
        <f t="shared" si="110"/>
        <v>0.85484931032812495</v>
      </c>
      <c r="X236" s="15"/>
      <c r="Y236" s="161">
        <f t="shared" si="111"/>
        <v>0.99288888888888893</v>
      </c>
      <c r="Z236" s="11" t="str">
        <f t="shared" si="96"/>
        <v>GOOD</v>
      </c>
      <c r="AA236" s="11"/>
      <c r="AB236" s="15"/>
      <c r="AC236" s="239">
        <f>VLOOKUP(H236,ECON_ADJUSTMENT!J$2:W$240,12,FALSE)</f>
        <v>10161428.71886936</v>
      </c>
      <c r="AD236" s="15" t="str">
        <f t="shared" si="101"/>
        <v>GOOD</v>
      </c>
      <c r="AE236" s="15"/>
      <c r="AF236" s="15"/>
      <c r="AG236" s="54">
        <f t="shared" si="112"/>
        <v>9000000</v>
      </c>
      <c r="AH236" s="54">
        <f t="shared" si="113"/>
        <v>8936000</v>
      </c>
      <c r="AI236" s="54">
        <f t="shared" si="114"/>
        <v>64000</v>
      </c>
    </row>
    <row r="237" spans="2:39" x14ac:dyDescent="0.25">
      <c r="C237" s="39">
        <v>2016</v>
      </c>
      <c r="D237" s="15" t="str">
        <f>+'PN-654.041'!$F$4</f>
        <v>PN-654.041</v>
      </c>
      <c r="E237" s="24" t="str">
        <f>+'PN-654.041'!$F$5</f>
        <v>Port Newark - Davit Street Extension</v>
      </c>
      <c r="F237" s="25">
        <f>+'PN-654.041'!$F$6</f>
        <v>42383</v>
      </c>
      <c r="G237" s="46" t="str">
        <f>+'PN-654.041'!$G$7</f>
        <v>M/WBE</v>
      </c>
      <c r="H237" s="27">
        <f>+'PN-654.041'!$F$7</f>
        <v>1200000</v>
      </c>
      <c r="I237" s="27">
        <f>+'PN-654.041'!$F$8</f>
        <v>1050050</v>
      </c>
      <c r="J237" s="27"/>
      <c r="K237" s="26">
        <f>+'PN-654.041'!$G$9</f>
        <v>-0.12495833333333334</v>
      </c>
      <c r="L237" s="11" t="str">
        <f>+'PN-654.041'!$F$11</f>
        <v>GOOD</v>
      </c>
      <c r="M237" s="15">
        <f>+'PN-654.041'!$H$12</f>
        <v>6</v>
      </c>
      <c r="N237" s="35" t="s">
        <v>25</v>
      </c>
      <c r="O237" s="15">
        <v>1</v>
      </c>
      <c r="P237" s="35" t="s">
        <v>492</v>
      </c>
      <c r="Q237" s="35"/>
      <c r="R237" s="15"/>
      <c r="S237" s="24"/>
      <c r="T237" s="15" t="str">
        <f>+'PN-654.041'!$J$4</f>
        <v>Wen Chang</v>
      </c>
      <c r="U237" s="15"/>
      <c r="V237" s="94">
        <f>+'PN-654.041'!$F$12</f>
        <v>1277162.6666666667</v>
      </c>
      <c r="W237" s="165">
        <f t="shared" si="110"/>
        <v>0.82217404830708063</v>
      </c>
      <c r="X237" s="15"/>
      <c r="Y237" s="161">
        <f t="shared" si="111"/>
        <v>0.87504166666666672</v>
      </c>
      <c r="Z237" s="11" t="str">
        <f t="shared" si="96"/>
        <v>GOOD</v>
      </c>
      <c r="AA237" s="11"/>
      <c r="AB237" s="15"/>
      <c r="AC237" s="239">
        <f>VLOOKUP(H237,ECON_ADJUSTMENT!J$2:W$240,12,FALSE)</f>
        <v>621100.51924076665</v>
      </c>
      <c r="AD237" s="15" t="str">
        <f t="shared" si="101"/>
        <v>FAIL</v>
      </c>
      <c r="AE237" s="15"/>
      <c r="AF237" s="15"/>
      <c r="AG237" s="54">
        <f t="shared" si="112"/>
        <v>1200000</v>
      </c>
      <c r="AH237" s="54">
        <f t="shared" si="113"/>
        <v>1050050</v>
      </c>
      <c r="AI237" s="54">
        <f t="shared" si="114"/>
        <v>149950</v>
      </c>
    </row>
    <row r="238" spans="2:39" x14ac:dyDescent="0.25">
      <c r="B238" s="164">
        <f>(COUNTIF(L228:L238,"G*")/COUNTA(L228:L238))</f>
        <v>0.7</v>
      </c>
      <c r="C238" s="39">
        <v>2016</v>
      </c>
      <c r="D238" s="15" t="str">
        <f>+'WTC-222.004 Void'!$F$4</f>
        <v>WTC-222.004</v>
      </c>
      <c r="E238" s="24" t="str">
        <f>+'WTC-222.004 Void'!$F$5</f>
        <v>WTC - Tower One Public Safety Radio Room</v>
      </c>
      <c r="F238" s="25">
        <f>+'WTC-222.004 Void'!$F$6</f>
        <v>42374</v>
      </c>
      <c r="G238" s="46" t="str">
        <f>+'WTC-222.004 Void'!$G$7</f>
        <v>PQL</v>
      </c>
      <c r="H238" s="27"/>
      <c r="I238" s="27"/>
      <c r="J238" s="27"/>
      <c r="K238" s="26"/>
      <c r="L238" s="11"/>
      <c r="M238" s="15">
        <f>+'WTC-222.004 Void'!$H$12</f>
        <v>3</v>
      </c>
      <c r="N238" s="35" t="s">
        <v>93</v>
      </c>
      <c r="O238" s="15">
        <v>1</v>
      </c>
      <c r="P238" s="35" t="s">
        <v>455</v>
      </c>
      <c r="Q238" s="35"/>
      <c r="R238" s="15"/>
      <c r="S238" s="24" t="s">
        <v>472</v>
      </c>
      <c r="T238" s="15" t="str">
        <f>+'WTC-222.004 Void'!$J$4</f>
        <v>Nathan Demaisip</v>
      </c>
      <c r="U238" s="15"/>
      <c r="V238" s="94"/>
      <c r="W238" s="165"/>
      <c r="X238" s="15"/>
      <c r="Y238" s="161"/>
      <c r="Z238" s="11"/>
      <c r="AA238" s="11"/>
      <c r="AB238" s="15"/>
      <c r="AC238" s="239"/>
      <c r="AD238" s="15"/>
      <c r="AE238" s="15"/>
      <c r="AF238" s="15"/>
      <c r="AG238" s="54">
        <f t="shared" si="112"/>
        <v>0</v>
      </c>
      <c r="AH238" s="54">
        <f t="shared" si="113"/>
        <v>0</v>
      </c>
      <c r="AI238" s="54">
        <f t="shared" si="114"/>
        <v>0</v>
      </c>
    </row>
    <row r="239" spans="2:39" ht="7.5" customHeight="1" x14ac:dyDescent="0.25">
      <c r="C239" s="39"/>
      <c r="G239" s="45"/>
      <c r="P239" s="11"/>
      <c r="Q239" s="11"/>
      <c r="T239" s="15"/>
      <c r="U239" s="15"/>
      <c r="V239" s="94"/>
      <c r="W239" s="165"/>
      <c r="AC239" s="239"/>
      <c r="AD239" s="15"/>
      <c r="AG239" s="54"/>
      <c r="AH239" s="54"/>
      <c r="AI239" s="54"/>
    </row>
    <row r="240" spans="2:39" x14ac:dyDescent="0.25">
      <c r="C240" s="39">
        <v>2015</v>
      </c>
      <c r="D240" s="15" t="str">
        <f>+'EP-684.509 Void'!$F$4</f>
        <v>EP-684.509</v>
      </c>
      <c r="E240" s="24" t="str">
        <f>+'EP-684.509 Void'!$F$5</f>
        <v>Bldg 1400 Upgrade of Fire Supression System</v>
      </c>
      <c r="F240" s="25">
        <f>+'EP-684.509 Void'!$F$6</f>
        <v>42355</v>
      </c>
      <c r="G240" s="46" t="str">
        <f>+'EP-684.509 Void'!$G$7</f>
        <v>M/WBE</v>
      </c>
      <c r="H240" s="27"/>
      <c r="I240" s="27"/>
      <c r="J240" s="27"/>
      <c r="K240" s="26"/>
      <c r="L240" s="11"/>
      <c r="M240" s="15">
        <f>+'EP-684.509 Void'!$H$12</f>
        <v>3</v>
      </c>
      <c r="N240" s="35" t="s">
        <v>25</v>
      </c>
      <c r="O240" s="15">
        <v>4</v>
      </c>
      <c r="P240" s="35" t="s">
        <v>492</v>
      </c>
      <c r="Q240" s="35"/>
      <c r="R240" s="15"/>
      <c r="S240" s="24" t="s">
        <v>227</v>
      </c>
      <c r="T240" s="15" t="str">
        <f>+'EP-684.509 Void'!J4</f>
        <v>Wen Chang</v>
      </c>
      <c r="U240" s="15"/>
      <c r="V240" s="94"/>
      <c r="W240" s="165"/>
      <c r="X240" s="15"/>
      <c r="Y240" s="161"/>
      <c r="Z240" s="11"/>
      <c r="AA240" s="11"/>
      <c r="AB240" s="15"/>
      <c r="AC240" s="239"/>
      <c r="AD240" s="15"/>
      <c r="AE240" s="15"/>
      <c r="AF240" s="15"/>
      <c r="AG240" s="54">
        <f t="shared" si="112"/>
        <v>0</v>
      </c>
      <c r="AH240" s="54">
        <f t="shared" si="113"/>
        <v>0</v>
      </c>
      <c r="AI240" s="54">
        <f t="shared" si="114"/>
        <v>0</v>
      </c>
      <c r="AK240" s="4">
        <f>SUM(AG240:AG251)</f>
        <v>39735100</v>
      </c>
      <c r="AL240" s="4">
        <f>SUM(AH240:AH251)</f>
        <v>37587329.5</v>
      </c>
      <c r="AM240" s="7">
        <f>+AK240/AL240</f>
        <v>1.0571408112406602</v>
      </c>
    </row>
    <row r="241" spans="2:39" x14ac:dyDescent="0.25">
      <c r="C241" s="39">
        <v>2015</v>
      </c>
      <c r="D241" s="15" t="str">
        <f>+'AK-195'!$F$4</f>
        <v>AK-195</v>
      </c>
      <c r="E241" s="24" t="str">
        <f>+'AK-195'!$F$5</f>
        <v>Staten Island Bridges - Maint Pvmt Repairs via WO</v>
      </c>
      <c r="F241" s="25">
        <f>+'AK-195'!$F$6</f>
        <v>42342</v>
      </c>
      <c r="G241" s="46" t="str">
        <f>+'AK-195'!$G$7</f>
        <v>PQL</v>
      </c>
      <c r="H241" s="27">
        <f>+'AK-195'!$F$7</f>
        <v>2000000</v>
      </c>
      <c r="I241" s="27">
        <f>+'AK-195'!$F$8</f>
        <v>2092850</v>
      </c>
      <c r="J241" s="27"/>
      <c r="K241" s="26">
        <f>+'AK-195'!$G$9</f>
        <v>4.6425000000000001E-2</v>
      </c>
      <c r="L241" s="11" t="str">
        <f>+'AK-195'!$F$11</f>
        <v>GOOD</v>
      </c>
      <c r="M241" s="15">
        <f>+'AK-195'!$H$12</f>
        <v>4</v>
      </c>
      <c r="N241" s="35" t="s">
        <v>93</v>
      </c>
      <c r="O241" s="15">
        <v>4</v>
      </c>
      <c r="P241" s="35" t="s">
        <v>457</v>
      </c>
      <c r="Q241" s="35"/>
      <c r="R241" s="15"/>
      <c r="S241" s="24"/>
      <c r="T241" s="15" t="s">
        <v>630</v>
      </c>
      <c r="U241" s="15"/>
      <c r="V241" s="94">
        <f>+'AK-195'!$F$12</f>
        <v>2564887.5</v>
      </c>
      <c r="W241" s="165">
        <f t="shared" si="110"/>
        <v>0.81596171372038739</v>
      </c>
      <c r="X241" s="15"/>
      <c r="Y241" s="161">
        <f t="shared" ref="Y241:Y251" si="115">+I241/H241</f>
        <v>1.0464249999999999</v>
      </c>
      <c r="Z241" s="11" t="str">
        <f t="shared" si="96"/>
        <v>GOOD</v>
      </c>
      <c r="AA241" s="11"/>
      <c r="AB241" s="15"/>
      <c r="AC241" s="239">
        <f>VLOOKUP(H241,ECON_ADJUSTMENT!J$2:W$240,12,FALSE)</f>
        <v>3236865.5135885938</v>
      </c>
      <c r="AD241" s="15" t="str">
        <f t="shared" si="101"/>
        <v>FAIL</v>
      </c>
      <c r="AE241" s="15"/>
      <c r="AF241" s="15"/>
      <c r="AG241" s="54">
        <f t="shared" si="112"/>
        <v>2000000</v>
      </c>
      <c r="AH241" s="54">
        <f t="shared" si="113"/>
        <v>2092850</v>
      </c>
      <c r="AI241" s="54">
        <f t="shared" si="114"/>
        <v>-92850</v>
      </c>
    </row>
    <row r="242" spans="2:39" x14ac:dyDescent="0.25">
      <c r="C242" s="39">
        <v>2015</v>
      </c>
      <c r="D242" s="15" t="str">
        <f>+'TP-104.006'!$F$4</f>
        <v>TP-104.006</v>
      </c>
      <c r="E242" s="24" t="str">
        <f>+'TP-104.006'!$F$5</f>
        <v>Backflow Prevention Devices</v>
      </c>
      <c r="F242" s="25">
        <f>+'TP-104.006'!$F$6</f>
        <v>42338</v>
      </c>
      <c r="G242" s="46" t="str">
        <f>+'TP-104.006'!$G$7</f>
        <v>Public</v>
      </c>
      <c r="H242" s="27">
        <f>+'TP-104.006'!$F$7</f>
        <v>1200000</v>
      </c>
      <c r="I242" s="27">
        <f>+'TP-104.006'!$F$8</f>
        <v>1222222</v>
      </c>
      <c r="J242" s="27"/>
      <c r="K242" s="26">
        <f>+'TP-104.006'!$G$9</f>
        <v>1.8518333333333335E-2</v>
      </c>
      <c r="L242" s="11" t="str">
        <f>+'TP-104.006'!$F$11</f>
        <v>GOOD</v>
      </c>
      <c r="M242" s="15">
        <f>+'TP-104.006'!$H$12</f>
        <v>6</v>
      </c>
      <c r="N242" s="35" t="s">
        <v>93</v>
      </c>
      <c r="O242" s="15">
        <v>4</v>
      </c>
      <c r="P242" s="35" t="s">
        <v>458</v>
      </c>
      <c r="Q242" s="35"/>
      <c r="R242" s="15"/>
      <c r="S242" s="24"/>
      <c r="T242" s="15" t="s">
        <v>494</v>
      </c>
      <c r="U242" s="15"/>
      <c r="V242" s="94">
        <f>+'TP-104.006'!$F$12</f>
        <v>1869560.6666666667</v>
      </c>
      <c r="W242" s="165">
        <f t="shared" si="110"/>
        <v>0.65374824245696228</v>
      </c>
      <c r="X242" s="15"/>
      <c r="Y242" s="161">
        <f t="shared" si="115"/>
        <v>1.0185183333333334</v>
      </c>
      <c r="Z242" s="11" t="str">
        <f t="shared" si="96"/>
        <v>GOOD</v>
      </c>
      <c r="AA242" s="11"/>
      <c r="AB242" s="15"/>
      <c r="AC242" s="239">
        <f>VLOOKUP(H242,ECON_ADJUSTMENT!J$2:W$240,12,FALSE)</f>
        <v>621100.51924076665</v>
      </c>
      <c r="AD242" s="15" t="str">
        <f t="shared" si="101"/>
        <v>FAIL</v>
      </c>
      <c r="AE242" s="15"/>
      <c r="AF242" s="15"/>
      <c r="AG242" s="54">
        <f t="shared" si="112"/>
        <v>1200000</v>
      </c>
      <c r="AH242" s="54">
        <f t="shared" si="113"/>
        <v>1222222</v>
      </c>
      <c r="AI242" s="54">
        <f t="shared" si="114"/>
        <v>-22222</v>
      </c>
    </row>
    <row r="243" spans="2:39" x14ac:dyDescent="0.25">
      <c r="C243" s="39">
        <v>2015</v>
      </c>
      <c r="D243" s="15" t="str">
        <f>+'GWB-564'!F4</f>
        <v>GWB-564</v>
      </c>
      <c r="E243" s="24" t="str">
        <f>+'GWB-564'!F5</f>
        <v>George Washington Bridge-Facility Wide Prioirty Rehabilitation</v>
      </c>
      <c r="F243" s="25">
        <f>+'GWB-564'!F6</f>
        <v>42312</v>
      </c>
      <c r="G243" s="46" t="str">
        <f>+'GWB-564'!G7</f>
        <v>Public</v>
      </c>
      <c r="H243" s="27">
        <f>+'GWB-564'!F7</f>
        <v>8700000</v>
      </c>
      <c r="I243" s="27">
        <f>+'GWB-564'!F8</f>
        <v>10162935</v>
      </c>
      <c r="J243" s="27" t="s">
        <v>519</v>
      </c>
      <c r="K243" s="26">
        <f>+'GWB-564'!G9</f>
        <v>0.16815344827586207</v>
      </c>
      <c r="L243" s="11" t="str">
        <f>+'GWB-564'!F11</f>
        <v>FAIL</v>
      </c>
      <c r="M243" s="15">
        <f>+'GWB-564'!H12</f>
        <v>3</v>
      </c>
      <c r="N243" s="35" t="s">
        <v>226</v>
      </c>
      <c r="O243" s="15">
        <v>4</v>
      </c>
      <c r="P243" s="35" t="s">
        <v>457</v>
      </c>
      <c r="Q243" s="35"/>
      <c r="R243" s="15"/>
      <c r="S243" s="24"/>
      <c r="T243" s="15" t="str">
        <f>+'GWB-564'!J4</f>
        <v>Henry Yu</v>
      </c>
      <c r="U243" s="15"/>
      <c r="V243" s="94">
        <f>+'GWB-564'!F12</f>
        <v>10968524</v>
      </c>
      <c r="W243" s="165">
        <f t="shared" si="110"/>
        <v>0.92655447533323532</v>
      </c>
      <c r="X243" s="15"/>
      <c r="Y243" s="161">
        <f t="shared" si="115"/>
        <v>1.168153448275862</v>
      </c>
      <c r="Z243" s="11" t="str">
        <f t="shared" si="96"/>
        <v>FAIL</v>
      </c>
      <c r="AA243" s="11"/>
      <c r="AB243" s="15"/>
      <c r="AC243" s="239">
        <f>VLOOKUP(H243,ECON_ADJUSTMENT!J$2:W$240,12,FALSE)</f>
        <v>7980693.2498390637</v>
      </c>
      <c r="AD243" s="15" t="str">
        <f t="shared" si="101"/>
        <v>FAIL</v>
      </c>
      <c r="AE243" s="15"/>
      <c r="AF243" s="15"/>
      <c r="AG243" s="54">
        <f t="shared" si="112"/>
        <v>8700000</v>
      </c>
      <c r="AH243" s="54">
        <f t="shared" si="113"/>
        <v>10162935</v>
      </c>
      <c r="AI243" s="54">
        <f t="shared" si="114"/>
        <v>-1462935</v>
      </c>
    </row>
    <row r="244" spans="2:39" x14ac:dyDescent="0.25">
      <c r="C244" s="39">
        <v>2015</v>
      </c>
      <c r="D244" s="15" t="str">
        <f>+'MFA-924.283'!F4</f>
        <v>MFA-924.283</v>
      </c>
      <c r="E244" s="24" t="str">
        <f>+'MFA-924.283'!F5</f>
        <v>Newark Liberty International Airport and Teterboro Airport  Asphalt Concrete Pavement Repairs Via Work Order</v>
      </c>
      <c r="F244" s="25">
        <f>+'MFA-924.283'!F6</f>
        <v>42310</v>
      </c>
      <c r="G244" s="46" t="str">
        <f>+'MFA-924.283'!G7</f>
        <v>PQL</v>
      </c>
      <c r="H244" s="27">
        <f>+'MFA-924.283'!F7</f>
        <v>7055100</v>
      </c>
      <c r="I244" s="27">
        <f>+'MFA-924.283'!F8</f>
        <v>5774440</v>
      </c>
      <c r="J244" s="27" t="s">
        <v>519</v>
      </c>
      <c r="K244" s="26">
        <f>+'MFA-924.283'!G9</f>
        <v>-0.18152258649771089</v>
      </c>
      <c r="L244" s="11" t="str">
        <f>+'MFA-924.283'!F11</f>
        <v>FAIL</v>
      </c>
      <c r="M244" s="15">
        <f>+'MFA-924.283'!H12</f>
        <v>3</v>
      </c>
      <c r="N244" s="35" t="s">
        <v>25</v>
      </c>
      <c r="O244" s="15">
        <v>4</v>
      </c>
      <c r="P244" s="35" t="s">
        <v>458</v>
      </c>
      <c r="Q244" s="35"/>
      <c r="R244" s="15"/>
      <c r="S244" s="24"/>
      <c r="T244" s="15"/>
      <c r="U244" s="15"/>
      <c r="V244" s="94">
        <f>+'MFA-924.283'!F12</f>
        <v>6365546.666666667</v>
      </c>
      <c r="W244" s="165">
        <f t="shared" si="110"/>
        <v>0.90713968530589673</v>
      </c>
      <c r="X244" s="15"/>
      <c r="Y244" s="161">
        <f t="shared" si="115"/>
        <v>0.81847741350228909</v>
      </c>
      <c r="Z244" s="11" t="str">
        <f t="shared" si="96"/>
        <v>FAIL</v>
      </c>
      <c r="AA244" s="11"/>
      <c r="AB244" s="15"/>
      <c r="AC244" s="239">
        <f>VLOOKUP(H244,ECON_ADJUSTMENT!J$2:W$240,12,FALSE)</f>
        <v>8469250.8712892346</v>
      </c>
      <c r="AD244" s="15" t="str">
        <f t="shared" si="101"/>
        <v>FAIL</v>
      </c>
      <c r="AE244" s="15"/>
      <c r="AF244" s="15"/>
      <c r="AG244" s="54">
        <f t="shared" si="112"/>
        <v>7055100</v>
      </c>
      <c r="AH244" s="54">
        <f t="shared" si="113"/>
        <v>5774440</v>
      </c>
      <c r="AI244" s="54">
        <f t="shared" si="114"/>
        <v>1280660</v>
      </c>
    </row>
    <row r="245" spans="2:39" x14ac:dyDescent="0.25">
      <c r="C245" s="39">
        <v>2015</v>
      </c>
      <c r="D245" s="15" t="str">
        <f>+'HT-224.116'!F4</f>
        <v>HT-224.116</v>
      </c>
      <c r="E245" s="24" t="str">
        <f>+'HT-224.116'!F5</f>
        <v>Holland Tunnel-Concrete Repairs at Air Supply Ports</v>
      </c>
      <c r="F245" s="25">
        <f>+'HT-224.116'!F6</f>
        <v>42307</v>
      </c>
      <c r="G245" s="46" t="str">
        <f>+'HT-224.116'!G7</f>
        <v>Public</v>
      </c>
      <c r="H245" s="27">
        <f>+'HT-224.116'!F7</f>
        <v>7100000</v>
      </c>
      <c r="I245" s="27">
        <f>+'HT-224.116'!F8</f>
        <v>6676400</v>
      </c>
      <c r="J245" s="27" t="s">
        <v>519</v>
      </c>
      <c r="K245" s="26">
        <f>+'HT-224.116'!G9</f>
        <v>-5.9661971830985913E-2</v>
      </c>
      <c r="L245" s="11" t="str">
        <f>+'HT-224.116'!F11</f>
        <v>GOOD</v>
      </c>
      <c r="M245" s="15">
        <f>+'HT-224.116'!H12</f>
        <v>11</v>
      </c>
      <c r="N245" s="35" t="s">
        <v>226</v>
      </c>
      <c r="O245" s="15">
        <v>4</v>
      </c>
      <c r="P245" s="35" t="s">
        <v>457</v>
      </c>
      <c r="Q245" s="35"/>
      <c r="R245" s="15"/>
      <c r="S245" s="24"/>
      <c r="T245" s="15" t="s">
        <v>630</v>
      </c>
      <c r="U245" s="15"/>
      <c r="V245" s="94">
        <f>+'HT-224.116'!F12</f>
        <v>11990432.136363637</v>
      </c>
      <c r="W245" s="165">
        <f t="shared" si="110"/>
        <v>0.55681062401015058</v>
      </c>
      <c r="X245" s="15"/>
      <c r="Y245" s="161">
        <f t="shared" si="115"/>
        <v>0.94033802816901413</v>
      </c>
      <c r="Z245" s="11" t="str">
        <f t="shared" si="96"/>
        <v>GOOD</v>
      </c>
      <c r="AA245" s="11"/>
      <c r="AB245" s="15"/>
      <c r="AC245" s="239">
        <f>VLOOKUP(H245,ECON_ADJUSTMENT!J$2:W$240,12,FALSE)</f>
        <v>6588598.7688229699</v>
      </c>
      <c r="AD245" s="15" t="str">
        <f t="shared" si="101"/>
        <v>GOOD</v>
      </c>
      <c r="AE245" s="15"/>
      <c r="AF245" s="15"/>
      <c r="AG245" s="54">
        <f t="shared" si="112"/>
        <v>7100000</v>
      </c>
      <c r="AH245" s="54">
        <f t="shared" si="113"/>
        <v>6676400</v>
      </c>
      <c r="AI245" s="54">
        <f t="shared" si="114"/>
        <v>423600</v>
      </c>
    </row>
    <row r="246" spans="2:39" x14ac:dyDescent="0.25">
      <c r="C246" s="39">
        <v>2015</v>
      </c>
      <c r="D246" s="15" t="str">
        <f>+'GWB-566'!F4</f>
        <v>GWB-566</v>
      </c>
      <c r="E246" s="24" t="str">
        <f>+'GWB-566'!F5</f>
        <v>George Washington Bridge-Temporary Semac Relocation</v>
      </c>
      <c r="F246" s="25">
        <f>+'GWB-566'!F6</f>
        <v>42304</v>
      </c>
      <c r="G246" s="46" t="str">
        <f>+'GWB-566'!G7</f>
        <v>Public</v>
      </c>
      <c r="H246" s="27">
        <f>+'GWB-566'!F7</f>
        <v>1340000</v>
      </c>
      <c r="I246" s="27">
        <f>+'GWB-566'!F8</f>
        <v>1850000</v>
      </c>
      <c r="J246" s="27"/>
      <c r="K246" s="26">
        <f>+'GWB-566'!G9</f>
        <v>0.38059701492537312</v>
      </c>
      <c r="L246" s="11" t="str">
        <f>+'GWB-566'!F11</f>
        <v>FAIL</v>
      </c>
      <c r="M246" s="15">
        <f>+'GWB-566'!H12</f>
        <v>4</v>
      </c>
      <c r="N246" s="35" t="s">
        <v>25</v>
      </c>
      <c r="O246" s="15">
        <v>4</v>
      </c>
      <c r="P246" s="35" t="s">
        <v>457</v>
      </c>
      <c r="Q246" s="35"/>
      <c r="R246" s="15"/>
      <c r="S246" s="24"/>
      <c r="T246" s="15" t="s">
        <v>616</v>
      </c>
      <c r="U246" s="15"/>
      <c r="V246" s="94">
        <f>+'GWB-566'!F12</f>
        <v>2967192.5</v>
      </c>
      <c r="W246" s="165">
        <f t="shared" si="110"/>
        <v>0.62348499465403739</v>
      </c>
      <c r="X246" s="15"/>
      <c r="Y246" s="161">
        <f t="shared" si="115"/>
        <v>1.3805970149253732</v>
      </c>
      <c r="Z246" s="11" t="str">
        <f t="shared" ref="Z246:Z251" si="116">(IF(Y246&lt;$Y$3,"FAIL",IF(Y246&gt;$Y$4,"FAIL","GOOD")))</f>
        <v>FAIL</v>
      </c>
      <c r="AA246" s="11"/>
      <c r="AB246" s="15"/>
      <c r="AC246" s="239">
        <f>VLOOKUP(H246,ECON_ADJUSTMENT!J$2:W$240,12,FALSE)</f>
        <v>742908.786329675</v>
      </c>
      <c r="AD246" s="15" t="str">
        <f t="shared" si="101"/>
        <v>FAIL</v>
      </c>
      <c r="AE246" s="15"/>
      <c r="AF246" s="15"/>
      <c r="AG246" s="54">
        <f t="shared" si="112"/>
        <v>1340000</v>
      </c>
      <c r="AH246" s="54">
        <f t="shared" si="113"/>
        <v>1850000</v>
      </c>
      <c r="AI246" s="54">
        <f t="shared" si="114"/>
        <v>-510000</v>
      </c>
    </row>
    <row r="247" spans="2:39" x14ac:dyDescent="0.25">
      <c r="C247" s="39">
        <v>2015</v>
      </c>
      <c r="D247" s="15" t="str">
        <f>+' PAT-024.069 Void'!F4</f>
        <v>PAT-024.069</v>
      </c>
      <c r="E247" s="24" t="str">
        <f>+' PAT-024.069 Void'!F5</f>
        <v>PATH-30th Street Mezzanine Rehabilitation</v>
      </c>
      <c r="F247" s="25">
        <f>+' PAT-024.069 Void'!F6</f>
        <v>42304</v>
      </c>
      <c r="G247" s="46" t="str">
        <f>+' PAT-024.069 Void'!G7</f>
        <v>Public</v>
      </c>
      <c r="H247" s="27"/>
      <c r="I247" s="27"/>
      <c r="J247" s="27"/>
      <c r="K247" s="26"/>
      <c r="L247" s="11"/>
      <c r="M247" s="15">
        <f>+' PAT-024.069 Void'!H12</f>
        <v>2</v>
      </c>
      <c r="N247" s="35" t="s">
        <v>93</v>
      </c>
      <c r="O247" s="15">
        <v>4</v>
      </c>
      <c r="P247" s="35" t="s">
        <v>459</v>
      </c>
      <c r="Q247" s="35"/>
      <c r="R247" s="15"/>
      <c r="S247" s="24" t="s">
        <v>227</v>
      </c>
      <c r="T247" s="15" t="s">
        <v>447</v>
      </c>
      <c r="U247" s="15"/>
      <c r="V247" s="94"/>
      <c r="W247" s="165"/>
      <c r="X247" s="15"/>
      <c r="Y247" s="161"/>
      <c r="Z247" s="11"/>
      <c r="AA247" s="11"/>
      <c r="AB247" s="15"/>
      <c r="AC247" s="239"/>
      <c r="AD247" s="15"/>
      <c r="AE247" s="15"/>
      <c r="AF247" s="15"/>
      <c r="AG247" s="54">
        <f t="shared" si="112"/>
        <v>0</v>
      </c>
      <c r="AH247" s="54">
        <f t="shared" si="113"/>
        <v>0</v>
      </c>
      <c r="AI247" s="54">
        <f t="shared" si="114"/>
        <v>0</v>
      </c>
    </row>
    <row r="248" spans="2:39" x14ac:dyDescent="0.25">
      <c r="C248" s="39">
        <v>2015</v>
      </c>
      <c r="D248" s="15" t="str">
        <f>+'GWB-924.092'!F4</f>
        <v>GWB-924.092</v>
      </c>
      <c r="E248" s="24" t="str">
        <f>+'GWB-924.092'!F5</f>
        <v>George Washington Bridge-Improvements to Bruce Reynolds Boulevard</v>
      </c>
      <c r="F248" s="25">
        <f>+'GWB-924.092'!F6</f>
        <v>42297</v>
      </c>
      <c r="G248" s="46" t="str">
        <f>+'GWB-924.092'!G7</f>
        <v>Public</v>
      </c>
      <c r="H248" s="27">
        <f>+'GWB-924.092'!F7</f>
        <v>1290000</v>
      </c>
      <c r="I248" s="27">
        <f>+'GWB-924.092'!F8</f>
        <v>1552600</v>
      </c>
      <c r="J248" s="27"/>
      <c r="K248" s="26">
        <f>+'GWB-924.092'!G9</f>
        <v>0.20356589147286822</v>
      </c>
      <c r="L248" s="11" t="str">
        <f>+'GWB-924.092'!F11</f>
        <v>FAIL</v>
      </c>
      <c r="M248" s="15">
        <f>+'GWB-924.092'!H12</f>
        <v>9</v>
      </c>
      <c r="N248" s="35" t="s">
        <v>25</v>
      </c>
      <c r="O248" s="15">
        <v>4</v>
      </c>
      <c r="P248" s="35" t="s">
        <v>457</v>
      </c>
      <c r="Q248" s="35"/>
      <c r="R248" s="15"/>
      <c r="S248" s="24"/>
      <c r="T248" s="15" t="s">
        <v>630</v>
      </c>
      <c r="U248" s="15"/>
      <c r="V248" s="94">
        <f>+'GWB-924.092'!F12</f>
        <v>1998639.99</v>
      </c>
      <c r="W248" s="165">
        <f t="shared" si="110"/>
        <v>0.77682824709216391</v>
      </c>
      <c r="X248" s="15"/>
      <c r="Y248" s="161">
        <f t="shared" si="115"/>
        <v>1.2035658914728682</v>
      </c>
      <c r="Z248" s="11" t="str">
        <f t="shared" si="116"/>
        <v>FAIL</v>
      </c>
      <c r="AA248" s="11"/>
      <c r="AB248" s="15"/>
      <c r="AC248" s="239">
        <f>VLOOKUP(H248,ECON_ADJUSTMENT!J$2:W$240,12,FALSE)</f>
        <v>699405.83379792189</v>
      </c>
      <c r="AD248" s="15" t="str">
        <f t="shared" si="101"/>
        <v>FAIL</v>
      </c>
      <c r="AE248" s="15"/>
      <c r="AF248" s="15"/>
      <c r="AG248" s="54">
        <f t="shared" si="112"/>
        <v>1290000</v>
      </c>
      <c r="AH248" s="54">
        <f t="shared" si="113"/>
        <v>1552600</v>
      </c>
      <c r="AI248" s="54">
        <f t="shared" si="114"/>
        <v>-262600</v>
      </c>
    </row>
    <row r="249" spans="2:39" x14ac:dyDescent="0.25">
      <c r="C249" s="39">
        <v>2015</v>
      </c>
      <c r="D249" s="15" t="str">
        <f>+'GWB-924.159'!F4</f>
        <v>GWB-924.159</v>
      </c>
      <c r="E249" s="24" t="str">
        <f>+'GWB-924.159'!F5</f>
        <v>George Washington Bridge-New Jersey Administration Building Hot Water/Chilled Water Piping Replacement</v>
      </c>
      <c r="F249" s="25">
        <f>+'GWB-924.159'!F6</f>
        <v>42297</v>
      </c>
      <c r="G249" s="46" t="str">
        <f>+'GWB-924.159'!G7</f>
        <v>Mentor Protégé Program</v>
      </c>
      <c r="H249" s="27"/>
      <c r="I249" s="27"/>
      <c r="J249" s="27"/>
      <c r="K249" s="26"/>
      <c r="L249" s="11"/>
      <c r="M249" s="15">
        <f>+'GWB-924.159'!H12</f>
        <v>2</v>
      </c>
      <c r="N249" s="35" t="s">
        <v>25</v>
      </c>
      <c r="O249" s="15">
        <v>4</v>
      </c>
      <c r="P249" s="35" t="s">
        <v>457</v>
      </c>
      <c r="Q249" s="35"/>
      <c r="R249" s="15"/>
      <c r="S249" s="24" t="s">
        <v>227</v>
      </c>
      <c r="T249" s="15"/>
      <c r="U249" s="15"/>
      <c r="V249" s="94"/>
      <c r="W249" s="165"/>
      <c r="X249" s="15"/>
      <c r="Y249" s="161"/>
      <c r="Z249" s="11"/>
      <c r="AA249" s="11"/>
      <c r="AB249" s="15"/>
      <c r="AC249" s="239"/>
      <c r="AD249" s="15"/>
      <c r="AE249" s="15"/>
      <c r="AF249" s="15"/>
      <c r="AG249" s="54">
        <f t="shared" si="112"/>
        <v>0</v>
      </c>
      <c r="AH249" s="54">
        <f t="shared" si="113"/>
        <v>0</v>
      </c>
      <c r="AI249" s="54">
        <f t="shared" si="114"/>
        <v>0</v>
      </c>
    </row>
    <row r="250" spans="2:39" x14ac:dyDescent="0.25">
      <c r="C250" s="39">
        <v>2015</v>
      </c>
      <c r="D250" s="15" t="str">
        <f>+'EWR-154.184'!F4</f>
        <v>EWR-154.184</v>
      </c>
      <c r="E250" s="24" t="str">
        <f>+'EWR-154.184'!F5</f>
        <v>Newark Liberty International Airport-Central Heating &amp; Refirgeration Plant Substation and Pumps Upgrade</v>
      </c>
      <c r="F250" s="25">
        <f>+'EWR-154.184'!F6</f>
        <v>42292</v>
      </c>
      <c r="G250" s="46" t="str">
        <f>+'EWR-154.184'!G7</f>
        <v>Public</v>
      </c>
      <c r="H250" s="27">
        <f>+'EWR-154.184'!F7</f>
        <v>3650000</v>
      </c>
      <c r="I250" s="27">
        <f>+'EWR-154.184'!F8</f>
        <v>3270000</v>
      </c>
      <c r="J250" s="27"/>
      <c r="K250" s="26">
        <f>+'EWR-154.184'!G9</f>
        <v>-0.10410958904109589</v>
      </c>
      <c r="L250" s="11" t="str">
        <f>+'EWR-154.184'!F11</f>
        <v>GOOD</v>
      </c>
      <c r="M250" s="15">
        <f>+'EWR-154.184'!H12</f>
        <v>6</v>
      </c>
      <c r="N250" s="35" t="s">
        <v>25</v>
      </c>
      <c r="O250" s="15">
        <v>4</v>
      </c>
      <c r="P250" s="35" t="s">
        <v>458</v>
      </c>
      <c r="Q250" s="35"/>
      <c r="R250" s="15"/>
      <c r="S250" s="24"/>
      <c r="T250" s="15"/>
      <c r="U250" s="15"/>
      <c r="V250" s="94">
        <f>+'EWR-154.184'!F12</f>
        <v>4551000</v>
      </c>
      <c r="W250" s="165">
        <f t="shared" si="110"/>
        <v>0.71852340145023075</v>
      </c>
      <c r="X250" s="15"/>
      <c r="Y250" s="161">
        <f t="shared" si="115"/>
        <v>0.89589041095890409</v>
      </c>
      <c r="Z250" s="11" t="str">
        <f t="shared" si="116"/>
        <v>GOOD</v>
      </c>
      <c r="AA250" s="11"/>
      <c r="AB250" s="15"/>
      <c r="AC250" s="239">
        <f>VLOOKUP(H250,ECON_ADJUSTMENT!J$2:W$240,12,FALSE)</f>
        <v>3494328.7446324648</v>
      </c>
      <c r="AD250" s="15" t="str">
        <f t="shared" si="101"/>
        <v>GOOD</v>
      </c>
      <c r="AE250" s="15"/>
      <c r="AF250" s="15"/>
      <c r="AG250" s="54">
        <f t="shared" si="112"/>
        <v>3650000</v>
      </c>
      <c r="AH250" s="54">
        <f t="shared" si="113"/>
        <v>3270000</v>
      </c>
      <c r="AI250" s="54">
        <f t="shared" si="114"/>
        <v>380000</v>
      </c>
    </row>
    <row r="251" spans="2:39" x14ac:dyDescent="0.25">
      <c r="B251" s="164">
        <f>(COUNTIF(L240:L251,"G*")/COUNTA(L240:L251))</f>
        <v>0.44444444444444442</v>
      </c>
      <c r="C251" s="39">
        <v>2015</v>
      </c>
      <c r="D251" s="15" t="str">
        <f>+'GWB-244.256'!F4</f>
        <v>GWB-244.256</v>
      </c>
      <c r="E251" s="24" t="str">
        <f>+'GWB-244.256'!F5</f>
        <v>George Washington Bridge-Pavement Rehabilitation of the Lower Level eastbound Approch Roadways, Lower Level Eastbound Bridge Span and Lower Expressway East Ramp</v>
      </c>
      <c r="F251" s="25">
        <f>+'GWB-244.256'!F6</f>
        <v>42284</v>
      </c>
      <c r="G251" s="46" t="str">
        <f>+'GWB-244.256'!G7</f>
        <v>PQL</v>
      </c>
      <c r="H251" s="27">
        <f>+'GWB-244.256'!F7</f>
        <v>7400000</v>
      </c>
      <c r="I251" s="27">
        <f>+'GWB-244.256'!F8</f>
        <v>4985882.5</v>
      </c>
      <c r="J251" s="27" t="s">
        <v>519</v>
      </c>
      <c r="K251" s="26">
        <f>+'GWB-244.256'!G9</f>
        <v>-0.32623209459459457</v>
      </c>
      <c r="L251" s="11" t="str">
        <f>+'GWB-244.256'!F11</f>
        <v>FAIL</v>
      </c>
      <c r="M251" s="15">
        <f>+'GWB-244.256'!H12</f>
        <v>4</v>
      </c>
      <c r="N251" s="35" t="s">
        <v>226</v>
      </c>
      <c r="O251" s="15">
        <v>4</v>
      </c>
      <c r="P251" s="35" t="s">
        <v>457</v>
      </c>
      <c r="Q251" s="35"/>
      <c r="R251" s="15"/>
      <c r="S251" s="24"/>
      <c r="T251" s="15" t="s">
        <v>630</v>
      </c>
      <c r="U251" s="15"/>
      <c r="V251" s="94">
        <f>+'GWB-244.256'!F12</f>
        <v>5397573.125</v>
      </c>
      <c r="W251" s="165">
        <f t="shared" si="110"/>
        <v>0.92372671653244165</v>
      </c>
      <c r="X251" s="15"/>
      <c r="Y251" s="161">
        <f t="shared" si="115"/>
        <v>0.67376790540540543</v>
      </c>
      <c r="Z251" s="11" t="str">
        <f t="shared" si="116"/>
        <v>FAIL</v>
      </c>
      <c r="AA251" s="11"/>
      <c r="AB251" s="15"/>
      <c r="AC251" s="239">
        <f>VLOOKUP(H251,ECON_ADJUSTMENT!J$2:W$240,12,FALSE)</f>
        <v>8769334.2378532663</v>
      </c>
      <c r="AD251" s="15" t="str">
        <f t="shared" si="101"/>
        <v>FAIL</v>
      </c>
      <c r="AE251" s="15"/>
      <c r="AF251" s="15"/>
      <c r="AG251" s="54">
        <f t="shared" si="112"/>
        <v>7400000</v>
      </c>
      <c r="AH251" s="54">
        <f t="shared" si="113"/>
        <v>4985882.5</v>
      </c>
      <c r="AI251" s="54">
        <f t="shared" si="114"/>
        <v>2414117.5</v>
      </c>
    </row>
    <row r="252" spans="2:39" ht="8.25" customHeight="1" x14ac:dyDescent="0.25">
      <c r="C252" s="39"/>
      <c r="D252" s="15"/>
      <c r="E252" s="24"/>
      <c r="F252" s="25"/>
      <c r="G252" s="46"/>
      <c r="H252" s="27"/>
      <c r="I252" s="27"/>
      <c r="J252" s="27"/>
      <c r="K252" s="26"/>
      <c r="L252" s="11"/>
      <c r="M252" s="15"/>
      <c r="P252" s="11"/>
      <c r="Q252" s="11"/>
      <c r="T252" s="15"/>
      <c r="U252" s="15"/>
      <c r="V252" s="94"/>
      <c r="W252" s="165"/>
      <c r="X252" s="15"/>
      <c r="Y252" s="15"/>
      <c r="Z252" s="15"/>
      <c r="AA252" s="15"/>
      <c r="AC252" s="239"/>
      <c r="AD252" s="15"/>
      <c r="AG252" s="54"/>
      <c r="AH252" s="54"/>
      <c r="AI252" s="54"/>
    </row>
    <row r="253" spans="2:39" x14ac:dyDescent="0.25">
      <c r="C253" s="39">
        <v>2015</v>
      </c>
      <c r="D253" s="15" t="str">
        <f>+'PN-654.036'!F4</f>
        <v>PN-654.036</v>
      </c>
      <c r="E253" s="24" t="str">
        <f>+'PN-654.036'!F5</f>
        <v>Port Newark-Water System Rehabilitation At Central And South Sections</v>
      </c>
      <c r="F253" s="25">
        <f>+'PN-654.036'!F6</f>
        <v>42277</v>
      </c>
      <c r="G253" s="46" t="str">
        <f>+'PN-654.036'!G7</f>
        <v>Public</v>
      </c>
      <c r="H253" s="27">
        <f>+'PN-654.036'!F7</f>
        <v>7000000</v>
      </c>
      <c r="I253" s="27">
        <f>+'PN-654.036'!F8</f>
        <v>5851111</v>
      </c>
      <c r="J253" s="27" t="s">
        <v>519</v>
      </c>
      <c r="K253" s="26">
        <f>+'PN-654.036'!G9</f>
        <v>-0.164127</v>
      </c>
      <c r="L253" s="11" t="str">
        <f>+'PN-654.036'!F11</f>
        <v>GOOD</v>
      </c>
      <c r="M253" s="15">
        <f>+'PN-654.036'!H12</f>
        <v>15</v>
      </c>
      <c r="N253" s="35" t="s">
        <v>25</v>
      </c>
      <c r="O253" s="15">
        <v>3</v>
      </c>
      <c r="P253" s="35" t="s">
        <v>492</v>
      </c>
      <c r="Q253" s="35"/>
      <c r="R253" s="15"/>
      <c r="S253" s="24"/>
      <c r="T253" s="15" t="s">
        <v>442</v>
      </c>
      <c r="U253" s="15"/>
      <c r="V253" s="94">
        <f>+'PN-654.036'!F12</f>
        <v>8743508.4000000004</v>
      </c>
      <c r="W253" s="165">
        <f t="shared" si="110"/>
        <v>0.66919487376486075</v>
      </c>
      <c r="X253" s="15"/>
      <c r="Y253" s="161">
        <f t="shared" ref="Y253:Y258" si="117">+I253/H253</f>
        <v>0.83587299999999998</v>
      </c>
      <c r="Z253" s="11" t="str">
        <f t="shared" ref="Z253:Z258" si="118">(IF(Y253&lt;$Y$3,"FAIL",IF(Y253&gt;$Y$4,"FAIL","GOOD")))</f>
        <v>FAIL</v>
      </c>
      <c r="AA253" s="11"/>
      <c r="AB253" s="15"/>
      <c r="AC253" s="239">
        <f>VLOOKUP(H253,ECON_ADJUSTMENT!J$2:W$240,12,FALSE)</f>
        <v>6501592.8637594637</v>
      </c>
      <c r="AD253" s="15" t="str">
        <f t="shared" si="101"/>
        <v>GOOD</v>
      </c>
      <c r="AE253" s="15"/>
      <c r="AF253" s="15"/>
      <c r="AG253" s="54">
        <f t="shared" si="112"/>
        <v>7000000</v>
      </c>
      <c r="AH253" s="54">
        <f t="shared" si="113"/>
        <v>5851111</v>
      </c>
      <c r="AI253" s="54">
        <f t="shared" si="114"/>
        <v>1148889</v>
      </c>
      <c r="AK253" s="4">
        <f>SUM(AG253:AG259)</f>
        <v>19147000</v>
      </c>
      <c r="AL253" s="4">
        <f>SUM(AH253:AH259)</f>
        <v>16682499</v>
      </c>
      <c r="AM253" s="7">
        <f>+AK253/AL253</f>
        <v>1.1477297256244403</v>
      </c>
    </row>
    <row r="254" spans="2:39" x14ac:dyDescent="0.25">
      <c r="C254" s="39">
        <v>2015</v>
      </c>
      <c r="D254" s="15" t="str">
        <f>+'LGA-124.226'!F4</f>
        <v>LGA-124.226</v>
      </c>
      <c r="E254" s="24" t="str">
        <f>+'LGA-124.226'!F5</f>
        <v>LaGuardia Airport-Hanger 7 South Build Out</v>
      </c>
      <c r="F254" s="25">
        <f>+'LGA-124.226'!F6</f>
        <v>42268</v>
      </c>
      <c r="G254" s="46" t="str">
        <f>+'LGA-124.226'!G7</f>
        <v>Public</v>
      </c>
      <c r="H254" s="27">
        <f>+'LGA-124.226'!F7</f>
        <v>7900000</v>
      </c>
      <c r="I254" s="27">
        <f>+'LGA-124.226'!F8</f>
        <v>6769800</v>
      </c>
      <c r="J254" s="27" t="s">
        <v>519</v>
      </c>
      <c r="K254" s="26">
        <f>+'LGA-124.226'!G9</f>
        <v>-0.14306329113924052</v>
      </c>
      <c r="L254" s="11" t="str">
        <f>+'LGA-124.226'!F11</f>
        <v>GOOD</v>
      </c>
      <c r="M254" s="15">
        <f>+'LGA-124.226'!H12</f>
        <v>18</v>
      </c>
      <c r="N254" s="35" t="s">
        <v>93</v>
      </c>
      <c r="O254" s="15">
        <v>3</v>
      </c>
      <c r="P254" s="35" t="s">
        <v>458</v>
      </c>
      <c r="Q254" s="35"/>
      <c r="R254" s="15"/>
      <c r="S254" s="24"/>
      <c r="T254" s="15" t="s">
        <v>494</v>
      </c>
      <c r="U254" s="15"/>
      <c r="V254" s="94">
        <f>+'LGA-124.226'!F12</f>
        <v>10830384.277777778</v>
      </c>
      <c r="W254" s="165">
        <f t="shared" si="110"/>
        <v>0.62507477356002505</v>
      </c>
      <c r="X254" s="15"/>
      <c r="Y254" s="161">
        <f t="shared" si="117"/>
        <v>0.85693670886075946</v>
      </c>
      <c r="Z254" s="11" t="str">
        <f t="shared" si="118"/>
        <v>GOOD</v>
      </c>
      <c r="AA254" s="11"/>
      <c r="AB254" s="15"/>
      <c r="AC254" s="239">
        <f>VLOOKUP(H254,ECON_ADJUSTMENT!J$2:W$240,12,FALSE)</f>
        <v>7284646.0093310159</v>
      </c>
      <c r="AD254" s="15" t="str">
        <f t="shared" si="101"/>
        <v>GOOD</v>
      </c>
      <c r="AE254" s="15"/>
      <c r="AF254" s="15"/>
      <c r="AG254" s="54">
        <f t="shared" si="112"/>
        <v>7900000</v>
      </c>
      <c r="AH254" s="54">
        <f t="shared" si="113"/>
        <v>6769800</v>
      </c>
      <c r="AI254" s="54">
        <f t="shared" si="114"/>
        <v>1130200</v>
      </c>
    </row>
    <row r="255" spans="2:39" x14ac:dyDescent="0.25">
      <c r="C255" s="39">
        <v>2015</v>
      </c>
      <c r="D255" s="15" t="str">
        <f>+'EWR-924.320'!F4</f>
        <v>EWR-924.320</v>
      </c>
      <c r="E255" s="24" t="str">
        <f>+'EWR-924.320'!F5</f>
        <v>Newark Liberty International Airport-Terminal 'C' Level 1 Drainage Improvements</v>
      </c>
      <c r="F255" s="25">
        <f>+'EWR-924.320'!F6</f>
        <v>42256</v>
      </c>
      <c r="G255" s="46" t="str">
        <f>+'EWR-924.320'!G7</f>
        <v>M/WBE</v>
      </c>
      <c r="H255" s="27">
        <f>+'EWR-924.320'!F$7</f>
        <v>325000</v>
      </c>
      <c r="I255" s="27">
        <f>+'EWR-924.320'!F$8</f>
        <v>377777</v>
      </c>
      <c r="J255" s="27"/>
      <c r="K255" s="26">
        <f>+'EWR-924.320'!G$9</f>
        <v>0.16239076923076923</v>
      </c>
      <c r="L255" s="11" t="str">
        <f>+'EWR-924.320'!F$11</f>
        <v>FAIL</v>
      </c>
      <c r="M255" s="15">
        <f>+'EWR-924.320'!H$12</f>
        <v>6</v>
      </c>
      <c r="N255" s="35" t="s">
        <v>25</v>
      </c>
      <c r="O255" s="15">
        <v>3</v>
      </c>
      <c r="P255" s="35" t="s">
        <v>458</v>
      </c>
      <c r="Q255" s="35"/>
      <c r="R255" s="15"/>
      <c r="S255" s="24"/>
      <c r="T255" s="15"/>
      <c r="U255" s="15"/>
      <c r="V255" s="94">
        <f>+'EWR-924.320'!F$12</f>
        <v>489615.33333333331</v>
      </c>
      <c r="W255" s="165">
        <f t="shared" si="110"/>
        <v>0.77157918529239966</v>
      </c>
      <c r="X255" s="15"/>
      <c r="Y255" s="161">
        <f t="shared" si="117"/>
        <v>1.1623907692307693</v>
      </c>
      <c r="Z255" s="11" t="str">
        <f t="shared" si="118"/>
        <v>FAIL</v>
      </c>
      <c r="AA255" s="11"/>
      <c r="AB255" s="15"/>
      <c r="AC255" s="239">
        <f>VLOOKUP(H255,ECON_ADJUSTMENT!J$2:W$240,12,FALSE)</f>
        <v>1148149.8928775843</v>
      </c>
      <c r="AD255" s="15" t="str">
        <f t="shared" si="101"/>
        <v>FAIL</v>
      </c>
      <c r="AE255" s="15"/>
      <c r="AF255" s="15"/>
      <c r="AG255" s="54">
        <f t="shared" si="112"/>
        <v>325000</v>
      </c>
      <c r="AH255" s="54">
        <f t="shared" si="113"/>
        <v>377777</v>
      </c>
      <c r="AI255" s="54">
        <f t="shared" si="114"/>
        <v>-52777</v>
      </c>
    </row>
    <row r="256" spans="2:39" x14ac:dyDescent="0.25">
      <c r="C256" s="39">
        <v>2015</v>
      </c>
      <c r="D256" s="15" t="str">
        <f>+'LGA-124.229'!F4</f>
        <v>LGA-124.229</v>
      </c>
      <c r="E256" s="24" t="str">
        <f>+'LGA-124.229'!F5</f>
        <v>LaGuardia Airport - Watch Engineer's Office Relocation</v>
      </c>
      <c r="F256" s="25">
        <f>+'LGA-124.229'!F6</f>
        <v>42243</v>
      </c>
      <c r="G256" s="46" t="str">
        <f>+'LGA-124.229'!G7</f>
        <v>Public</v>
      </c>
      <c r="H256" s="27">
        <f>+'LGA-124.229'!F$7</f>
        <v>1650000</v>
      </c>
      <c r="I256" s="27">
        <f>+'LGA-124.229'!F$8</f>
        <v>1898000</v>
      </c>
      <c r="J256" s="27"/>
      <c r="K256" s="26">
        <f>+'LGA-124.229'!G$9</f>
        <v>0.1503030303030303</v>
      </c>
      <c r="L256" s="11" t="str">
        <f>+'LGA-124.229'!F$11</f>
        <v>FAIL</v>
      </c>
      <c r="M256" s="15">
        <f>+'LGA-124.229'!H$12</f>
        <v>4</v>
      </c>
      <c r="N256" s="35" t="s">
        <v>93</v>
      </c>
      <c r="O256" s="15">
        <v>3</v>
      </c>
      <c r="P256" s="35" t="s">
        <v>458</v>
      </c>
      <c r="Q256" s="35"/>
      <c r="R256" s="15"/>
      <c r="S256" s="24"/>
      <c r="T256" s="15" t="s">
        <v>494</v>
      </c>
      <c r="U256" s="15"/>
      <c r="V256" s="94">
        <f>+'LGA-124.229'!F$12</f>
        <v>2818925</v>
      </c>
      <c r="W256" s="165">
        <f t="shared" si="110"/>
        <v>0.67330631357698412</v>
      </c>
      <c r="X256" s="15"/>
      <c r="Y256" s="161">
        <f t="shared" si="117"/>
        <v>1.1503030303030304</v>
      </c>
      <c r="Z256" s="11" t="str">
        <f t="shared" si="118"/>
        <v>FAIL</v>
      </c>
      <c r="AA256" s="11"/>
      <c r="AB256" s="15"/>
      <c r="AC256" s="239">
        <f>VLOOKUP(H256,ECON_ADJUSTMENT!J$2:W$240,12,FALSE)</f>
        <v>1012627.0920265431</v>
      </c>
      <c r="AD256" s="15" t="str">
        <f t="shared" si="101"/>
        <v>FAIL</v>
      </c>
      <c r="AE256" s="15"/>
      <c r="AF256" s="15"/>
      <c r="AG256" s="54">
        <f t="shared" si="112"/>
        <v>1650000</v>
      </c>
      <c r="AH256" s="54">
        <f t="shared" si="113"/>
        <v>1898000</v>
      </c>
      <c r="AI256" s="54">
        <f t="shared" si="114"/>
        <v>-248000</v>
      </c>
    </row>
    <row r="257" spans="2:39" x14ac:dyDescent="0.25">
      <c r="C257" s="39">
        <v>2015</v>
      </c>
      <c r="D257" s="15" t="str">
        <f>+'EWR-924.175A'!F4</f>
        <v>EWR-924.175A</v>
      </c>
      <c r="E257" s="24" t="str">
        <f>+'EWR-924.175A'!F5</f>
        <v>Newark Liberty International Airport-Building No. 105 Roof Replacement</v>
      </c>
      <c r="F257" s="25">
        <f>+'EWR-924.175A'!F6</f>
        <v>42234</v>
      </c>
      <c r="G257" s="46" t="str">
        <f>+'EWR-924.175A'!G7</f>
        <v>M/WBE</v>
      </c>
      <c r="H257" s="27">
        <f>+'EWR-924.175A'!F$7</f>
        <v>354000</v>
      </c>
      <c r="I257" s="27">
        <f>+'EWR-924.175A'!F$8</f>
        <v>396811</v>
      </c>
      <c r="J257" s="27"/>
      <c r="K257" s="26">
        <f>+'EWR-924.175A'!G$9</f>
        <v>0.12093502824858757</v>
      </c>
      <c r="L257" s="11" t="str">
        <f>+'EWR-924.175A'!F$11</f>
        <v>FAIL</v>
      </c>
      <c r="M257" s="15">
        <f>+'EWR-924.175A'!H$12</f>
        <v>3</v>
      </c>
      <c r="N257" s="35" t="s">
        <v>25</v>
      </c>
      <c r="O257" s="15">
        <v>3</v>
      </c>
      <c r="P257" s="35" t="s">
        <v>458</v>
      </c>
      <c r="Q257" s="35"/>
      <c r="R257" s="15"/>
      <c r="S257" s="24"/>
      <c r="T257" s="15"/>
      <c r="U257" s="15"/>
      <c r="V257" s="94">
        <f>+'EWR-924.175A'!F$12</f>
        <v>581728.33333333337</v>
      </c>
      <c r="W257" s="165">
        <f t="shared" si="110"/>
        <v>0.68212424470758115</v>
      </c>
      <c r="X257" s="15"/>
      <c r="Y257" s="161">
        <f t="shared" si="117"/>
        <v>1.1209350282485875</v>
      </c>
      <c r="Z257" s="11" t="str">
        <f t="shared" si="118"/>
        <v>FAIL</v>
      </c>
      <c r="AA257" s="11"/>
      <c r="AB257" s="15"/>
      <c r="AC257" s="239">
        <f>VLOOKUP(H257,ECON_ADJUSTMENT!J$2:W$240,12,FALSE)</f>
        <v>1173381.605346001</v>
      </c>
      <c r="AD257" s="15" t="str">
        <f t="shared" si="101"/>
        <v>FAIL</v>
      </c>
      <c r="AE257" s="15"/>
      <c r="AF257" s="15"/>
      <c r="AG257" s="54">
        <f t="shared" si="112"/>
        <v>354000</v>
      </c>
      <c r="AH257" s="54">
        <f t="shared" si="113"/>
        <v>396811</v>
      </c>
      <c r="AI257" s="54">
        <f t="shared" si="114"/>
        <v>-42811</v>
      </c>
    </row>
    <row r="258" spans="2:39" x14ac:dyDescent="0.25">
      <c r="C258" s="39">
        <v>2015</v>
      </c>
      <c r="D258" s="15" t="str">
        <f>+'EWR-154.239'!F4</f>
        <v>EWR-154.239</v>
      </c>
      <c r="E258" s="24" t="str">
        <f>+'EWR-154.239'!F5</f>
        <v>Newark Liberty International Airport- Rehabilitation of Expansion Joints of Bridges N3, N9, N13, N17, N19 and N29, and Structural Elements</v>
      </c>
      <c r="F258" s="25">
        <f>+'EWR-154.239'!F6</f>
        <v>42213</v>
      </c>
      <c r="G258" s="46" t="str">
        <f>+'EWR-154.239'!G7</f>
        <v>Public</v>
      </c>
      <c r="H258" s="27">
        <f>+'EWR-154.239'!F$7</f>
        <v>1918000</v>
      </c>
      <c r="I258" s="27">
        <f>+'EWR-154.239'!F$8</f>
        <v>1389000</v>
      </c>
      <c r="J258" s="27"/>
      <c r="K258" s="26">
        <f>+'EWR-154.239'!G$9</f>
        <v>-0.27580813347236705</v>
      </c>
      <c r="L258" s="11" t="str">
        <f>+'EWR-154.239'!F$11</f>
        <v>GOOD</v>
      </c>
      <c r="M258" s="15">
        <f>+'EWR-154.239'!H$12</f>
        <v>12</v>
      </c>
      <c r="N258" s="35" t="s">
        <v>25</v>
      </c>
      <c r="O258" s="15">
        <v>3</v>
      </c>
      <c r="P258" s="35" t="s">
        <v>458</v>
      </c>
      <c r="Q258" s="35"/>
      <c r="R258" s="15"/>
      <c r="S258" s="24"/>
      <c r="T258" s="15"/>
      <c r="U258" s="15"/>
      <c r="V258" s="94">
        <f>+'EWR-154.239'!F$12</f>
        <v>2398929.4741666666</v>
      </c>
      <c r="W258" s="165">
        <f t="shared" si="110"/>
        <v>0.57900826804527339</v>
      </c>
      <c r="X258" s="15"/>
      <c r="Y258" s="161">
        <f t="shared" si="117"/>
        <v>0.7241918665276329</v>
      </c>
      <c r="Z258" s="11" t="str">
        <f t="shared" si="118"/>
        <v>FAIL</v>
      </c>
      <c r="AA258" s="11"/>
      <c r="AB258" s="15"/>
      <c r="AC258" s="239">
        <f>VLOOKUP(H258,ECON_ADJUSTMENT!J$2:W$240,12,FALSE)</f>
        <v>1245802.917596739</v>
      </c>
      <c r="AD258" s="15" t="str">
        <f t="shared" si="101"/>
        <v>FAIL</v>
      </c>
      <c r="AE258" s="15"/>
      <c r="AF258" s="15"/>
      <c r="AG258" s="54">
        <f t="shared" si="112"/>
        <v>1918000</v>
      </c>
      <c r="AH258" s="54">
        <f t="shared" si="113"/>
        <v>1389000</v>
      </c>
      <c r="AI258" s="54">
        <f t="shared" si="114"/>
        <v>529000</v>
      </c>
    </row>
    <row r="259" spans="2:39" x14ac:dyDescent="0.25">
      <c r="B259" s="164">
        <f>(COUNTIF(L253:L259,"G*")/COUNTA(L253:L259))</f>
        <v>0.5</v>
      </c>
      <c r="C259" s="39">
        <v>2015</v>
      </c>
      <c r="D259" s="15" t="str">
        <f>+'LGA-774.133A'!F4</f>
        <v>LGA-774.133A</v>
      </c>
      <c r="E259" s="24" t="str">
        <f>+'LGA-774.133A'!F5</f>
        <v>LaGuardia Airport-Emergency Storm Drainage Outfalls</v>
      </c>
      <c r="F259" s="25">
        <f>+'LGA-774.133A'!F6</f>
        <v>42209</v>
      </c>
      <c r="G259" s="46" t="str">
        <f>+'LGA-774.133A'!G7</f>
        <v>Public</v>
      </c>
      <c r="H259" s="27"/>
      <c r="I259" s="27"/>
      <c r="J259" s="27"/>
      <c r="K259" s="26"/>
      <c r="L259" s="11"/>
      <c r="M259" s="15">
        <f>+'LGA-774.133A'!H$12</f>
        <v>7</v>
      </c>
      <c r="N259" s="35" t="s">
        <v>93</v>
      </c>
      <c r="O259" s="15">
        <v>3</v>
      </c>
      <c r="P259" s="35" t="s">
        <v>458</v>
      </c>
      <c r="Q259" s="35"/>
      <c r="R259" s="15"/>
      <c r="S259" s="24" t="s">
        <v>227</v>
      </c>
      <c r="T259" s="15" t="s">
        <v>494</v>
      </c>
      <c r="U259" s="15"/>
      <c r="V259" s="94"/>
      <c r="W259" s="165"/>
      <c r="X259" s="15"/>
      <c r="Y259" s="161"/>
      <c r="Z259" s="11"/>
      <c r="AA259" s="11"/>
      <c r="AB259" s="15"/>
      <c r="AC259" s="239"/>
      <c r="AD259" s="15"/>
      <c r="AE259" s="15"/>
      <c r="AF259" s="15"/>
      <c r="AG259" s="54">
        <f t="shared" si="112"/>
        <v>0</v>
      </c>
      <c r="AH259" s="54">
        <f t="shared" si="113"/>
        <v>0</v>
      </c>
      <c r="AI259" s="54">
        <f t="shared" si="114"/>
        <v>0</v>
      </c>
    </row>
    <row r="260" spans="2:39" ht="8.25" customHeight="1" x14ac:dyDescent="0.25">
      <c r="C260" s="39"/>
      <c r="D260" s="15"/>
      <c r="E260" s="24"/>
      <c r="F260" s="25"/>
      <c r="G260" s="46"/>
      <c r="H260" s="27"/>
      <c r="I260" s="27"/>
      <c r="J260" s="27"/>
      <c r="K260" s="26"/>
      <c r="L260" s="11"/>
      <c r="M260" s="15"/>
      <c r="P260" s="11"/>
      <c r="Q260" s="11"/>
      <c r="T260" s="15"/>
      <c r="U260" s="15"/>
      <c r="V260" s="94"/>
      <c r="W260" s="165"/>
      <c r="X260" s="15"/>
      <c r="Y260" s="15"/>
      <c r="Z260" s="15"/>
      <c r="AA260" s="15"/>
      <c r="AC260" s="239"/>
      <c r="AD260" s="15"/>
      <c r="AG260" s="54"/>
      <c r="AH260" s="54"/>
      <c r="AI260" s="54"/>
    </row>
    <row r="261" spans="2:39" x14ac:dyDescent="0.25">
      <c r="C261" s="39">
        <v>2015</v>
      </c>
      <c r="D261" s="15" t="str">
        <f>+'LT-924.014'!F4</f>
        <v>LT-924.014</v>
      </c>
      <c r="E261" s="24" t="str">
        <f>+'LT-924.014'!F5</f>
        <v>Lincoln Tunnel-Water Leak Repairs</v>
      </c>
      <c r="F261" s="25">
        <f>+'LT-924.014'!F6</f>
        <v>42178</v>
      </c>
      <c r="G261" s="46" t="str">
        <f>+'LT-924.014'!G7</f>
        <v>Public</v>
      </c>
      <c r="H261" s="27">
        <f>+'LT-924.014'!F$7</f>
        <v>1800000</v>
      </c>
      <c r="I261" s="27">
        <f>+'LT-924.014'!F$8</f>
        <v>2217200</v>
      </c>
      <c r="J261" s="27"/>
      <c r="K261" s="26">
        <f>+'LT-924.014'!G$9</f>
        <v>0.23177777777777778</v>
      </c>
      <c r="L261" s="11" t="str">
        <f>+'LT-924.014'!F$11</f>
        <v>FAIL</v>
      </c>
      <c r="M261" s="15">
        <f>+'LT-924.014'!H$12</f>
        <v>2</v>
      </c>
      <c r="N261" s="35" t="s">
        <v>226</v>
      </c>
      <c r="O261" s="15">
        <v>2</v>
      </c>
      <c r="P261" s="35" t="s">
        <v>457</v>
      </c>
      <c r="Q261" s="35"/>
      <c r="R261" s="15"/>
      <c r="S261" s="24"/>
      <c r="T261" s="15" t="s">
        <v>630</v>
      </c>
      <c r="U261" s="15"/>
      <c r="V261" s="94">
        <f>+'LT-924.014'!F$12</f>
        <v>2457600</v>
      </c>
      <c r="W261" s="165">
        <f t="shared" si="110"/>
        <v>0.90218098958333337</v>
      </c>
      <c r="X261" s="15"/>
      <c r="Y261" s="161">
        <f t="shared" ref="Y261:Y277" si="119">+I261/H261</f>
        <v>1.2317777777777779</v>
      </c>
      <c r="Z261" s="11" t="str">
        <f t="shared" ref="Z261:Z277" si="120">(IF(Y261&lt;$Y$3,"FAIL",IF(Y261&gt;$Y$4,"FAIL","GOOD")))</f>
        <v>FAIL</v>
      </c>
      <c r="AA261" s="11"/>
      <c r="AB261" s="15"/>
      <c r="AC261" s="239">
        <f>VLOOKUP(H261,ECON_ADJUSTMENT!J$2:W$240,12,FALSE)</f>
        <v>1884719.5009576059</v>
      </c>
      <c r="AD261" s="15" t="str">
        <f t="shared" si="101"/>
        <v>FAIL</v>
      </c>
      <c r="AE261" s="15"/>
      <c r="AF261" s="15"/>
      <c r="AG261" s="54">
        <f t="shared" si="112"/>
        <v>1800000</v>
      </c>
      <c r="AH261" s="54">
        <f t="shared" si="113"/>
        <v>2217200</v>
      </c>
      <c r="AI261" s="54">
        <f t="shared" si="114"/>
        <v>-417200</v>
      </c>
      <c r="AK261" s="4">
        <f>SUM(AG261:AG277)</f>
        <v>64639000</v>
      </c>
      <c r="AL261" s="4">
        <f>SUM(AH261:AH277)</f>
        <v>66886744.329999998</v>
      </c>
      <c r="AM261" s="7">
        <f>+AK261/AL261</f>
        <v>0.96639477145261743</v>
      </c>
    </row>
    <row r="262" spans="2:39" x14ac:dyDescent="0.25">
      <c r="C262" s="39">
        <v>2015</v>
      </c>
      <c r="D262" s="15" t="str">
        <f>+'GWB-244.240'!F4</f>
        <v>GWB-244.240</v>
      </c>
      <c r="E262" s="24" t="str">
        <f>+'GWB-244.240'!F5</f>
        <v>George Washington Bridge-Lower Level Priority Steel and Concrete Prepairs, Rehabilitation of Catwalks and Plaintenace Platform Travelers</v>
      </c>
      <c r="F262" s="25">
        <f>+'GWB-244.240'!F6</f>
        <v>42177</v>
      </c>
      <c r="G262" s="46" t="str">
        <f>+'GWB-244.240'!G7</f>
        <v>Public</v>
      </c>
      <c r="H262" s="27">
        <f>+'GWB-244.240'!F$7</f>
        <v>6500000</v>
      </c>
      <c r="I262" s="27">
        <f>+'GWB-244.240'!F$8</f>
        <v>6374800</v>
      </c>
      <c r="J262" s="27" t="s">
        <v>519</v>
      </c>
      <c r="K262" s="26">
        <f>+'GWB-244.240'!G$9</f>
        <v>-1.9261538461538462E-2</v>
      </c>
      <c r="L262" s="11" t="str">
        <f>+'GWB-244.240'!F$11</f>
        <v>GOOD</v>
      </c>
      <c r="M262" s="15">
        <f>+'GWB-244.240'!H$12</f>
        <v>7</v>
      </c>
      <c r="N262" s="35" t="s">
        <v>226</v>
      </c>
      <c r="O262" s="15">
        <v>2</v>
      </c>
      <c r="P262" s="35" t="s">
        <v>457</v>
      </c>
      <c r="Q262" s="35"/>
      <c r="R262" s="15"/>
      <c r="S262" s="15"/>
      <c r="T262" s="15" t="s">
        <v>630</v>
      </c>
      <c r="U262" s="15"/>
      <c r="V262" s="94">
        <f>+'GWB-244.240'!F$12</f>
        <v>8954270.1428571437</v>
      </c>
      <c r="W262" s="165">
        <f t="shared" si="110"/>
        <v>0.71192848755911198</v>
      </c>
      <c r="X262" s="15"/>
      <c r="Y262" s="161">
        <f t="shared" si="119"/>
        <v>0.98073846153846156</v>
      </c>
      <c r="Z262" s="11" t="str">
        <f t="shared" si="120"/>
        <v>GOOD</v>
      </c>
      <c r="AA262" s="11"/>
      <c r="AB262" s="15"/>
      <c r="AC262" s="239">
        <f>VLOOKUP(H262,ECON_ADJUSTMENT!J$2:W$240,12,FALSE)</f>
        <v>6066563.3384419344</v>
      </c>
      <c r="AD262" s="15" t="str">
        <f t="shared" si="101"/>
        <v>GOOD</v>
      </c>
      <c r="AE262" s="15"/>
      <c r="AF262" s="15"/>
      <c r="AG262" s="54">
        <f t="shared" si="112"/>
        <v>6500000</v>
      </c>
      <c r="AH262" s="54">
        <f t="shared" si="113"/>
        <v>6374800</v>
      </c>
      <c r="AI262" s="54">
        <f t="shared" si="114"/>
        <v>125200</v>
      </c>
    </row>
    <row r="263" spans="2:39" x14ac:dyDescent="0.25">
      <c r="C263" s="39">
        <v>2015</v>
      </c>
      <c r="D263" s="15" t="str">
        <f>+'MFP-924.623'!F4</f>
        <v>MFP-924.623</v>
      </c>
      <c r="E263" s="24" t="str">
        <f>+'MFP-924.623'!F5</f>
        <v>New York Marine Terminals-Paving and Utility Rehabilitation Via Work Order</v>
      </c>
      <c r="F263" s="25">
        <f>+'MFP-924.623'!F6</f>
        <v>42159</v>
      </c>
      <c r="G263" s="46" t="str">
        <f>+'MFP-924.623'!G7</f>
        <v>Public</v>
      </c>
      <c r="H263" s="27">
        <f>+'MFP-924.623'!F$7</f>
        <v>1600000</v>
      </c>
      <c r="I263" s="27">
        <f>+'MFP-924.623'!F$8</f>
        <v>1298005</v>
      </c>
      <c r="J263" s="27"/>
      <c r="K263" s="26">
        <f>+'MFP-924.623'!G$9</f>
        <v>-0.18874687500000001</v>
      </c>
      <c r="L263" s="11" t="str">
        <f>+'MFP-924.623'!F$11</f>
        <v>GOOD</v>
      </c>
      <c r="M263" s="15">
        <f>+'MFP-924.623'!H$12</f>
        <v>6</v>
      </c>
      <c r="N263" s="35" t="s">
        <v>93</v>
      </c>
      <c r="O263" s="15">
        <v>2</v>
      </c>
      <c r="P263" s="35" t="s">
        <v>492</v>
      </c>
      <c r="Q263" s="35"/>
      <c r="R263" s="15"/>
      <c r="S263" s="15"/>
      <c r="T263" s="15" t="s">
        <v>634</v>
      </c>
      <c r="U263" s="15"/>
      <c r="V263" s="94">
        <f>+'MFP-924.623'!F$12</f>
        <v>1743752</v>
      </c>
      <c r="W263" s="165">
        <f t="shared" si="110"/>
        <v>0.74437477347696235</v>
      </c>
      <c r="X263" s="15"/>
      <c r="Y263" s="161">
        <f t="shared" si="119"/>
        <v>0.81125312500000002</v>
      </c>
      <c r="Z263" s="11" t="str">
        <f t="shared" si="120"/>
        <v>FAIL</v>
      </c>
      <c r="AA263" s="11"/>
      <c r="AB263" s="15"/>
      <c r="AC263" s="239">
        <f>VLOOKUP(H263,ECON_ADJUSTMENT!J$2:W$240,12,FALSE)</f>
        <v>337757.42859750427</v>
      </c>
      <c r="AD263" s="15" t="str">
        <f t="shared" si="101"/>
        <v>FAIL</v>
      </c>
      <c r="AE263" s="15"/>
      <c r="AF263" s="15"/>
      <c r="AG263" s="54">
        <f t="shared" si="112"/>
        <v>1600000</v>
      </c>
      <c r="AH263" s="54">
        <f t="shared" si="113"/>
        <v>1298005</v>
      </c>
      <c r="AI263" s="54">
        <f t="shared" si="114"/>
        <v>301995</v>
      </c>
    </row>
    <row r="264" spans="2:39" x14ac:dyDescent="0.25">
      <c r="C264" s="39">
        <v>2015</v>
      </c>
      <c r="D264" s="15" t="str">
        <f>+'NYNJRR-644.531'!F4</f>
        <v>NYNJRR-644.531</v>
      </c>
      <c r="E264" s="24" t="str">
        <f>+'NYNJRR-644.531'!F5</f>
        <v>NY and NJ Rail - Transfer Bridge #10 Reconstruction and Fender Modifications at 65th St Yard, Brooklyn</v>
      </c>
      <c r="F264" s="25">
        <f>+'NYNJRR-644.531'!F6</f>
        <v>42157</v>
      </c>
      <c r="G264" s="46" t="str">
        <f>+'NYNJRR-644.531'!G7</f>
        <v>Public</v>
      </c>
      <c r="H264" s="27">
        <f>+'NYNJRR-644.531'!F$7</f>
        <v>29100000</v>
      </c>
      <c r="I264" s="27">
        <f>+'NYNJRR-644.531'!F$8</f>
        <v>30452500</v>
      </c>
      <c r="J264" s="27" t="s">
        <v>519</v>
      </c>
      <c r="K264" s="26">
        <f>+'NYNJRR-644.531'!G$9</f>
        <v>4.6477663230240551E-2</v>
      </c>
      <c r="L264" s="11" t="str">
        <f>+'NYNJRR-644.531'!F$11</f>
        <v>GOOD</v>
      </c>
      <c r="M264" s="15">
        <f>+'NYNJRR-644.531'!H$12</f>
        <v>11</v>
      </c>
      <c r="N264" s="35" t="s">
        <v>25</v>
      </c>
      <c r="O264" s="15">
        <v>2</v>
      </c>
      <c r="P264" s="35" t="s">
        <v>492</v>
      </c>
      <c r="Q264" s="35"/>
      <c r="R264" s="15"/>
      <c r="S264" s="15"/>
      <c r="T264" s="15" t="s">
        <v>630</v>
      </c>
      <c r="U264" s="15"/>
      <c r="V264" s="94">
        <f>+'NYNJRR-644.531'!F$12</f>
        <v>37327415.50363636</v>
      </c>
      <c r="W264" s="165">
        <f t="shared" si="110"/>
        <v>0.81582128280575383</v>
      </c>
      <c r="X264" s="15"/>
      <c r="Y264" s="161">
        <f t="shared" si="119"/>
        <v>1.0464776632302406</v>
      </c>
      <c r="Z264" s="11" t="str">
        <f t="shared" si="120"/>
        <v>GOOD</v>
      </c>
      <c r="AA264" s="11"/>
      <c r="AB264" s="15"/>
      <c r="AC264" s="239">
        <f>VLOOKUP(H264,ECON_ADJUSTMENT!J$2:W$240,12,FALSE)</f>
        <v>28112158.435769837</v>
      </c>
      <c r="AD264" s="15" t="str">
        <f t="shared" ref="AD264:AD283" si="121">(IF(AC264&lt;(I264*0.9),"FAIL",IF(AC264&gt;(V264*1.1),"FAIL","GOOD")))</f>
        <v>GOOD</v>
      </c>
      <c r="AE264" s="15"/>
      <c r="AF264" s="15"/>
      <c r="AG264" s="54">
        <f t="shared" si="112"/>
        <v>29100000</v>
      </c>
      <c r="AH264" s="54">
        <f t="shared" si="113"/>
        <v>30452500</v>
      </c>
      <c r="AI264" s="54">
        <f t="shared" si="114"/>
        <v>-1352500</v>
      </c>
    </row>
    <row r="265" spans="2:39" x14ac:dyDescent="0.25">
      <c r="C265" s="39">
        <v>2015</v>
      </c>
      <c r="D265" s="15" t="str">
        <f>+'JFK-914.209'!F4</f>
        <v>JFK-914.209</v>
      </c>
      <c r="E265" s="24" t="str">
        <f>+'JFK-914.209'!F5</f>
        <v>John F. Kennedy International Airport-Former Hangar 12 Site-West Area Lighting</v>
      </c>
      <c r="F265" s="25">
        <f>+'JFK-914.209'!F6</f>
        <v>42145</v>
      </c>
      <c r="G265" s="46" t="str">
        <f>+'JFK-914.209'!G7</f>
        <v>MBE</v>
      </c>
      <c r="H265" s="27">
        <f>+'JFK-914.209'!F$7</f>
        <v>1550000</v>
      </c>
      <c r="I265" s="27">
        <f>+'JFK-914.209'!F$8</f>
        <v>2333333.33</v>
      </c>
      <c r="J265" s="27"/>
      <c r="K265" s="26">
        <f>+'JFK-914.209'!G$9</f>
        <v>0.50537634193548386</v>
      </c>
      <c r="L265" s="11" t="str">
        <f>+'JFK-914.209'!F$11</f>
        <v>FAIL</v>
      </c>
      <c r="M265" s="15">
        <f>+'JFK-914.209'!H$12</f>
        <v>2</v>
      </c>
      <c r="N265" s="11" t="s">
        <v>93</v>
      </c>
      <c r="O265" s="15">
        <v>2</v>
      </c>
      <c r="P265" s="35" t="s">
        <v>458</v>
      </c>
      <c r="Q265" s="11"/>
      <c r="T265" s="15" t="s">
        <v>630</v>
      </c>
      <c r="U265" s="15"/>
      <c r="V265" s="94">
        <f>+'JFK-914.209'!F$12</f>
        <v>2986666.665</v>
      </c>
      <c r="W265" s="165">
        <f t="shared" si="110"/>
        <v>0.78124999931989403</v>
      </c>
      <c r="X265" s="15"/>
      <c r="Y265" s="161">
        <f t="shared" si="119"/>
        <v>1.505376341935484</v>
      </c>
      <c r="Z265" s="11" t="str">
        <f t="shared" si="120"/>
        <v>FAIL</v>
      </c>
      <c r="AA265" s="11"/>
      <c r="AC265" s="239">
        <f>VLOOKUP(H265,ECON_ADJUSTMENT!J$2:W$240,12,FALSE)</f>
        <v>3586922.4921386214</v>
      </c>
      <c r="AD265" s="15" t="str">
        <f t="shared" si="121"/>
        <v>FAIL</v>
      </c>
      <c r="AG265" s="54">
        <f t="shared" si="112"/>
        <v>1550000</v>
      </c>
      <c r="AH265" s="54">
        <f t="shared" si="113"/>
        <v>2333333.33</v>
      </c>
      <c r="AI265" s="54">
        <f t="shared" si="114"/>
        <v>-783333.33000000007</v>
      </c>
    </row>
    <row r="266" spans="2:39" x14ac:dyDescent="0.25">
      <c r="C266" s="39">
        <v>2015</v>
      </c>
      <c r="D266" s="15" t="str">
        <f>+'PN-654.545'!F4</f>
        <v>PN-654.545</v>
      </c>
      <c r="E266" s="24" t="str">
        <f>+'PN-654.545'!F5</f>
        <v>Port Newark Berth 19 Wharf Restoration</v>
      </c>
      <c r="F266" s="25">
        <f>+'PN-654.545'!F6</f>
        <v>42145</v>
      </c>
      <c r="G266" s="46" t="str">
        <f>+'PN-654.545'!G7</f>
        <v>Public</v>
      </c>
      <c r="H266" s="27">
        <f>+'PN-654.545'!F$7</f>
        <v>6400000</v>
      </c>
      <c r="I266" s="27">
        <f>+'PN-654.545'!F$8</f>
        <v>5777000</v>
      </c>
      <c r="J266" s="27" t="s">
        <v>519</v>
      </c>
      <c r="K266" s="26">
        <f>+'PN-654.545'!G$9</f>
        <v>-9.7343750000000007E-2</v>
      </c>
      <c r="L266" s="11" t="str">
        <f>+'PN-654.545'!F$11</f>
        <v>GOOD</v>
      </c>
      <c r="M266" s="15">
        <f>+'PN-654.545'!H$12</f>
        <v>7</v>
      </c>
      <c r="N266" s="11" t="s">
        <v>25</v>
      </c>
      <c r="O266" s="15">
        <v>2</v>
      </c>
      <c r="P266" s="35" t="s">
        <v>492</v>
      </c>
      <c r="Q266" s="11"/>
      <c r="T266" s="15" t="s">
        <v>442</v>
      </c>
      <c r="U266" s="15"/>
      <c r="V266" s="94">
        <f>+'PN-654.545'!F$12</f>
        <v>7202530.7142857146</v>
      </c>
      <c r="W266" s="165">
        <f t="shared" si="110"/>
        <v>0.80207918982444959</v>
      </c>
      <c r="X266" s="15"/>
      <c r="Y266" s="161">
        <f t="shared" si="119"/>
        <v>0.90265625000000005</v>
      </c>
      <c r="Z266" s="11" t="str">
        <f t="shared" si="120"/>
        <v>GOOD</v>
      </c>
      <c r="AA266" s="11"/>
      <c r="AC266" s="239">
        <f>VLOOKUP(H266,ECON_ADJUSTMENT!J$2:W$240,12,FALSE)</f>
        <v>5979557.4333784282</v>
      </c>
      <c r="AD266" s="15" t="str">
        <f t="shared" si="121"/>
        <v>GOOD</v>
      </c>
      <c r="AG266" s="54">
        <f t="shared" si="112"/>
        <v>6400000</v>
      </c>
      <c r="AH266" s="54">
        <f t="shared" si="113"/>
        <v>5777000</v>
      </c>
      <c r="AI266" s="54">
        <f t="shared" si="114"/>
        <v>623000</v>
      </c>
    </row>
    <row r="267" spans="2:39" x14ac:dyDescent="0.25">
      <c r="C267" s="39">
        <v>2015</v>
      </c>
      <c r="D267" s="15" t="str">
        <f>+'PAT-131.000'!F4</f>
        <v>PAT-131.000</v>
      </c>
      <c r="E267" s="24" t="str">
        <f>+'PAT-131.000'!F5</f>
        <v>Path-Hackensack River Bridge Emergency Generator Fuel Tank</v>
      </c>
      <c r="F267" s="25">
        <f>+'PAT-131.000'!F6</f>
        <v>42144</v>
      </c>
      <c r="G267" s="46" t="str">
        <f>+'PAT-131.000'!G7</f>
        <v>Public</v>
      </c>
      <c r="H267" s="27">
        <f>+'PAT-131.000'!F$7</f>
        <v>3340000</v>
      </c>
      <c r="I267" s="27">
        <f>+'PAT-131.000'!F$8</f>
        <v>4538160</v>
      </c>
      <c r="J267" s="27"/>
      <c r="K267" s="26">
        <f>+'PAT-131.000'!G$9</f>
        <v>0.35873053892215567</v>
      </c>
      <c r="L267" s="11" t="str">
        <f>+'PAT-131.000'!F$11</f>
        <v>FAIL</v>
      </c>
      <c r="M267" s="15">
        <f>+'PAT-131.000'!H$12</f>
        <v>3</v>
      </c>
      <c r="N267" s="11" t="s">
        <v>25</v>
      </c>
      <c r="O267" s="15">
        <v>2</v>
      </c>
      <c r="P267" s="35" t="s">
        <v>459</v>
      </c>
      <c r="Q267" s="11"/>
      <c r="T267" s="15" t="s">
        <v>447</v>
      </c>
      <c r="U267" s="15"/>
      <c r="V267" s="94">
        <f>+'PAT-131.000'!F$12</f>
        <v>6029053.333333333</v>
      </c>
      <c r="W267" s="165">
        <f t="shared" si="110"/>
        <v>0.7527151858003136</v>
      </c>
      <c r="X267" s="15"/>
      <c r="Y267" s="161">
        <f t="shared" si="119"/>
        <v>1.3587305389221558</v>
      </c>
      <c r="Z267" s="11" t="str">
        <f t="shared" si="120"/>
        <v>FAIL</v>
      </c>
      <c r="AA267" s="11"/>
      <c r="AC267" s="239">
        <f>VLOOKUP(H267,ECON_ADJUSTMENT!J$2:W$240,12,FALSE)</f>
        <v>3317176.7384351469</v>
      </c>
      <c r="AD267" s="15" t="str">
        <f t="shared" si="121"/>
        <v>FAIL</v>
      </c>
      <c r="AG267" s="54">
        <f t="shared" si="112"/>
        <v>3340000</v>
      </c>
      <c r="AH267" s="54">
        <f t="shared" si="113"/>
        <v>4538160</v>
      </c>
      <c r="AI267" s="54">
        <f t="shared" si="114"/>
        <v>-1198160</v>
      </c>
    </row>
    <row r="268" spans="2:39" x14ac:dyDescent="0.25">
      <c r="C268" s="39">
        <v>2015</v>
      </c>
      <c r="D268" s="15" t="str">
        <f>+'SWF-164.031A'!F4</f>
        <v>SWF-164.031A</v>
      </c>
      <c r="E268" s="24" t="str">
        <f>+'SWF-164.031A'!F5</f>
        <v>Stewart International-Passenger Loading Bridges Pressurization Fans</v>
      </c>
      <c r="F268" s="25">
        <f>+'SWF-164.031A'!F6</f>
        <v>42143</v>
      </c>
      <c r="G268" s="46" t="str">
        <f>+'SWF-164.031A'!G7</f>
        <v>Public</v>
      </c>
      <c r="H268" s="27">
        <f>+'SWF-164.031A'!F$7</f>
        <v>1263000</v>
      </c>
      <c r="I268" s="27">
        <f>+'SWF-164.031A'!F$8</f>
        <v>930000</v>
      </c>
      <c r="J268" s="27"/>
      <c r="K268" s="26">
        <f>+'SWF-164.031A'!G$9</f>
        <v>-0.26365795724465557</v>
      </c>
      <c r="L268" s="11" t="str">
        <f>+'SWF-164.031A'!F$11</f>
        <v>FAIL</v>
      </c>
      <c r="M268" s="15">
        <f>+'SWF-164.031A'!H$12</f>
        <v>1</v>
      </c>
      <c r="N268" s="11" t="s">
        <v>93</v>
      </c>
      <c r="O268" s="15">
        <v>2</v>
      </c>
      <c r="P268" s="35" t="s">
        <v>458</v>
      </c>
      <c r="Q268" s="11"/>
      <c r="T268" s="15" t="s">
        <v>494</v>
      </c>
      <c r="U268" s="15"/>
      <c r="V268" s="94">
        <f>+'SWF-164.031A'!F$12</f>
        <v>930000</v>
      </c>
      <c r="W268" s="165">
        <f t="shared" si="110"/>
        <v>1</v>
      </c>
      <c r="X268" s="15"/>
      <c r="Y268" s="161">
        <f t="shared" si="119"/>
        <v>0.73634204275534443</v>
      </c>
      <c r="Z268" s="11" t="str">
        <f t="shared" si="120"/>
        <v>FAIL</v>
      </c>
      <c r="AA268" s="11"/>
      <c r="AC268" s="239">
        <f>VLOOKUP(H268,ECON_ADJUSTMENT!J$2:W$240,12,FALSE)</f>
        <v>44547.528533489443</v>
      </c>
      <c r="AD268" s="15" t="str">
        <f t="shared" si="121"/>
        <v>FAIL</v>
      </c>
      <c r="AG268" s="54">
        <f t="shared" si="112"/>
        <v>1263000</v>
      </c>
      <c r="AH268" s="54">
        <f t="shared" si="113"/>
        <v>930000</v>
      </c>
      <c r="AI268" s="54">
        <f t="shared" si="114"/>
        <v>333000</v>
      </c>
    </row>
    <row r="269" spans="2:39" x14ac:dyDescent="0.25">
      <c r="C269" s="39">
        <v>2015</v>
      </c>
      <c r="D269" s="15" t="str">
        <f>+'GWB-924.044'!F4</f>
        <v>GWB-924.044</v>
      </c>
      <c r="E269" s="24" t="str">
        <f>+'GWB-924.044'!F5</f>
        <v xml:space="preserve">George Washington Bridge-Electrical Bus Replacement </v>
      </c>
      <c r="F269" s="25">
        <f>+'GWB-924.044'!F6</f>
        <v>42142</v>
      </c>
      <c r="G269" s="46" t="str">
        <f>+'GWB-924.044'!G7</f>
        <v>MBE</v>
      </c>
      <c r="H269" s="27">
        <f>+'GWB-924.044'!F$7</f>
        <v>830000</v>
      </c>
      <c r="I269" s="27">
        <f>+'GWB-924.044'!F$8</f>
        <v>1650000</v>
      </c>
      <c r="J269" s="27"/>
      <c r="K269" s="26">
        <f>+'GWB-924.044'!G$9</f>
        <v>0.98795180722891562</v>
      </c>
      <c r="L269" s="11" t="str">
        <f>+'GWB-924.044'!F$11</f>
        <v>FAIL</v>
      </c>
      <c r="M269" s="15">
        <f>+'GWB-924.044'!H$12</f>
        <v>1</v>
      </c>
      <c r="N269" s="35" t="s">
        <v>226</v>
      </c>
      <c r="O269" s="15">
        <v>2</v>
      </c>
      <c r="P269" s="35" t="s">
        <v>457</v>
      </c>
      <c r="Q269" s="11"/>
      <c r="T269" s="15" t="s">
        <v>630</v>
      </c>
      <c r="U269" s="15"/>
      <c r="V269" s="94">
        <f>+'GWB-924.044'!F$12</f>
        <v>1650000</v>
      </c>
      <c r="W269" s="165">
        <f t="shared" si="110"/>
        <v>1</v>
      </c>
      <c r="X269" s="15"/>
      <c r="Y269" s="161">
        <f t="shared" si="119"/>
        <v>1.9879518072289157</v>
      </c>
      <c r="Z269" s="11" t="str">
        <f t="shared" si="120"/>
        <v>FAIL</v>
      </c>
      <c r="AA269" s="11"/>
      <c r="AC269" s="239">
        <f>VLOOKUP(H269,ECON_ADJUSTMENT!J$2:W$240,12,FALSE)</f>
        <v>2218896.4243455748</v>
      </c>
      <c r="AD269" s="15" t="str">
        <f t="shared" si="121"/>
        <v>FAIL</v>
      </c>
      <c r="AG269" s="54">
        <f t="shared" si="112"/>
        <v>830000</v>
      </c>
      <c r="AH269" s="54">
        <f t="shared" si="113"/>
        <v>1650000</v>
      </c>
      <c r="AI269" s="54">
        <f t="shared" si="114"/>
        <v>-820000</v>
      </c>
    </row>
    <row r="270" spans="2:39" ht="15" customHeight="1" x14ac:dyDescent="0.25">
      <c r="C270" s="39">
        <v>2015</v>
      </c>
      <c r="D270" s="15" t="str">
        <f>+'TEB-914.203'!F4</f>
        <v>TEB-914.203</v>
      </c>
      <c r="E270" s="24" t="str">
        <f>+'TEB-914.203'!F5</f>
        <v>Teterboro Airport-Installation of Fencing to Mitigate Wildlife Hazards</v>
      </c>
      <c r="F270" s="25">
        <f>+'TEB-914.203'!F6</f>
        <v>42115</v>
      </c>
      <c r="G270" s="46" t="str">
        <f>+'TEB-914.203'!G7</f>
        <v>Public</v>
      </c>
      <c r="H270" s="27">
        <f>+'TEB-914.203'!F$7</f>
        <v>735000</v>
      </c>
      <c r="I270" s="27">
        <f>+'TEB-914.203'!F$8</f>
        <v>512568</v>
      </c>
      <c r="J270" s="27"/>
      <c r="K270" s="26">
        <f>+'TEB-914.203'!G$9</f>
        <v>-0.30262857142857141</v>
      </c>
      <c r="L270" s="11" t="str">
        <f>+'TEB-914.203'!F$11</f>
        <v>GOOD</v>
      </c>
      <c r="M270" s="15">
        <f>+'TEB-914.203'!H$12</f>
        <v>9</v>
      </c>
      <c r="N270" s="11" t="s">
        <v>25</v>
      </c>
      <c r="O270" s="15">
        <v>2</v>
      </c>
      <c r="P270" s="35" t="s">
        <v>458</v>
      </c>
      <c r="Q270" s="11"/>
      <c r="T270" s="15"/>
      <c r="U270" s="15"/>
      <c r="V270" s="94">
        <f>+'TEB-914.203'!F$12</f>
        <v>793823.2733333332</v>
      </c>
      <c r="W270" s="165">
        <f t="shared" si="110"/>
        <v>0.64569535464446925</v>
      </c>
      <c r="X270" s="15"/>
      <c r="Y270" s="161">
        <f t="shared" si="119"/>
        <v>0.69737142857142853</v>
      </c>
      <c r="Z270" s="11" t="str">
        <f t="shared" si="120"/>
        <v>FAIL</v>
      </c>
      <c r="AA270" s="11"/>
      <c r="AC270" s="239">
        <f>VLOOKUP(H270,ECON_ADJUSTMENT!J$2:W$240,12,FALSE)</f>
        <v>-414843.6502018217</v>
      </c>
      <c r="AD270" s="15" t="str">
        <f t="shared" si="121"/>
        <v>FAIL</v>
      </c>
      <c r="AG270" s="54">
        <f t="shared" si="112"/>
        <v>735000</v>
      </c>
      <c r="AH270" s="54">
        <f t="shared" si="113"/>
        <v>512568</v>
      </c>
      <c r="AI270" s="54">
        <f t="shared" si="114"/>
        <v>222432</v>
      </c>
    </row>
    <row r="271" spans="2:39" x14ac:dyDescent="0.25">
      <c r="C271" s="39">
        <v>2015</v>
      </c>
      <c r="D271" s="15" t="str">
        <f>+'MFP-924.630'!F4</f>
        <v>MFP-924.630</v>
      </c>
      <c r="E271" s="24" t="str">
        <f>+'MFP-924.630'!F5</f>
        <v>New Jersey Marine Terminals-Paving and Utility Rehabilitation via Work Order</v>
      </c>
      <c r="F271" s="25">
        <f>+'MFP-924.630'!F6</f>
        <v>42108</v>
      </c>
      <c r="G271" s="46" t="str">
        <f>+'MFP-924.630'!G7</f>
        <v>Public</v>
      </c>
      <c r="H271" s="27">
        <f>+'MFP-924.630'!F$7</f>
        <v>2320000</v>
      </c>
      <c r="I271" s="27">
        <f>+'MFP-924.630'!F$8</f>
        <v>1550780</v>
      </c>
      <c r="J271" s="27"/>
      <c r="K271" s="26">
        <f>+'MFP-924.630'!G$9</f>
        <v>-0.33156034482758623</v>
      </c>
      <c r="L271" s="11" t="str">
        <f>+'MFP-924.630'!F$11</f>
        <v>GOOD</v>
      </c>
      <c r="M271" s="15">
        <f>+'MFP-924.630'!H$12</f>
        <v>9</v>
      </c>
      <c r="N271" s="11" t="s">
        <v>25</v>
      </c>
      <c r="O271" s="15">
        <v>2</v>
      </c>
      <c r="P271" s="35" t="s">
        <v>492</v>
      </c>
      <c r="Q271" s="11"/>
      <c r="T271" s="15" t="s">
        <v>634</v>
      </c>
      <c r="U271" s="15"/>
      <c r="V271" s="94">
        <f>+'MFP-924.630'!F$12</f>
        <v>2567351.4111111108</v>
      </c>
      <c r="W271" s="165">
        <f t="shared" si="110"/>
        <v>0.60403885237075738</v>
      </c>
      <c r="X271" s="15"/>
      <c r="Y271" s="161">
        <f t="shared" si="119"/>
        <v>0.66843965517241377</v>
      </c>
      <c r="Z271" s="11" t="str">
        <f t="shared" si="120"/>
        <v>FAIL</v>
      </c>
      <c r="AA271" s="11"/>
      <c r="AC271" s="239">
        <f>VLOOKUP(H271,ECON_ADJUSTMENT!J$2:W$240,12,FALSE)</f>
        <v>1595566.6559520327</v>
      </c>
      <c r="AD271" s="15" t="str">
        <f t="shared" si="121"/>
        <v>GOOD</v>
      </c>
      <c r="AG271" s="54">
        <f t="shared" si="112"/>
        <v>2320000</v>
      </c>
      <c r="AH271" s="54">
        <f t="shared" si="113"/>
        <v>1550780</v>
      </c>
      <c r="AI271" s="54">
        <f t="shared" si="114"/>
        <v>769220</v>
      </c>
    </row>
    <row r="272" spans="2:39" x14ac:dyDescent="0.25">
      <c r="C272" s="39">
        <v>2015</v>
      </c>
      <c r="D272" s="15" t="str">
        <f>+'PAT-643'!F4</f>
        <v>PAT-643-Work Order No. 2</v>
      </c>
      <c r="E272" s="24" t="str">
        <f>+'PAT-643'!F5</f>
        <v>Path-Tunnels E&amp;F Temporary Event detection Systems (TEDS)</v>
      </c>
      <c r="F272" s="25">
        <f>+'PAT-643'!F6</f>
        <v>42108</v>
      </c>
      <c r="G272" s="46" t="str">
        <f>+'PAT-643'!G7</f>
        <v>PQL</v>
      </c>
      <c r="H272" s="27">
        <f>+'PAT-643'!F$7</f>
        <v>521000</v>
      </c>
      <c r="I272" s="27">
        <f>+'PAT-643'!F$8</f>
        <v>1840000</v>
      </c>
      <c r="J272" s="27"/>
      <c r="K272" s="26">
        <f>+'PAT-643'!G$9</f>
        <v>2.5316698656429941</v>
      </c>
      <c r="L272" s="11" t="str">
        <f>+'PAT-643'!F$11</f>
        <v>FAIL</v>
      </c>
      <c r="M272" s="15">
        <f>+'PAT-643'!H$12</f>
        <v>3</v>
      </c>
      <c r="N272" s="35" t="s">
        <v>226</v>
      </c>
      <c r="O272" s="15">
        <v>2</v>
      </c>
      <c r="P272" s="35" t="s">
        <v>459</v>
      </c>
      <c r="Q272" s="11"/>
      <c r="T272" s="15" t="s">
        <v>447</v>
      </c>
      <c r="U272" s="15"/>
      <c r="V272" s="94">
        <f>+'PAT-643'!F$12</f>
        <v>2410333.3333333335</v>
      </c>
      <c r="W272" s="165">
        <f t="shared" si="110"/>
        <v>0.76337989213110213</v>
      </c>
      <c r="X272" s="15"/>
      <c r="Y272" s="161">
        <f t="shared" si="119"/>
        <v>3.5316698656429941</v>
      </c>
      <c r="Z272" s="11" t="str">
        <f t="shared" si="120"/>
        <v>FAIL</v>
      </c>
      <c r="AA272" s="11"/>
      <c r="AC272" s="239">
        <f>VLOOKUP(H272,ECON_ADJUSTMENT!J$2:W$240,12,FALSE)</f>
        <v>1950048.1776993417</v>
      </c>
      <c r="AD272" s="15" t="str">
        <f t="shared" si="121"/>
        <v>GOOD</v>
      </c>
      <c r="AG272" s="54">
        <f t="shared" si="112"/>
        <v>521000</v>
      </c>
      <c r="AH272" s="54">
        <f t="shared" si="113"/>
        <v>1840000</v>
      </c>
      <c r="AI272" s="54">
        <f t="shared" si="114"/>
        <v>-1319000</v>
      </c>
    </row>
    <row r="273" spans="2:39" x14ac:dyDescent="0.25">
      <c r="C273" s="39">
        <v>2015</v>
      </c>
      <c r="D273" s="15" t="str">
        <f>+'LGA-774.234'!F4</f>
        <v>LGA-774.234</v>
      </c>
      <c r="E273" s="24" t="str">
        <f>+'LGA-774.234'!F5</f>
        <v>Laguardia Airport-Flood Protection at the West Field Lighting Vault</v>
      </c>
      <c r="F273" s="25">
        <f>+'LGA-774.234'!F6</f>
        <v>42104</v>
      </c>
      <c r="G273" s="46" t="str">
        <f>+'LGA-774.234'!G7</f>
        <v>Public</v>
      </c>
      <c r="H273" s="27">
        <f>+'LGA-774.234'!F$7</f>
        <v>3760000</v>
      </c>
      <c r="I273" s="27">
        <f>+'LGA-774.234'!F$8</f>
        <v>2999293</v>
      </c>
      <c r="J273" s="27"/>
      <c r="K273" s="26">
        <f>+'LGA-774.234'!G$9</f>
        <v>-0.20231569148936171</v>
      </c>
      <c r="L273" s="11" t="str">
        <f>+'LGA-774.234'!F$11</f>
        <v>GOOD</v>
      </c>
      <c r="M273" s="15">
        <f>+'LGA-774.234'!H$12</f>
        <v>10</v>
      </c>
      <c r="N273" s="11" t="s">
        <v>93</v>
      </c>
      <c r="O273" s="15">
        <v>2</v>
      </c>
      <c r="P273" s="35" t="s">
        <v>458</v>
      </c>
      <c r="Q273" s="11"/>
      <c r="T273" s="15" t="s">
        <v>494</v>
      </c>
      <c r="U273" s="15"/>
      <c r="V273" s="94">
        <f>+'LGA-774.234'!F$12</f>
        <v>3889035.3</v>
      </c>
      <c r="W273" s="165">
        <f t="shared" si="110"/>
        <v>0.77121773618254386</v>
      </c>
      <c r="X273" s="15"/>
      <c r="Y273" s="161">
        <f t="shared" si="119"/>
        <v>0.79768430851063832</v>
      </c>
      <c r="Z273" s="11" t="str">
        <f t="shared" si="120"/>
        <v>FAIL</v>
      </c>
      <c r="AA273" s="11"/>
      <c r="AC273" s="239">
        <f>VLOOKUP(H273,ECON_ADJUSTMENT!J$2:W$240,12,FALSE)</f>
        <v>3590035.2402023217</v>
      </c>
      <c r="AD273" s="15" t="str">
        <f t="shared" si="121"/>
        <v>GOOD</v>
      </c>
      <c r="AG273" s="54">
        <f t="shared" si="112"/>
        <v>3760000</v>
      </c>
      <c r="AH273" s="54">
        <f t="shared" si="113"/>
        <v>2999293</v>
      </c>
      <c r="AI273" s="54">
        <f t="shared" si="114"/>
        <v>760707</v>
      </c>
    </row>
    <row r="274" spans="2:39" x14ac:dyDescent="0.25">
      <c r="C274" s="39">
        <v>2015</v>
      </c>
      <c r="D274" s="15" t="str">
        <f>+'LGA-774.236'!F4</f>
        <v>LGA-774.236</v>
      </c>
      <c r="E274" s="24" t="str">
        <f>+'LGA-774.236'!F5</f>
        <v>Laguardia airport-Flood Protection at the West End Substation</v>
      </c>
      <c r="F274" s="25">
        <f>+'LGA-774.236'!F6</f>
        <v>42104</v>
      </c>
      <c r="G274" s="46" t="str">
        <f>+'LGA-774.236'!G7</f>
        <v>Public</v>
      </c>
      <c r="H274" s="27">
        <f>+'LGA-774.236'!F$7</f>
        <v>1770000</v>
      </c>
      <c r="I274" s="27">
        <f>+'LGA-774.236'!F$8</f>
        <v>1397380</v>
      </c>
      <c r="J274" s="27"/>
      <c r="K274" s="26">
        <f>+'LGA-774.236'!G$9</f>
        <v>-0.21051977401129943</v>
      </c>
      <c r="L274" s="11" t="str">
        <f>+'LGA-774.236'!F$11</f>
        <v>GOOD</v>
      </c>
      <c r="M274" s="15">
        <f>+'LGA-774.236'!H$12</f>
        <v>10</v>
      </c>
      <c r="N274" s="11" t="s">
        <v>93</v>
      </c>
      <c r="O274" s="15">
        <v>2</v>
      </c>
      <c r="P274" s="35" t="s">
        <v>458</v>
      </c>
      <c r="Q274" s="11"/>
      <c r="T274" s="15" t="s">
        <v>494</v>
      </c>
      <c r="U274" s="15"/>
      <c r="V274" s="94">
        <f>+'LGA-774.236'!F$12</f>
        <v>2048375.4909999999</v>
      </c>
      <c r="W274" s="165">
        <f t="shared" si="110"/>
        <v>0.6821893769671159</v>
      </c>
      <c r="X274" s="15"/>
      <c r="Y274" s="161">
        <f t="shared" si="119"/>
        <v>0.7894802259887006</v>
      </c>
      <c r="Z274" s="11" t="str">
        <f t="shared" si="120"/>
        <v>FAIL</v>
      </c>
      <c r="AA274" s="11"/>
      <c r="AC274" s="239">
        <f>VLOOKUP(H274,ECON_ADJUSTMENT!J$2:W$240,12,FALSE)</f>
        <v>1117034.1781027503</v>
      </c>
      <c r="AD274" s="15" t="str">
        <f t="shared" si="121"/>
        <v>FAIL</v>
      </c>
      <c r="AG274" s="54">
        <f t="shared" si="112"/>
        <v>1770000</v>
      </c>
      <c r="AH274" s="54">
        <f t="shared" si="113"/>
        <v>1397380</v>
      </c>
      <c r="AI274" s="54">
        <f t="shared" si="114"/>
        <v>372620</v>
      </c>
    </row>
    <row r="275" spans="2:39" x14ac:dyDescent="0.25">
      <c r="C275" s="39">
        <v>2015</v>
      </c>
      <c r="D275" s="15" t="str">
        <f>+'JFK-1050'!F4</f>
        <v>JFK-1050</v>
      </c>
      <c r="E275" s="24" t="str">
        <f>+'JFK-1050'!F5</f>
        <v>John F. Kennedy International Airport-Replacement of Fire Alarm System at the Airport Traffic Control Tower</v>
      </c>
      <c r="F275" s="25">
        <f>+'JFK-1050'!F6</f>
        <v>42103</v>
      </c>
      <c r="G275" s="46" t="str">
        <f>+'JFK-1050'!G7</f>
        <v>Public</v>
      </c>
      <c r="H275" s="27">
        <f>+'JFK-1050'!F$7</f>
        <v>1850000</v>
      </c>
      <c r="I275" s="27">
        <f>+'JFK-1050'!F$8</f>
        <v>2137550</v>
      </c>
      <c r="J275" s="27"/>
      <c r="K275" s="26">
        <f>+'JFK-1050'!G$9</f>
        <v>0.15543243243243243</v>
      </c>
      <c r="L275" s="11" t="str">
        <f>+'JFK-1050'!F$11</f>
        <v>FAIL</v>
      </c>
      <c r="M275" s="15">
        <f>+'JFK-1050'!H$12</f>
        <v>8</v>
      </c>
      <c r="N275" s="11" t="s">
        <v>93</v>
      </c>
      <c r="O275" s="15">
        <v>2</v>
      </c>
      <c r="P275" s="35" t="s">
        <v>458</v>
      </c>
      <c r="Q275" s="11"/>
      <c r="T275" s="15" t="s">
        <v>634</v>
      </c>
      <c r="U275" s="15"/>
      <c r="V275" s="94">
        <f>+'JFK-1050'!F$12</f>
        <v>4256180</v>
      </c>
      <c r="W275" s="165">
        <f t="shared" si="110"/>
        <v>0.50222265035783265</v>
      </c>
      <c r="X275" s="15"/>
      <c r="Y275" s="161">
        <f t="shared" si="119"/>
        <v>1.1554324324324323</v>
      </c>
      <c r="Z275" s="11" t="str">
        <f t="shared" si="120"/>
        <v>FAIL</v>
      </c>
      <c r="AA275" s="11"/>
      <c r="AC275" s="239">
        <f>VLOOKUP(H275,ECON_ADJUSTMENT!J$2:W$240,12,FALSE)</f>
        <v>1928222.453489359</v>
      </c>
      <c r="AD275" s="15" t="str">
        <f t="shared" si="121"/>
        <v>GOOD</v>
      </c>
      <c r="AG275" s="54">
        <f t="shared" si="112"/>
        <v>1850000</v>
      </c>
      <c r="AH275" s="54">
        <f t="shared" si="113"/>
        <v>2137550</v>
      </c>
      <c r="AI275" s="54">
        <f t="shared" si="114"/>
        <v>-287550</v>
      </c>
    </row>
    <row r="276" spans="2:39" x14ac:dyDescent="0.25">
      <c r="C276" s="39">
        <v>2015</v>
      </c>
      <c r="D276" s="15" t="str">
        <f>+'LGA-774.133'!F4</f>
        <v>LGA-774.133</v>
      </c>
      <c r="E276" s="24" t="str">
        <f>+'LGA-774.133'!F5</f>
        <v>LaGuardia Airport-Emergency Storm Drainage</v>
      </c>
      <c r="F276" s="25">
        <f>+'LGA-774.133'!F6</f>
        <v>42102</v>
      </c>
      <c r="G276" s="46" t="str">
        <f>+'LGA-774.133'!G7</f>
        <v>Public</v>
      </c>
      <c r="H276" s="27"/>
      <c r="I276" s="27"/>
      <c r="J276" s="27"/>
      <c r="K276" s="26"/>
      <c r="L276" s="11"/>
      <c r="M276" s="15">
        <f>+'LGA-774.133'!H$12</f>
        <v>9</v>
      </c>
      <c r="N276" s="11" t="s">
        <v>93</v>
      </c>
      <c r="O276" s="15">
        <v>2</v>
      </c>
      <c r="P276" s="35" t="s">
        <v>458</v>
      </c>
      <c r="Q276" s="11"/>
      <c r="S276" s="24" t="s">
        <v>227</v>
      </c>
      <c r="T276" s="15" t="s">
        <v>494</v>
      </c>
      <c r="U276" s="15"/>
      <c r="V276" s="94"/>
      <c r="W276" s="165"/>
      <c r="X276" s="15"/>
      <c r="Y276" s="161"/>
      <c r="Z276" s="11"/>
      <c r="AA276" s="11"/>
      <c r="AC276" s="239"/>
      <c r="AD276" s="15"/>
      <c r="AG276" s="54">
        <f t="shared" si="112"/>
        <v>0</v>
      </c>
      <c r="AH276" s="54">
        <f t="shared" si="113"/>
        <v>0</v>
      </c>
      <c r="AI276" s="54">
        <f t="shared" si="114"/>
        <v>0</v>
      </c>
    </row>
    <row r="277" spans="2:39" x14ac:dyDescent="0.25">
      <c r="B277" s="164">
        <f>(COUNTIF(L261:L277,"G*")/COUNTA(L261:L277))</f>
        <v>0.5625</v>
      </c>
      <c r="C277" s="39">
        <v>2015</v>
      </c>
      <c r="D277" s="15" t="str">
        <f>+'PJ-924.624'!F4</f>
        <v>PJ-924.624</v>
      </c>
      <c r="E277" s="24" t="str">
        <f>+'PJ-924.624'!F5</f>
        <v>Port Jersey Marine Terminal-Paving and Utility Rehabilitation via Work Order</v>
      </c>
      <c r="F277" s="25">
        <f>+'PJ-924.624'!F6</f>
        <v>42102</v>
      </c>
      <c r="G277" s="46" t="str">
        <f>+'PJ-924.624'!G7</f>
        <v>MBE/WBE</v>
      </c>
      <c r="H277" s="27">
        <f>+'PJ-924.624'!F$7</f>
        <v>1300000</v>
      </c>
      <c r="I277" s="27">
        <f>+'PJ-924.624'!F$8</f>
        <v>878175</v>
      </c>
      <c r="J277" s="27"/>
      <c r="K277" s="26">
        <f>+'PJ-924.624'!G$9</f>
        <v>-0.32448076923076924</v>
      </c>
      <c r="L277" s="11" t="str">
        <f>+'PJ-924.624'!F$11</f>
        <v>GOOD</v>
      </c>
      <c r="M277" s="15">
        <f>+'PJ-924.624'!H$12</f>
        <v>7</v>
      </c>
      <c r="N277" s="11" t="s">
        <v>25</v>
      </c>
      <c r="O277" s="15">
        <v>2</v>
      </c>
      <c r="P277" s="35" t="s">
        <v>492</v>
      </c>
      <c r="Q277" s="11"/>
      <c r="T277" s="15" t="s">
        <v>634</v>
      </c>
      <c r="U277" s="15"/>
      <c r="V277" s="94">
        <f>+'PJ-924.624'!F$12</f>
        <v>1532892.5571428572</v>
      </c>
      <c r="W277" s="165">
        <f t="shared" si="110"/>
        <v>0.57288750989620651</v>
      </c>
      <c r="X277" s="15"/>
      <c r="Y277" s="161">
        <f t="shared" si="119"/>
        <v>0.67551923076923082</v>
      </c>
      <c r="Z277" s="11" t="str">
        <f t="shared" si="120"/>
        <v>FAIL</v>
      </c>
      <c r="AA277" s="11"/>
      <c r="AC277" s="239">
        <f>VLOOKUP(H277,ECON_ADJUSTMENT!J$2:W$240,12,FALSE)</f>
        <v>1996457.4672467667</v>
      </c>
      <c r="AD277" s="15" t="str">
        <f t="shared" si="121"/>
        <v>FAIL</v>
      </c>
      <c r="AG277" s="54">
        <f t="shared" si="112"/>
        <v>1300000</v>
      </c>
      <c r="AH277" s="54">
        <f t="shared" si="113"/>
        <v>878175</v>
      </c>
      <c r="AI277" s="54">
        <f t="shared" si="114"/>
        <v>421825</v>
      </c>
    </row>
    <row r="278" spans="2:39" ht="8.25" customHeight="1" x14ac:dyDescent="0.25">
      <c r="C278" s="39"/>
      <c r="D278" s="15"/>
      <c r="E278" s="24"/>
      <c r="F278" s="25"/>
      <c r="G278" s="46"/>
      <c r="H278" s="27"/>
      <c r="I278" s="27"/>
      <c r="J278" s="27"/>
      <c r="K278" s="26"/>
      <c r="L278" s="11"/>
      <c r="M278" s="15"/>
      <c r="P278" s="11"/>
      <c r="Q278" s="11"/>
      <c r="T278" s="15"/>
      <c r="U278" s="15"/>
      <c r="V278" s="94"/>
      <c r="W278" s="165"/>
      <c r="X278" s="15"/>
      <c r="Y278" s="15"/>
      <c r="Z278" s="15"/>
      <c r="AA278" s="15"/>
      <c r="AC278" s="239"/>
      <c r="AD278" s="15"/>
      <c r="AG278" s="54"/>
      <c r="AH278" s="54"/>
      <c r="AI278" s="54"/>
    </row>
    <row r="279" spans="2:39" x14ac:dyDescent="0.25">
      <c r="C279" s="39">
        <v>2015</v>
      </c>
      <c r="D279" s="15" t="str">
        <f>+'PAT-084.057'!F4</f>
        <v>PAT-084.057</v>
      </c>
      <c r="E279" s="24" t="str">
        <f>+'PAT-084.057'!F5</f>
        <v>PATH-Access Control and CCTV at Substation and Communications Rooms</v>
      </c>
      <c r="F279" s="25">
        <f>+'PAT-084.057'!F6</f>
        <v>42080</v>
      </c>
      <c r="G279" s="46" t="str">
        <f>+'PAT-084.057'!G7</f>
        <v>PQL</v>
      </c>
      <c r="H279" s="27">
        <f>+'PAT-084.057'!F$7</f>
        <v>4450000</v>
      </c>
      <c r="I279" s="27">
        <f>+'PAT-084.057'!F$8</f>
        <v>3620000</v>
      </c>
      <c r="J279" s="27"/>
      <c r="K279" s="26">
        <f>+'PAT-084.057'!G$9</f>
        <v>-0.18651685393258427</v>
      </c>
      <c r="L279" s="11" t="str">
        <f>+'PAT-084.057'!F$11</f>
        <v>GOOD</v>
      </c>
      <c r="M279" s="15">
        <f>+'PAT-084.057'!H$12</f>
        <v>3</v>
      </c>
      <c r="O279" s="15">
        <v>1</v>
      </c>
      <c r="P279" s="35" t="s">
        <v>459</v>
      </c>
      <c r="Q279" s="11"/>
      <c r="T279" s="15" t="s">
        <v>447</v>
      </c>
      <c r="U279" s="15"/>
      <c r="V279" s="94">
        <f>+'PAT-084.057'!F$12</f>
        <v>4164772.3333333335</v>
      </c>
      <c r="W279" s="165">
        <f t="shared" si="110"/>
        <v>0.86919517089249454</v>
      </c>
      <c r="X279" s="15"/>
      <c r="Y279" s="161">
        <f>+I279/H279</f>
        <v>0.81348314606741579</v>
      </c>
      <c r="Z279" s="11" t="str">
        <f>(IF(Y279&lt;$Y$3,"FAIL",IF(Y279&gt;$Y$4,"FAIL","GOOD")))</f>
        <v>FAIL</v>
      </c>
      <c r="AA279" s="11"/>
      <c r="AC279" s="239">
        <f>VLOOKUP(H279,ECON_ADJUSTMENT!J$2:W$240,12,FALSE)</f>
        <v>6110093.7389802914</v>
      </c>
      <c r="AD279" s="15" t="str">
        <f t="shared" si="121"/>
        <v>FAIL</v>
      </c>
      <c r="AG279" s="54">
        <f t="shared" si="112"/>
        <v>4450000</v>
      </c>
      <c r="AH279" s="54">
        <f t="shared" si="113"/>
        <v>3620000</v>
      </c>
      <c r="AI279" s="54">
        <f t="shared" si="114"/>
        <v>830000</v>
      </c>
      <c r="AK279" s="4">
        <f>SUM(AG279:AG284)</f>
        <v>50160000</v>
      </c>
      <c r="AL279" s="4">
        <f>SUM(AH279:AH284)</f>
        <v>48431818</v>
      </c>
      <c r="AM279" s="7">
        <f>+AK279/AL279</f>
        <v>1.0356827819265426</v>
      </c>
    </row>
    <row r="280" spans="2:39" x14ac:dyDescent="0.25">
      <c r="C280" s="39">
        <v>2015</v>
      </c>
      <c r="D280" s="15" t="str">
        <f>+'PN-954.004'!F4</f>
        <v>PN-654.004</v>
      </c>
      <c r="E280" s="24" t="str">
        <f>+'PN-954.004'!F5</f>
        <v>Port Newark-Berths 30, 32, and 34 Fender Systems Reconstruction</v>
      </c>
      <c r="F280" s="25">
        <f>+'PN-954.004'!F6</f>
        <v>42072</v>
      </c>
      <c r="G280" s="46" t="str">
        <f>+'PN-954.004'!G7</f>
        <v>Public</v>
      </c>
      <c r="H280" s="27">
        <f>+'PN-954.004'!F$7</f>
        <v>9600000</v>
      </c>
      <c r="I280" s="27">
        <f>+'PN-954.004'!F$8</f>
        <v>6748000</v>
      </c>
      <c r="J280" s="27" t="s">
        <v>519</v>
      </c>
      <c r="K280" s="26">
        <f>+'PN-954.004'!G$9</f>
        <v>-0.29708333333333331</v>
      </c>
      <c r="L280" s="11" t="str">
        <f>+'PN-954.004'!F$11</f>
        <v>GOOD</v>
      </c>
      <c r="M280" s="15">
        <f>+'PN-954.004'!H$12</f>
        <v>12</v>
      </c>
      <c r="N280" s="11" t="s">
        <v>25</v>
      </c>
      <c r="O280" s="15">
        <v>1</v>
      </c>
      <c r="P280" s="35" t="s">
        <v>492</v>
      </c>
      <c r="Q280" s="11"/>
      <c r="T280" s="15" t="s">
        <v>442</v>
      </c>
      <c r="U280" s="15"/>
      <c r="V280" s="94">
        <f>+'PN-954.004'!F$12</f>
        <v>9429351.583333334</v>
      </c>
      <c r="W280" s="165">
        <f t="shared" si="110"/>
        <v>0.71563775519064277</v>
      </c>
      <c r="X280" s="15"/>
      <c r="Y280" s="161">
        <f>+I280/H280</f>
        <v>0.70291666666666663</v>
      </c>
      <c r="Z280" s="11" t="str">
        <f>(IF(Y280&lt;$Y$3,"FAIL",IF(Y280&gt;$Y$4,"FAIL","GOOD")))</f>
        <v>FAIL</v>
      </c>
      <c r="AA280" s="11"/>
      <c r="AC280" s="239">
        <f>VLOOKUP(H280,ECON_ADJUSTMENT!J$2:W$240,12,FALSE)</f>
        <v>8763746.395410616</v>
      </c>
      <c r="AD280" s="15" t="str">
        <f t="shared" si="121"/>
        <v>GOOD</v>
      </c>
      <c r="AG280" s="54">
        <f t="shared" si="112"/>
        <v>9600000</v>
      </c>
      <c r="AH280" s="54">
        <f t="shared" si="113"/>
        <v>6748000</v>
      </c>
      <c r="AI280" s="54">
        <f t="shared" si="114"/>
        <v>2852000</v>
      </c>
    </row>
    <row r="281" spans="2:39" x14ac:dyDescent="0.25">
      <c r="C281" s="39">
        <v>2015</v>
      </c>
      <c r="D281" s="15" t="str">
        <f>+'JFK-134.025'!F4</f>
        <v>JFK-134.025</v>
      </c>
      <c r="E281" s="24" t="str">
        <f>+'JFK-134.025'!F5</f>
        <v>John F. Kennedy International Airport-Unmanned AOA Gates and Perimeter Fence Enhancement-Phase II</v>
      </c>
      <c r="F281" s="25">
        <f>+'JFK-134.025'!F6</f>
        <v>42060</v>
      </c>
      <c r="G281" s="46" t="str">
        <f>+'JFK-134.025'!G7</f>
        <v>M/WBE</v>
      </c>
      <c r="H281" s="27">
        <f>+'JFK-134.025'!F$7</f>
        <v>640000</v>
      </c>
      <c r="I281" s="27">
        <f>+'JFK-134.025'!F$8</f>
        <v>574000</v>
      </c>
      <c r="J281" s="27"/>
      <c r="K281" s="26">
        <f>+'JFK-134.025'!G$9</f>
        <v>-0.10312499999999999</v>
      </c>
      <c r="L281" s="11" t="str">
        <f>+'JFK-134.025'!F$11</f>
        <v>GOOD</v>
      </c>
      <c r="M281" s="15">
        <f>+'JFK-134.025'!H$12</f>
        <v>4</v>
      </c>
      <c r="N281" s="11" t="s">
        <v>93</v>
      </c>
      <c r="O281" s="15">
        <v>1</v>
      </c>
      <c r="P281" s="35" t="s">
        <v>455</v>
      </c>
      <c r="Q281" s="11"/>
      <c r="T281" s="15" t="s">
        <v>447</v>
      </c>
      <c r="U281" s="15"/>
      <c r="V281" s="94">
        <f>+'JFK-134.025'!F$12</f>
        <v>751437.71499999997</v>
      </c>
      <c r="W281" s="165">
        <f t="shared" si="110"/>
        <v>0.76386903204612244</v>
      </c>
      <c r="X281" s="15"/>
      <c r="Y281" s="161">
        <f>+I281/H281</f>
        <v>0.89687499999999998</v>
      </c>
      <c r="Z281" s="11" t="str">
        <f>(IF(Y281&lt;$Y$3,"FAIL",IF(Y281&gt;$Y$4,"FAIL","GOOD")))</f>
        <v>GOOD</v>
      </c>
      <c r="AA281" s="11"/>
      <c r="AC281" s="239">
        <f>VLOOKUP(H281,ECON_ADJUSTMENT!J$2:W$240,12,FALSE)</f>
        <v>1422218.4938276277</v>
      </c>
      <c r="AD281" s="15" t="str">
        <f t="shared" si="121"/>
        <v>FAIL</v>
      </c>
      <c r="AG281" s="54">
        <f t="shared" si="112"/>
        <v>640000</v>
      </c>
      <c r="AH281" s="54">
        <f t="shared" si="113"/>
        <v>574000</v>
      </c>
      <c r="AI281" s="54">
        <f t="shared" si="114"/>
        <v>66000</v>
      </c>
    </row>
    <row r="282" spans="2:39" x14ac:dyDescent="0.25">
      <c r="C282" s="39">
        <v>2015</v>
      </c>
      <c r="D282" s="15" t="str">
        <f>+'LGA-124.231'!F4</f>
        <v>LGA-124.231</v>
      </c>
      <c r="E282" s="24" t="str">
        <f>+'LGA-124.231'!F5</f>
        <v>Laguardia Airport-Rehabilitation of Taxiways West of Runway 4-22</v>
      </c>
      <c r="F282" s="25">
        <f>+'LGA-124.231'!F6</f>
        <v>42057</v>
      </c>
      <c r="G282" s="46" t="str">
        <f>+'LGA-124.231'!G7</f>
        <v>PQL</v>
      </c>
      <c r="H282" s="27">
        <f>+'LGA-124.231'!F$7</f>
        <v>9700000</v>
      </c>
      <c r="I282" s="27">
        <f>+'LGA-124.231'!F$8</f>
        <v>8742268</v>
      </c>
      <c r="J282" s="27" t="s">
        <v>519</v>
      </c>
      <c r="K282" s="26">
        <f>+'LGA-124.231'!G$9</f>
        <v>-9.8735257731958764E-2</v>
      </c>
      <c r="L282" s="11" t="str">
        <f>+'LGA-124.231'!F$11</f>
        <v>GOOD</v>
      </c>
      <c r="M282" s="15">
        <f>+'LGA-124.231'!H$12</f>
        <v>3</v>
      </c>
      <c r="N282" s="11" t="s">
        <v>93</v>
      </c>
      <c r="O282" s="15">
        <v>1</v>
      </c>
      <c r="P282" s="35" t="s">
        <v>458</v>
      </c>
      <c r="Q282" s="11"/>
      <c r="T282" s="15" t="s">
        <v>494</v>
      </c>
      <c r="U282" s="15"/>
      <c r="V282" s="94">
        <f>+'LGA-124.231'!F$12</f>
        <v>9514790.333333334</v>
      </c>
      <c r="W282" s="165">
        <f t="shared" si="110"/>
        <v>0.91880826520927705</v>
      </c>
      <c r="X282" s="15"/>
      <c r="Y282" s="161">
        <f>+I282/H282</f>
        <v>0.90126474226804121</v>
      </c>
      <c r="Z282" s="11" t="str">
        <f>(IF(Y282&lt;$Y$3,"FAIL",IF(Y282&gt;$Y$4,"FAIL","GOOD")))</f>
        <v>GOOD</v>
      </c>
      <c r="AA282" s="11"/>
      <c r="AC282" s="239">
        <f>VLOOKUP(H282,ECON_ADJUSTMENT!J$2:W$240,12,FALSE)</f>
        <v>10770470.054313902</v>
      </c>
      <c r="AD282" s="15" t="str">
        <f t="shared" si="121"/>
        <v>FAIL</v>
      </c>
      <c r="AG282" s="54">
        <f t="shared" si="112"/>
        <v>9700000</v>
      </c>
      <c r="AH282" s="54">
        <f t="shared" si="113"/>
        <v>8742268</v>
      </c>
      <c r="AI282" s="54">
        <f t="shared" si="114"/>
        <v>957732</v>
      </c>
    </row>
    <row r="283" spans="2:39" x14ac:dyDescent="0.25">
      <c r="B283" s="164">
        <f>(COUNTIF(L279:L283,"G*")/COUNTA(L279:L283))</f>
        <v>0.8</v>
      </c>
      <c r="C283" s="39">
        <v>2015</v>
      </c>
      <c r="D283" s="15" t="str">
        <f>+'LGA-124.166'!F4</f>
        <v>LGA-124.166</v>
      </c>
      <c r="E283" s="24" t="str">
        <f>+'LGA-124.166'!F5</f>
        <v>Laguardia Airport-Rehabilitation of Runway 13-31 and Associated Taxiways</v>
      </c>
      <c r="F283" s="25">
        <f>+'LGA-124.166'!F6</f>
        <v>42038</v>
      </c>
      <c r="G283" s="46" t="str">
        <f>+'LGA-124.166'!G7</f>
        <v>PQL</v>
      </c>
      <c r="H283" s="27">
        <f>+'LGA-124.166'!F$7</f>
        <v>25770000</v>
      </c>
      <c r="I283" s="27">
        <f>+'LGA-124.166'!F$8</f>
        <v>28747550</v>
      </c>
      <c r="J283" s="27" t="s">
        <v>519</v>
      </c>
      <c r="K283" s="26">
        <f>+'LGA-124.166'!G$9</f>
        <v>0.11554326736515327</v>
      </c>
      <c r="L283" s="11" t="str">
        <f>+'LGA-124.166'!F$11</f>
        <v>FAIL</v>
      </c>
      <c r="M283" s="15">
        <f>+'LGA-124.166'!H$12</f>
        <v>3</v>
      </c>
      <c r="N283" s="11" t="s">
        <v>93</v>
      </c>
      <c r="O283" s="15">
        <v>1</v>
      </c>
      <c r="P283" s="35" t="s">
        <v>458</v>
      </c>
      <c r="Q283" s="11"/>
      <c r="T283" s="15" t="s">
        <v>494</v>
      </c>
      <c r="U283" s="15"/>
      <c r="V283" s="94">
        <f>+'LGA-124.166'!F$12</f>
        <v>29427360.666666668</v>
      </c>
      <c r="W283" s="165">
        <f t="shared" si="110"/>
        <v>0.97689868709711669</v>
      </c>
      <c r="X283" s="15"/>
      <c r="Y283" s="161">
        <f>+I283/H283</f>
        <v>1.1155432673651533</v>
      </c>
      <c r="Z283" s="11" t="str">
        <f>(IF(Y283&lt;$Y$3,"FAIL",IF(Y283&gt;$Y$4,"FAIL","GOOD")))</f>
        <v>FAIL</v>
      </c>
      <c r="AA283" s="11"/>
      <c r="AC283" s="239">
        <f>VLOOKUP(H283,ECON_ADJUSTMENT!J$2:W$240,12,FALSE)</f>
        <v>27134579.550994869</v>
      </c>
      <c r="AD283" s="15" t="str">
        <f>(IF(AC283&lt;(I283*0.9),"FAIL",IF(AC283&gt;(V283*1.1),"FAIL","GOOD")))</f>
        <v>GOOD</v>
      </c>
      <c r="AG283" s="54">
        <f t="shared" si="112"/>
        <v>25770000</v>
      </c>
      <c r="AH283" s="54">
        <f t="shared" si="113"/>
        <v>28747550</v>
      </c>
      <c r="AI283" s="54">
        <f t="shared" si="114"/>
        <v>-2977550</v>
      </c>
    </row>
    <row r="284" spans="2:39" x14ac:dyDescent="0.25">
      <c r="C284" s="39"/>
      <c r="D284" s="15"/>
      <c r="E284" s="24"/>
      <c r="F284" s="25"/>
      <c r="G284" s="46"/>
      <c r="H284" s="27"/>
      <c r="I284" s="27"/>
      <c r="J284" s="27"/>
      <c r="K284" s="26"/>
      <c r="L284" s="11"/>
      <c r="M284" s="15"/>
      <c r="O284" s="15"/>
      <c r="P284" s="11"/>
      <c r="Q284" s="11"/>
      <c r="V284" s="94"/>
      <c r="W284" s="94"/>
      <c r="AG284" s="54"/>
      <c r="AH284" s="54"/>
      <c r="AI284" s="54"/>
    </row>
    <row r="285" spans="2:39" x14ac:dyDescent="0.25">
      <c r="C285" s="39"/>
      <c r="D285" s="15"/>
      <c r="E285" s="24"/>
      <c r="F285" s="25"/>
      <c r="G285" s="46"/>
      <c r="H285" s="27"/>
      <c r="I285" s="27"/>
      <c r="J285" s="27"/>
      <c r="K285" s="26"/>
      <c r="L285" s="11"/>
      <c r="M285" s="15"/>
      <c r="P285" s="11"/>
      <c r="Q285" s="11"/>
      <c r="V285" s="94"/>
      <c r="W285" s="94"/>
      <c r="AD285" s="15"/>
      <c r="AG285" s="54"/>
      <c r="AH285" s="54"/>
      <c r="AI285" s="54"/>
    </row>
    <row r="286" spans="2:39" x14ac:dyDescent="0.25">
      <c r="C286" s="39"/>
      <c r="D286" s="15"/>
      <c r="E286" s="24"/>
      <c r="F286" s="25"/>
      <c r="G286" s="46"/>
      <c r="H286" s="27"/>
      <c r="I286" s="27"/>
      <c r="J286" s="27"/>
      <c r="K286" s="26"/>
      <c r="L286" s="11" t="s">
        <v>464</v>
      </c>
      <c r="M286" s="15">
        <f>COUNTIF(L$7:L$283,L286)</f>
        <v>151</v>
      </c>
      <c r="P286" s="11"/>
      <c r="Q286" s="11"/>
      <c r="V286" s="94"/>
      <c r="W286" s="94"/>
      <c r="AC286" s="103"/>
      <c r="AD286" s="11" t="s">
        <v>464</v>
      </c>
      <c r="AE286" s="15">
        <f>COUNTIF(AD$7:AD$283,AD286)</f>
        <v>109</v>
      </c>
      <c r="AG286" s="54"/>
      <c r="AH286" s="54"/>
      <c r="AI286" s="54"/>
    </row>
    <row r="287" spans="2:39" x14ac:dyDescent="0.25">
      <c r="C287" s="39"/>
      <c r="D287" s="15"/>
      <c r="E287" s="24"/>
      <c r="F287" s="25"/>
      <c r="G287" s="46"/>
      <c r="H287" s="27"/>
      <c r="I287" s="27"/>
      <c r="J287" s="27"/>
      <c r="K287" s="26"/>
      <c r="L287" s="11" t="s">
        <v>465</v>
      </c>
      <c r="M287" s="15">
        <f>COUNTIF(L$7:L$283,L287)</f>
        <v>87</v>
      </c>
      <c r="P287" s="11"/>
      <c r="Q287" s="11"/>
      <c r="V287" s="94"/>
      <c r="W287" s="94"/>
      <c r="AC287" s="103"/>
      <c r="AD287" s="11" t="s">
        <v>465</v>
      </c>
      <c r="AE287" s="15">
        <f>COUNTIF(AD$7:AD$283,AD287)</f>
        <v>129</v>
      </c>
      <c r="AG287" s="54"/>
      <c r="AH287" s="54"/>
      <c r="AI287" s="54"/>
    </row>
    <row r="288" spans="2:39" x14ac:dyDescent="0.25">
      <c r="C288" s="39"/>
      <c r="D288" s="15"/>
      <c r="E288" s="24"/>
      <c r="F288" s="25"/>
      <c r="G288" s="46"/>
      <c r="H288" s="27"/>
      <c r="I288" s="27"/>
      <c r="J288" s="27"/>
      <c r="K288" s="26"/>
      <c r="L288" s="11"/>
      <c r="M288">
        <f>SUM(M286:M287)</f>
        <v>238</v>
      </c>
      <c r="P288" s="11"/>
      <c r="Q288" s="11"/>
      <c r="V288" s="94"/>
      <c r="W288" s="94"/>
      <c r="AE288">
        <f>SUM(AE286:AE287)</f>
        <v>238</v>
      </c>
      <c r="AG288" s="54"/>
      <c r="AH288" s="54"/>
      <c r="AI288" s="54"/>
    </row>
    <row r="289" spans="3:35" x14ac:dyDescent="0.25">
      <c r="C289" s="39"/>
      <c r="G289" s="46"/>
      <c r="H289" s="27"/>
      <c r="P289" s="11"/>
      <c r="Q289" s="11"/>
      <c r="V289" s="94"/>
      <c r="W289" s="94"/>
      <c r="AG289" s="54"/>
      <c r="AH289" s="54"/>
      <c r="AI289" s="54"/>
    </row>
    <row r="290" spans="3:35" x14ac:dyDescent="0.25">
      <c r="C290" s="39"/>
      <c r="G290" s="45"/>
      <c r="P290" s="11"/>
      <c r="Q290" s="11"/>
      <c r="V290" s="94"/>
      <c r="W290" s="94"/>
      <c r="AG290" s="54"/>
      <c r="AH290" s="54"/>
      <c r="AI290" s="54"/>
    </row>
    <row r="291" spans="3:35" x14ac:dyDescent="0.25">
      <c r="C291" s="39"/>
      <c r="G291" s="45"/>
      <c r="P291" s="11"/>
      <c r="Q291" s="11"/>
      <c r="V291" s="94"/>
      <c r="W291" s="94"/>
      <c r="AG291" s="54"/>
      <c r="AH291" s="54"/>
      <c r="AI291" s="54"/>
    </row>
    <row r="292" spans="3:35" x14ac:dyDescent="0.25">
      <c r="C292" s="39"/>
      <c r="G292" s="45"/>
      <c r="P292" s="11"/>
      <c r="Q292" s="11"/>
      <c r="V292" s="94"/>
      <c r="W292" s="94"/>
    </row>
    <row r="293" spans="3:35" x14ac:dyDescent="0.25">
      <c r="C293" s="39"/>
      <c r="G293" s="45"/>
      <c r="P293" s="11"/>
      <c r="Q293" s="11"/>
      <c r="V293" s="94"/>
      <c r="W293" s="94"/>
    </row>
    <row r="294" spans="3:35" x14ac:dyDescent="0.25">
      <c r="C294" s="39"/>
      <c r="G294" s="45"/>
      <c r="P294" s="11"/>
      <c r="Q294" s="11"/>
      <c r="V294" s="94"/>
      <c r="W294" s="94"/>
    </row>
    <row r="295" spans="3:35" x14ac:dyDescent="0.25">
      <c r="C295" s="39"/>
      <c r="G295" s="45"/>
      <c r="P295" s="11"/>
      <c r="Q295" s="11"/>
      <c r="V295" s="94"/>
      <c r="W295" s="94"/>
    </row>
    <row r="296" spans="3:35" x14ac:dyDescent="0.25">
      <c r="C296" s="39"/>
      <c r="G296" s="45"/>
      <c r="P296" s="11"/>
      <c r="Q296" s="11"/>
      <c r="V296" s="94"/>
      <c r="W296" s="94"/>
    </row>
    <row r="297" spans="3:35" x14ac:dyDescent="0.25">
      <c r="C297" s="39"/>
      <c r="G297" s="45"/>
      <c r="P297" s="11"/>
      <c r="Q297" s="11"/>
      <c r="V297" s="94"/>
      <c r="W297" s="94"/>
    </row>
    <row r="298" spans="3:35" x14ac:dyDescent="0.25">
      <c r="C298" s="39"/>
      <c r="F298">
        <v>30300</v>
      </c>
      <c r="G298" s="45"/>
      <c r="P298" s="11"/>
      <c r="Q298" s="11"/>
      <c r="V298" s="94"/>
      <c r="W298" s="94"/>
    </row>
    <row r="299" spans="3:35" x14ac:dyDescent="0.25">
      <c r="C299" s="39"/>
      <c r="F299">
        <v>419</v>
      </c>
      <c r="G299" s="45"/>
      <c r="P299" s="11"/>
      <c r="Q299" s="11"/>
      <c r="V299" s="94"/>
      <c r="W299" s="94"/>
    </row>
    <row r="300" spans="3:35" x14ac:dyDescent="0.25">
      <c r="C300" s="39"/>
      <c r="F300">
        <v>550</v>
      </c>
      <c r="G300" s="45"/>
      <c r="P300" s="11"/>
      <c r="Q300" s="11"/>
      <c r="V300" s="94"/>
      <c r="W300" s="94"/>
    </row>
    <row r="301" spans="3:35" x14ac:dyDescent="0.25">
      <c r="C301" s="39"/>
      <c r="F301">
        <f>SUM(F298:F300)</f>
        <v>31269</v>
      </c>
      <c r="G301" s="45"/>
      <c r="P301" s="11"/>
      <c r="Q301" s="11"/>
      <c r="V301" s="94"/>
      <c r="W301" s="94"/>
    </row>
    <row r="302" spans="3:35" x14ac:dyDescent="0.25">
      <c r="C302" s="39"/>
      <c r="F302">
        <f>+F301*0.06875</f>
        <v>2149.7437500000001</v>
      </c>
      <c r="G302" s="45"/>
      <c r="P302" s="11"/>
      <c r="Q302" s="11"/>
    </row>
    <row r="303" spans="3:35" x14ac:dyDescent="0.25">
      <c r="C303" s="39"/>
      <c r="F303">
        <f>+F302+F301</f>
        <v>33418.743750000001</v>
      </c>
      <c r="G303" s="45"/>
      <c r="P303" s="11"/>
      <c r="Q303" s="11"/>
    </row>
    <row r="304" spans="3:35" x14ac:dyDescent="0.25">
      <c r="C304" s="39"/>
      <c r="F304">
        <v>1400</v>
      </c>
      <c r="G304" s="45"/>
      <c r="P304" s="11"/>
      <c r="Q304" s="11"/>
    </row>
    <row r="305" spans="3:17" x14ac:dyDescent="0.25">
      <c r="C305" s="39"/>
      <c r="F305">
        <f>+F303-F304</f>
        <v>32018.743750000001</v>
      </c>
      <c r="G305" s="45"/>
      <c r="P305" s="11"/>
      <c r="Q305" s="11"/>
    </row>
    <row r="306" spans="3:17" x14ac:dyDescent="0.25">
      <c r="C306" s="39"/>
      <c r="G306" s="45"/>
      <c r="P306" s="11"/>
      <c r="Q306" s="11"/>
    </row>
    <row r="307" spans="3:17" x14ac:dyDescent="0.25">
      <c r="C307" s="39"/>
      <c r="G307" s="45"/>
      <c r="P307" s="11"/>
      <c r="Q307" s="11"/>
    </row>
    <row r="308" spans="3:17" x14ac:dyDescent="0.25">
      <c r="C308" s="39"/>
      <c r="G308" s="45"/>
      <c r="P308" s="11"/>
      <c r="Q308" s="11"/>
    </row>
    <row r="309" spans="3:17" x14ac:dyDescent="0.25">
      <c r="C309" s="39"/>
      <c r="G309" s="45"/>
      <c r="P309" s="11"/>
      <c r="Q309" s="11"/>
    </row>
    <row r="310" spans="3:17" x14ac:dyDescent="0.25">
      <c r="C310" s="39"/>
      <c r="G310" s="45"/>
      <c r="P310" s="11"/>
      <c r="Q310" s="11"/>
    </row>
    <row r="311" spans="3:17" x14ac:dyDescent="0.25">
      <c r="C311" s="39"/>
      <c r="G311" s="45"/>
      <c r="P311" s="11"/>
      <c r="Q311" s="11"/>
    </row>
    <row r="312" spans="3:17" x14ac:dyDescent="0.25">
      <c r="C312" s="39"/>
      <c r="G312" s="45"/>
      <c r="P312" s="11"/>
      <c r="Q312" s="11"/>
    </row>
    <row r="313" spans="3:17" x14ac:dyDescent="0.25">
      <c r="C313" s="39"/>
      <c r="G313" s="45"/>
      <c r="P313" s="11"/>
      <c r="Q313" s="11"/>
    </row>
    <row r="314" spans="3:17" x14ac:dyDescent="0.25">
      <c r="C314" s="39"/>
      <c r="G314" s="45"/>
      <c r="Q314" s="11"/>
    </row>
    <row r="315" spans="3:17" x14ac:dyDescent="0.25">
      <c r="C315" s="39"/>
      <c r="G315" s="45"/>
      <c r="Q315" s="11"/>
    </row>
    <row r="316" spans="3:17" x14ac:dyDescent="0.25">
      <c r="C316" s="39"/>
      <c r="G316" s="45"/>
      <c r="Q316" s="11"/>
    </row>
    <row r="317" spans="3:17" x14ac:dyDescent="0.25">
      <c r="C317" s="39"/>
      <c r="G317" s="45"/>
      <c r="Q317" s="11"/>
    </row>
    <row r="318" spans="3:17" x14ac:dyDescent="0.25">
      <c r="C318" s="39"/>
      <c r="G318" s="45"/>
      <c r="Q318" s="11"/>
    </row>
    <row r="319" spans="3:17" x14ac:dyDescent="0.25">
      <c r="C319" s="39"/>
      <c r="G319" s="45"/>
      <c r="Q319" s="11"/>
    </row>
    <row r="320" spans="3:17" x14ac:dyDescent="0.25">
      <c r="C320" s="39"/>
      <c r="G320" s="45"/>
      <c r="Q320" s="11"/>
    </row>
    <row r="321" spans="3:17" x14ac:dyDescent="0.25">
      <c r="C321" s="39"/>
      <c r="G321" s="45"/>
      <c r="Q321" s="11"/>
    </row>
    <row r="322" spans="3:17" x14ac:dyDescent="0.25">
      <c r="C322" s="39"/>
      <c r="G322" s="45"/>
      <c r="Q322" s="11"/>
    </row>
    <row r="323" spans="3:17" x14ac:dyDescent="0.25">
      <c r="C323" s="39"/>
      <c r="G323" s="45"/>
      <c r="Q323" s="11"/>
    </row>
    <row r="324" spans="3:17" x14ac:dyDescent="0.25">
      <c r="C324" s="39"/>
      <c r="G324" s="45"/>
      <c r="Q324" s="11"/>
    </row>
    <row r="325" spans="3:17" x14ac:dyDescent="0.25">
      <c r="C325" s="39"/>
      <c r="G325" s="45"/>
      <c r="Q325" s="11"/>
    </row>
    <row r="326" spans="3:17" x14ac:dyDescent="0.25">
      <c r="C326" s="39"/>
      <c r="G326" s="45"/>
      <c r="Q326" s="11"/>
    </row>
    <row r="327" spans="3:17" x14ac:dyDescent="0.25">
      <c r="C327" s="39"/>
      <c r="G327" s="45"/>
      <c r="Q327" s="11"/>
    </row>
    <row r="328" spans="3:17" x14ac:dyDescent="0.25">
      <c r="C328" s="39"/>
      <c r="G328" s="45"/>
      <c r="Q328" s="11"/>
    </row>
    <row r="329" spans="3:17" x14ac:dyDescent="0.25">
      <c r="C329" s="39"/>
      <c r="G329" s="45"/>
      <c r="Q329" s="11"/>
    </row>
    <row r="330" spans="3:17" x14ac:dyDescent="0.25">
      <c r="C330" s="39"/>
      <c r="G330" s="45"/>
      <c r="Q330" s="11"/>
    </row>
    <row r="331" spans="3:17" x14ac:dyDescent="0.25">
      <c r="C331" s="39"/>
      <c r="G331" s="45"/>
      <c r="Q331" s="11"/>
    </row>
    <row r="332" spans="3:17" x14ac:dyDescent="0.25">
      <c r="C332" s="39"/>
      <c r="G332" s="45"/>
      <c r="Q332" s="11"/>
    </row>
    <row r="333" spans="3:17" x14ac:dyDescent="0.25">
      <c r="C333" s="39"/>
      <c r="G333" s="45"/>
      <c r="Q333" s="11"/>
    </row>
    <row r="334" spans="3:17" x14ac:dyDescent="0.25">
      <c r="C334" s="39"/>
      <c r="G334" s="45"/>
      <c r="Q334" s="11"/>
    </row>
    <row r="335" spans="3:17" x14ac:dyDescent="0.25">
      <c r="C335" s="39"/>
      <c r="G335" s="45"/>
      <c r="Q335" s="11"/>
    </row>
    <row r="336" spans="3:17" x14ac:dyDescent="0.25">
      <c r="C336" s="39"/>
      <c r="G336" s="45"/>
      <c r="Q336" s="11"/>
    </row>
    <row r="337" spans="2:43" x14ac:dyDescent="0.25">
      <c r="C337" s="39"/>
      <c r="G337" s="45"/>
      <c r="Q337" s="11"/>
    </row>
    <row r="338" spans="2:43" x14ac:dyDescent="0.25">
      <c r="C338" s="39"/>
      <c r="G338" s="45"/>
      <c r="Q338" s="11"/>
    </row>
    <row r="339" spans="2:43" x14ac:dyDescent="0.25">
      <c r="C339" s="39"/>
      <c r="G339" s="45"/>
      <c r="Q339" s="11"/>
    </row>
    <row r="340" spans="2:43" x14ac:dyDescent="0.25">
      <c r="C340" s="39"/>
      <c r="G340" s="45"/>
      <c r="Q340" s="11"/>
    </row>
    <row r="341" spans="2:43" x14ac:dyDescent="0.25">
      <c r="C341" s="39"/>
      <c r="G341" s="45"/>
      <c r="Q341" s="11"/>
    </row>
    <row r="342" spans="2:43" x14ac:dyDescent="0.25">
      <c r="C342" s="39"/>
      <c r="G342" s="45"/>
      <c r="Q342" s="11"/>
    </row>
    <row r="343" spans="2:43" x14ac:dyDescent="0.25">
      <c r="C343" s="39"/>
      <c r="G343" s="45"/>
      <c r="Q343" s="11"/>
    </row>
    <row r="344" spans="2:43" x14ac:dyDescent="0.25">
      <c r="C344" s="39">
        <v>2018</v>
      </c>
      <c r="D344" s="62" t="s">
        <v>1291</v>
      </c>
      <c r="E344" s="63" t="s">
        <v>1292</v>
      </c>
      <c r="F344" s="64">
        <v>43207</v>
      </c>
      <c r="G344" s="65" t="s">
        <v>190</v>
      </c>
      <c r="H344" s="94">
        <v>3730000</v>
      </c>
      <c r="I344" s="94">
        <v>5533954</v>
      </c>
      <c r="J344" s="27"/>
      <c r="K344" s="26">
        <v>0.4836337801608579</v>
      </c>
      <c r="L344" s="11" t="s">
        <v>465</v>
      </c>
      <c r="M344" s="15">
        <v>3</v>
      </c>
      <c r="N344" s="35" t="s">
        <v>25</v>
      </c>
      <c r="O344" s="15">
        <v>2</v>
      </c>
      <c r="P344" s="35" t="s">
        <v>458</v>
      </c>
      <c r="Q344" s="35"/>
      <c r="R344" s="15"/>
      <c r="S344" s="24"/>
      <c r="T344" s="62" t="s">
        <v>784</v>
      </c>
      <c r="U344" s="62"/>
      <c r="V344" s="94">
        <v>5831811.333333333</v>
      </c>
      <c r="W344" s="165">
        <v>0.94892541676874098</v>
      </c>
      <c r="X344" s="15"/>
      <c r="Y344" s="161">
        <v>1.4836337801608579</v>
      </c>
      <c r="Z344" s="11" t="s">
        <v>465</v>
      </c>
      <c r="AA344" s="11"/>
      <c r="AB344" s="15"/>
      <c r="AC344" s="15"/>
      <c r="AD344" s="15"/>
      <c r="AE344" s="15"/>
      <c r="AF344" s="15"/>
      <c r="AG344" s="54">
        <v>3730000</v>
      </c>
      <c r="AH344" s="54">
        <v>5533954</v>
      </c>
      <c r="AI344" s="54">
        <v>-1803954</v>
      </c>
    </row>
    <row r="345" spans="2:43" x14ac:dyDescent="0.25">
      <c r="B345" s="164"/>
      <c r="C345" s="39">
        <v>2018</v>
      </c>
      <c r="D345" s="62" t="s">
        <v>1268</v>
      </c>
      <c r="E345" s="63" t="s">
        <v>1269</v>
      </c>
      <c r="F345" s="64">
        <v>43193</v>
      </c>
      <c r="G345" s="65" t="s">
        <v>34</v>
      </c>
      <c r="H345" s="94">
        <v>3441000</v>
      </c>
      <c r="I345" s="94">
        <v>2993080</v>
      </c>
      <c r="J345" s="27"/>
      <c r="K345" s="26">
        <v>-0.13017146178436501</v>
      </c>
      <c r="L345" s="11" t="s">
        <v>464</v>
      </c>
      <c r="M345" s="15">
        <v>3</v>
      </c>
      <c r="N345" s="35" t="s">
        <v>25</v>
      </c>
      <c r="O345" s="15">
        <v>2</v>
      </c>
      <c r="P345" s="35" t="s">
        <v>458</v>
      </c>
      <c r="Q345" s="35" t="s">
        <v>1283</v>
      </c>
      <c r="R345" s="15"/>
      <c r="S345" s="24"/>
      <c r="T345" s="62" t="s">
        <v>784</v>
      </c>
      <c r="U345" s="62"/>
      <c r="V345" s="94">
        <v>3534026.6666666665</v>
      </c>
      <c r="W345" s="165">
        <v>0.84693192279250873</v>
      </c>
      <c r="X345" s="15"/>
      <c r="Y345" s="161">
        <v>0.86982853821563499</v>
      </c>
      <c r="Z345" s="11" t="s">
        <v>464</v>
      </c>
      <c r="AA345" s="74" t="e">
        <v>#REF!</v>
      </c>
      <c r="AB345" s="15"/>
      <c r="AC345" s="15"/>
      <c r="AD345" s="15"/>
      <c r="AE345" s="15"/>
      <c r="AF345" s="15"/>
      <c r="AG345" s="54">
        <v>3441000</v>
      </c>
      <c r="AH345" s="54">
        <v>2993080</v>
      </c>
      <c r="AI345" s="54">
        <v>447920</v>
      </c>
      <c r="AK345" s="4">
        <v>23181000</v>
      </c>
      <c r="AL345" s="4">
        <v>18677428</v>
      </c>
      <c r="AM345" s="7">
        <v>0.80572140977524698</v>
      </c>
      <c r="AO345" s="4">
        <v>430617300</v>
      </c>
      <c r="AP345" s="4">
        <v>354584570</v>
      </c>
      <c r="AQ345" s="7">
        <v>0.82343317372525437</v>
      </c>
    </row>
    <row r="346" spans="2:43" x14ac:dyDescent="0.25">
      <c r="C346" s="39">
        <v>2017</v>
      </c>
      <c r="D346" s="102" t="s">
        <v>1145</v>
      </c>
      <c r="E346" s="63" t="s">
        <v>1146</v>
      </c>
      <c r="F346" s="64">
        <v>43083</v>
      </c>
      <c r="G346" s="65" t="s">
        <v>190</v>
      </c>
      <c r="H346" s="94">
        <v>4872000</v>
      </c>
      <c r="I346" s="27">
        <v>3997350</v>
      </c>
      <c r="J346" s="27"/>
      <c r="K346" s="26">
        <v>-0.17952586206896551</v>
      </c>
      <c r="L346" s="11" t="s">
        <v>464</v>
      </c>
      <c r="M346" s="15">
        <v>5</v>
      </c>
      <c r="N346" s="35" t="s">
        <v>93</v>
      </c>
      <c r="O346" s="15">
        <v>4</v>
      </c>
      <c r="P346" s="35" t="s">
        <v>458</v>
      </c>
      <c r="Q346" s="35" t="s">
        <v>1283</v>
      </c>
      <c r="R346" s="15"/>
      <c r="S346" s="24"/>
      <c r="T346" s="62" t="s">
        <v>784</v>
      </c>
      <c r="U346" s="62"/>
      <c r="V346" s="94">
        <v>6014201</v>
      </c>
      <c r="W346" s="165">
        <v>0.6646518797758838</v>
      </c>
      <c r="X346" s="15"/>
      <c r="Y346" s="161">
        <v>0.82047413793103452</v>
      </c>
      <c r="Z346" s="11" t="s">
        <v>465</v>
      </c>
      <c r="AA346" s="11"/>
      <c r="AB346" s="15"/>
      <c r="AC346" s="15"/>
      <c r="AD346" s="15"/>
      <c r="AE346" s="15"/>
      <c r="AF346" s="15"/>
      <c r="AG346" s="54">
        <v>4872000</v>
      </c>
      <c r="AH346" s="54">
        <v>3997350</v>
      </c>
      <c r="AI346" s="54">
        <v>874650</v>
      </c>
    </row>
    <row r="347" spans="2:43" x14ac:dyDescent="0.25">
      <c r="C347" s="39">
        <v>2017</v>
      </c>
      <c r="D347" s="62" t="s">
        <v>1116</v>
      </c>
      <c r="E347" s="63" t="s">
        <v>1117</v>
      </c>
      <c r="F347" s="64">
        <v>43047</v>
      </c>
      <c r="G347" s="65" t="s">
        <v>190</v>
      </c>
      <c r="H347" s="94">
        <v>26900000</v>
      </c>
      <c r="I347" s="27">
        <v>26600000</v>
      </c>
      <c r="J347" s="27"/>
      <c r="K347" s="26">
        <v>-1.1152416356877323E-2</v>
      </c>
      <c r="L347" s="11" t="s">
        <v>464</v>
      </c>
      <c r="M347" s="15">
        <v>3</v>
      </c>
      <c r="N347" s="35" t="s">
        <v>25</v>
      </c>
      <c r="O347" s="15">
        <v>4</v>
      </c>
      <c r="P347" s="35" t="s">
        <v>458</v>
      </c>
      <c r="Q347" s="35" t="s">
        <v>1283</v>
      </c>
      <c r="R347" s="15"/>
      <c r="S347" s="24"/>
      <c r="T347" s="62" t="s">
        <v>616</v>
      </c>
      <c r="U347" s="62"/>
      <c r="V347" s="94">
        <v>28659203.666666668</v>
      </c>
      <c r="W347" s="165">
        <v>0.92814860836270496</v>
      </c>
      <c r="X347" s="15"/>
      <c r="Y347" s="161">
        <v>0.98884758364312264</v>
      </c>
      <c r="Z347" s="11" t="s">
        <v>464</v>
      </c>
      <c r="AA347" s="11"/>
      <c r="AB347" s="15"/>
      <c r="AC347" s="15"/>
      <c r="AD347" s="15"/>
      <c r="AE347" s="15"/>
      <c r="AF347" s="15"/>
      <c r="AG347" s="54">
        <v>26900000</v>
      </c>
      <c r="AH347" s="54">
        <v>26600000</v>
      </c>
      <c r="AI347" s="54">
        <v>300000</v>
      </c>
    </row>
    <row r="348" spans="2:43" x14ac:dyDescent="0.25">
      <c r="C348" s="39">
        <v>2017</v>
      </c>
      <c r="D348" s="62" t="s">
        <v>1068</v>
      </c>
      <c r="E348" s="63" t="s">
        <v>1069</v>
      </c>
      <c r="F348" s="64">
        <v>42964</v>
      </c>
      <c r="G348" s="65" t="s">
        <v>190</v>
      </c>
      <c r="H348" s="94">
        <v>8500000</v>
      </c>
      <c r="I348" s="27">
        <v>5682000</v>
      </c>
      <c r="J348" s="27"/>
      <c r="K348" s="26">
        <v>-0.33152941176470591</v>
      </c>
      <c r="L348" s="11" t="s">
        <v>465</v>
      </c>
      <c r="M348" s="15">
        <v>3</v>
      </c>
      <c r="N348" s="35" t="s">
        <v>25</v>
      </c>
      <c r="O348" s="15">
        <v>3</v>
      </c>
      <c r="P348" s="35" t="s">
        <v>458</v>
      </c>
      <c r="Q348" s="35" t="s">
        <v>1283</v>
      </c>
      <c r="R348" s="15"/>
      <c r="S348" s="24"/>
      <c r="T348" s="62" t="s">
        <v>616</v>
      </c>
      <c r="U348" s="62"/>
      <c r="V348" s="94">
        <v>6199787.333333333</v>
      </c>
      <c r="W348" s="165">
        <v>0.91648304925728097</v>
      </c>
      <c r="X348" s="15"/>
      <c r="Y348" s="161">
        <v>0.66847058823529415</v>
      </c>
      <c r="Z348" s="11" t="s">
        <v>465</v>
      </c>
      <c r="AA348" s="11"/>
      <c r="AB348" s="15"/>
      <c r="AC348" s="15"/>
      <c r="AD348" s="15"/>
      <c r="AE348" s="15"/>
      <c r="AF348" s="15"/>
      <c r="AG348" s="54">
        <v>8500000</v>
      </c>
      <c r="AH348" s="54">
        <v>5682000</v>
      </c>
      <c r="AI348" s="54">
        <v>2818000</v>
      </c>
    </row>
    <row r="349" spans="2:43" x14ac:dyDescent="0.25">
      <c r="C349" s="39">
        <v>2017</v>
      </c>
      <c r="D349" s="62" t="s">
        <v>1057</v>
      </c>
      <c r="E349" s="63" t="s">
        <v>1058</v>
      </c>
      <c r="F349" s="64">
        <v>42949</v>
      </c>
      <c r="G349" s="65" t="s">
        <v>34</v>
      </c>
      <c r="H349" s="94">
        <v>1650000</v>
      </c>
      <c r="I349" s="27">
        <v>1320718</v>
      </c>
      <c r="J349" s="27"/>
      <c r="K349" s="26">
        <v>-0.19956484848484848</v>
      </c>
      <c r="L349" s="11" t="s">
        <v>464</v>
      </c>
      <c r="M349" s="15">
        <v>4</v>
      </c>
      <c r="N349" s="35" t="s">
        <v>93</v>
      </c>
      <c r="O349" s="15">
        <v>3</v>
      </c>
      <c r="P349" s="35" t="s">
        <v>458</v>
      </c>
      <c r="Q349" s="35" t="s">
        <v>1283</v>
      </c>
      <c r="R349" s="15"/>
      <c r="S349" s="24"/>
      <c r="T349" s="62" t="s">
        <v>616</v>
      </c>
      <c r="U349" s="62"/>
      <c r="V349" s="94">
        <v>1741084.5</v>
      </c>
      <c r="W349" s="165">
        <v>0.75856054085829838</v>
      </c>
      <c r="X349" s="15"/>
      <c r="Y349" s="161">
        <v>0.80043515151515154</v>
      </c>
      <c r="Z349" s="11" t="s">
        <v>465</v>
      </c>
      <c r="AA349" s="11"/>
      <c r="AB349" s="15"/>
      <c r="AC349" s="15"/>
      <c r="AD349" s="15"/>
      <c r="AE349" s="15"/>
      <c r="AF349" s="15"/>
      <c r="AG349" s="54">
        <v>1650000</v>
      </c>
      <c r="AH349" s="54">
        <v>1320718</v>
      </c>
      <c r="AI349" s="54">
        <v>329282</v>
      </c>
    </row>
    <row r="350" spans="2:43" x14ac:dyDescent="0.25">
      <c r="C350" s="39"/>
      <c r="Q350" s="11"/>
    </row>
    <row r="351" spans="2:43" x14ac:dyDescent="0.25">
      <c r="C351" s="39"/>
      <c r="Q351" s="11"/>
    </row>
    <row r="352" spans="2:43" x14ac:dyDescent="0.25">
      <c r="C352" s="39"/>
      <c r="Q352" s="11"/>
    </row>
    <row r="353" spans="3:17" x14ac:dyDescent="0.25">
      <c r="C353" s="39"/>
      <c r="Q353" s="11"/>
    </row>
    <row r="354" spans="3:17" x14ac:dyDescent="0.25">
      <c r="C354" s="39"/>
      <c r="Q354" s="11"/>
    </row>
    <row r="355" spans="3:17" x14ac:dyDescent="0.25">
      <c r="C355" s="39"/>
      <c r="Q355" s="11"/>
    </row>
    <row r="356" spans="3:17" x14ac:dyDescent="0.25">
      <c r="C356" s="39"/>
      <c r="Q356" s="11"/>
    </row>
    <row r="357" spans="3:17" x14ac:dyDescent="0.25">
      <c r="C357" s="39"/>
      <c r="Q357" s="11"/>
    </row>
    <row r="358" spans="3:17" x14ac:dyDescent="0.25">
      <c r="C358" s="39"/>
      <c r="Q358" s="11"/>
    </row>
    <row r="359" spans="3:17" x14ac:dyDescent="0.25">
      <c r="C359" s="39"/>
      <c r="Q359" s="11"/>
    </row>
    <row r="360" spans="3:17" x14ac:dyDescent="0.25">
      <c r="C360" s="39"/>
      <c r="Q360" s="11"/>
    </row>
    <row r="361" spans="3:17" x14ac:dyDescent="0.25">
      <c r="C361" s="39"/>
      <c r="Q361" s="11"/>
    </row>
    <row r="362" spans="3:17" x14ac:dyDescent="0.25">
      <c r="C362" s="39"/>
      <c r="Q362" s="11"/>
    </row>
    <row r="363" spans="3:17" x14ac:dyDescent="0.25">
      <c r="C363" s="39"/>
      <c r="Q363" s="11"/>
    </row>
    <row r="364" spans="3:17" x14ac:dyDescent="0.25">
      <c r="C364" s="39"/>
      <c r="Q364" s="11"/>
    </row>
    <row r="365" spans="3:17" x14ac:dyDescent="0.25">
      <c r="C365" s="39"/>
      <c r="Q365" s="11"/>
    </row>
    <row r="366" spans="3:17" x14ac:dyDescent="0.25">
      <c r="C366" s="39"/>
      <c r="Q366" s="11"/>
    </row>
    <row r="367" spans="3:17" x14ac:dyDescent="0.25">
      <c r="C367" s="39"/>
      <c r="Q367" s="11"/>
    </row>
    <row r="368" spans="3:17" x14ac:dyDescent="0.25">
      <c r="C368" s="39"/>
      <c r="Q368" s="11"/>
    </row>
    <row r="369" spans="3:17" x14ac:dyDescent="0.25">
      <c r="C369" s="39"/>
      <c r="Q369" s="11"/>
    </row>
    <row r="370" spans="3:17" x14ac:dyDescent="0.25">
      <c r="C370" s="39"/>
      <c r="Q370" s="11"/>
    </row>
    <row r="371" spans="3:17" x14ac:dyDescent="0.25">
      <c r="C371" s="39"/>
      <c r="Q371" s="11"/>
    </row>
    <row r="372" spans="3:17" x14ac:dyDescent="0.25">
      <c r="C372" s="39"/>
      <c r="Q372" s="11"/>
    </row>
    <row r="373" spans="3:17" x14ac:dyDescent="0.25">
      <c r="C373" s="39"/>
      <c r="Q373" s="11"/>
    </row>
    <row r="374" spans="3:17" x14ac:dyDescent="0.25">
      <c r="C374" s="39"/>
      <c r="Q374" s="11"/>
    </row>
    <row r="375" spans="3:17" x14ac:dyDescent="0.25">
      <c r="C375" s="39"/>
      <c r="Q375" s="11"/>
    </row>
    <row r="376" spans="3:17" x14ac:dyDescent="0.25">
      <c r="C376" s="39"/>
      <c r="Q376" s="11"/>
    </row>
    <row r="377" spans="3:17" x14ac:dyDescent="0.25">
      <c r="C377" s="39"/>
      <c r="Q377" s="11"/>
    </row>
    <row r="378" spans="3:17" x14ac:dyDescent="0.25">
      <c r="C378" s="39"/>
      <c r="Q378" s="11"/>
    </row>
    <row r="379" spans="3:17" x14ac:dyDescent="0.25">
      <c r="C379" s="39"/>
      <c r="Q379" s="11"/>
    </row>
    <row r="380" spans="3:17" x14ac:dyDescent="0.25">
      <c r="C380" s="39"/>
      <c r="Q380" s="11"/>
    </row>
    <row r="381" spans="3:17" x14ac:dyDescent="0.25">
      <c r="C381" s="39"/>
      <c r="Q381" s="11"/>
    </row>
    <row r="382" spans="3:17" x14ac:dyDescent="0.25">
      <c r="C382" s="39"/>
      <c r="Q382" s="11"/>
    </row>
    <row r="383" spans="3:17" x14ac:dyDescent="0.25">
      <c r="C383" s="39"/>
      <c r="Q383" s="11"/>
    </row>
    <row r="384" spans="3:17" x14ac:dyDescent="0.25">
      <c r="C384" s="39"/>
      <c r="Q384" s="11"/>
    </row>
    <row r="385" spans="3:17" x14ac:dyDescent="0.25">
      <c r="C385" s="39"/>
      <c r="Q385" s="11"/>
    </row>
    <row r="386" spans="3:17" x14ac:dyDescent="0.25">
      <c r="C386" s="39"/>
      <c r="Q386" s="11"/>
    </row>
    <row r="387" spans="3:17" x14ac:dyDescent="0.25">
      <c r="C387" s="39"/>
      <c r="Q387" s="11"/>
    </row>
    <row r="388" spans="3:17" x14ac:dyDescent="0.25">
      <c r="C388" s="39"/>
      <c r="Q388" s="11"/>
    </row>
    <row r="389" spans="3:17" x14ac:dyDescent="0.25">
      <c r="C389" s="39"/>
      <c r="Q389" s="11"/>
    </row>
    <row r="390" spans="3:17" x14ac:dyDescent="0.25">
      <c r="C390" s="39"/>
      <c r="Q390" s="11"/>
    </row>
    <row r="391" spans="3:17" x14ac:dyDescent="0.25">
      <c r="C391" s="39"/>
      <c r="Q391" s="11"/>
    </row>
    <row r="392" spans="3:17" x14ac:dyDescent="0.25">
      <c r="C392" s="39"/>
      <c r="Q392" s="11"/>
    </row>
    <row r="393" spans="3:17" x14ac:dyDescent="0.25">
      <c r="C393" s="39"/>
      <c r="Q393" s="11"/>
    </row>
    <row r="394" spans="3:17" x14ac:dyDescent="0.25">
      <c r="C394" s="39"/>
      <c r="Q394" s="11"/>
    </row>
    <row r="395" spans="3:17" x14ac:dyDescent="0.25">
      <c r="C395" s="39"/>
      <c r="Q395" s="11"/>
    </row>
    <row r="396" spans="3:17" x14ac:dyDescent="0.25">
      <c r="C396" s="39"/>
      <c r="Q396" s="11"/>
    </row>
    <row r="397" spans="3:17" x14ac:dyDescent="0.25">
      <c r="C397" s="39"/>
      <c r="Q397" s="11"/>
    </row>
    <row r="398" spans="3:17" x14ac:dyDescent="0.25">
      <c r="C398" s="39"/>
      <c r="Q398" s="11"/>
    </row>
    <row r="399" spans="3:17" x14ac:dyDescent="0.25">
      <c r="C399" s="39"/>
      <c r="Q399" s="11"/>
    </row>
    <row r="400" spans="3:17" x14ac:dyDescent="0.25">
      <c r="C400" s="39"/>
      <c r="Q400" s="11"/>
    </row>
    <row r="401" spans="3:17" x14ac:dyDescent="0.25">
      <c r="C401" s="39"/>
      <c r="Q401" s="11"/>
    </row>
    <row r="402" spans="3:17" x14ac:dyDescent="0.25">
      <c r="C402" s="39"/>
      <c r="Q402" s="11"/>
    </row>
    <row r="403" spans="3:17" x14ac:dyDescent="0.25">
      <c r="C403" s="39"/>
      <c r="Q403" s="11"/>
    </row>
    <row r="404" spans="3:17" x14ac:dyDescent="0.25">
      <c r="C404" s="39"/>
      <c r="Q404" s="11"/>
    </row>
    <row r="405" spans="3:17" x14ac:dyDescent="0.25">
      <c r="C405" s="39"/>
      <c r="Q405" s="11"/>
    </row>
    <row r="406" spans="3:17" x14ac:dyDescent="0.25">
      <c r="C406" s="39"/>
      <c r="Q406" s="11"/>
    </row>
    <row r="407" spans="3:17" x14ac:dyDescent="0.25">
      <c r="C407" s="39"/>
      <c r="Q407" s="11"/>
    </row>
    <row r="408" spans="3:17" x14ac:dyDescent="0.25">
      <c r="C408" s="39"/>
      <c r="Q408" s="11"/>
    </row>
    <row r="409" spans="3:17" x14ac:dyDescent="0.25">
      <c r="C409" s="39"/>
      <c r="Q409" s="11"/>
    </row>
    <row r="410" spans="3:17" x14ac:dyDescent="0.25">
      <c r="C410" s="39"/>
      <c r="Q410" s="11"/>
    </row>
    <row r="411" spans="3:17" x14ac:dyDescent="0.25">
      <c r="C411" s="39"/>
      <c r="Q411" s="11"/>
    </row>
    <row r="412" spans="3:17" x14ac:dyDescent="0.25">
      <c r="C412" s="39"/>
      <c r="Q412" s="11"/>
    </row>
    <row r="413" spans="3:17" x14ac:dyDescent="0.25">
      <c r="C413" s="39"/>
      <c r="Q413" s="11"/>
    </row>
    <row r="414" spans="3:17" x14ac:dyDescent="0.25">
      <c r="C414" s="39"/>
      <c r="Q414" s="11"/>
    </row>
    <row r="415" spans="3:17" x14ac:dyDescent="0.25">
      <c r="C415" s="39"/>
      <c r="Q415" s="11"/>
    </row>
    <row r="416" spans="3:17" x14ac:dyDescent="0.25">
      <c r="C416" s="39"/>
      <c r="Q416" s="11"/>
    </row>
    <row r="417" spans="3:17" x14ac:dyDescent="0.25">
      <c r="C417" s="39"/>
      <c r="Q417" s="11"/>
    </row>
    <row r="418" spans="3:17" x14ac:dyDescent="0.25">
      <c r="C418" s="39"/>
      <c r="Q418" s="11"/>
    </row>
    <row r="419" spans="3:17" x14ac:dyDescent="0.25">
      <c r="C419" s="39"/>
      <c r="Q419" s="11"/>
    </row>
    <row r="420" spans="3:17" x14ac:dyDescent="0.25">
      <c r="C420" s="39"/>
      <c r="Q420" s="11"/>
    </row>
    <row r="421" spans="3:17" x14ac:dyDescent="0.25">
      <c r="C421" s="39"/>
      <c r="Q421" s="11"/>
    </row>
    <row r="422" spans="3:17" x14ac:dyDescent="0.25">
      <c r="C422" s="39"/>
      <c r="Q422" s="11"/>
    </row>
    <row r="423" spans="3:17" x14ac:dyDescent="0.25">
      <c r="C423" s="39"/>
      <c r="Q423" s="11"/>
    </row>
    <row r="424" spans="3:17" x14ac:dyDescent="0.25">
      <c r="C424" s="39"/>
      <c r="Q424" s="11"/>
    </row>
    <row r="425" spans="3:17" x14ac:dyDescent="0.25">
      <c r="C425" s="39"/>
      <c r="Q425" s="11"/>
    </row>
    <row r="426" spans="3:17" x14ac:dyDescent="0.25">
      <c r="C426" s="39"/>
      <c r="Q426" s="11"/>
    </row>
    <row r="427" spans="3:17" x14ac:dyDescent="0.25">
      <c r="C427" s="39"/>
      <c r="Q427" s="11"/>
    </row>
    <row r="428" spans="3:17" x14ac:dyDescent="0.25">
      <c r="C428" s="39"/>
      <c r="Q428" s="11"/>
    </row>
    <row r="429" spans="3:17" x14ac:dyDescent="0.25">
      <c r="C429" s="39"/>
      <c r="Q429" s="11"/>
    </row>
    <row r="430" spans="3:17" x14ac:dyDescent="0.25">
      <c r="C430" s="39"/>
      <c r="Q430" s="11"/>
    </row>
    <row r="431" spans="3:17" x14ac:dyDescent="0.25">
      <c r="C431" s="39"/>
      <c r="Q431" s="11"/>
    </row>
    <row r="432" spans="3:17" x14ac:dyDescent="0.25">
      <c r="C432" s="39"/>
      <c r="Q432" s="11"/>
    </row>
    <row r="433" spans="3:17" x14ac:dyDescent="0.25">
      <c r="C433" s="39"/>
      <c r="Q433" s="11"/>
    </row>
    <row r="434" spans="3:17" x14ac:dyDescent="0.25">
      <c r="C434" s="39"/>
      <c r="Q434" s="11"/>
    </row>
    <row r="435" spans="3:17" x14ac:dyDescent="0.25">
      <c r="C435" s="39"/>
      <c r="Q435" s="11"/>
    </row>
    <row r="436" spans="3:17" x14ac:dyDescent="0.25">
      <c r="C436" s="39"/>
      <c r="Q436" s="11"/>
    </row>
    <row r="437" spans="3:17" x14ac:dyDescent="0.25">
      <c r="C437" s="39"/>
      <c r="Q437" s="11"/>
    </row>
    <row r="438" spans="3:17" x14ac:dyDescent="0.25">
      <c r="C438" s="39"/>
      <c r="Q438" s="11"/>
    </row>
    <row r="439" spans="3:17" x14ac:dyDescent="0.25">
      <c r="C439" s="39"/>
      <c r="Q439" s="11"/>
    </row>
    <row r="440" spans="3:17" x14ac:dyDescent="0.25">
      <c r="C440" s="39"/>
      <c r="Q440" s="11"/>
    </row>
    <row r="441" spans="3:17" x14ac:dyDescent="0.25">
      <c r="C441" s="39"/>
      <c r="Q441" s="11"/>
    </row>
    <row r="442" spans="3:17" x14ac:dyDescent="0.25">
      <c r="C442" s="39"/>
      <c r="Q442" s="11"/>
    </row>
    <row r="443" spans="3:17" x14ac:dyDescent="0.25">
      <c r="C443" s="39"/>
      <c r="Q443" s="11"/>
    </row>
    <row r="444" spans="3:17" x14ac:dyDescent="0.25">
      <c r="C444" s="39"/>
      <c r="Q444" s="11"/>
    </row>
    <row r="445" spans="3:17" x14ac:dyDescent="0.25">
      <c r="C445" s="39"/>
      <c r="Q445" s="11"/>
    </row>
    <row r="446" spans="3:17" x14ac:dyDescent="0.25">
      <c r="C446" s="39"/>
      <c r="Q446" s="11"/>
    </row>
    <row r="447" spans="3:17" x14ac:dyDescent="0.25">
      <c r="C447" s="39"/>
      <c r="Q447" s="11"/>
    </row>
    <row r="448" spans="3:17" x14ac:dyDescent="0.25">
      <c r="C448" s="39"/>
      <c r="Q448" s="11"/>
    </row>
    <row r="449" spans="3:17" x14ac:dyDescent="0.25">
      <c r="C449" s="39"/>
      <c r="Q449" s="11"/>
    </row>
    <row r="450" spans="3:17" x14ac:dyDescent="0.25">
      <c r="C450" s="39"/>
      <c r="Q450" s="11"/>
    </row>
    <row r="451" spans="3:17" x14ac:dyDescent="0.25">
      <c r="C451" s="39"/>
      <c r="Q451" s="11"/>
    </row>
    <row r="452" spans="3:17" x14ac:dyDescent="0.25">
      <c r="C452" s="39"/>
      <c r="Q452" s="11"/>
    </row>
    <row r="453" spans="3:17" x14ac:dyDescent="0.25">
      <c r="C453" s="39"/>
      <c r="Q453" s="11"/>
    </row>
    <row r="454" spans="3:17" x14ac:dyDescent="0.25">
      <c r="C454" s="39"/>
      <c r="Q454" s="11"/>
    </row>
    <row r="455" spans="3:17" x14ac:dyDescent="0.25">
      <c r="C455" s="39"/>
      <c r="Q455" s="11"/>
    </row>
    <row r="456" spans="3:17" x14ac:dyDescent="0.25">
      <c r="C456" s="39"/>
      <c r="Q456" s="11"/>
    </row>
    <row r="457" spans="3:17" x14ac:dyDescent="0.25">
      <c r="C457" s="39"/>
      <c r="Q457" s="11"/>
    </row>
    <row r="458" spans="3:17" x14ac:dyDescent="0.25">
      <c r="C458" s="39"/>
      <c r="Q458" s="11"/>
    </row>
    <row r="459" spans="3:17" x14ac:dyDescent="0.25">
      <c r="C459" s="39"/>
      <c r="Q459" s="11"/>
    </row>
    <row r="460" spans="3:17" x14ac:dyDescent="0.25">
      <c r="C460" s="39"/>
      <c r="Q460" s="11"/>
    </row>
    <row r="461" spans="3:17" x14ac:dyDescent="0.25">
      <c r="C461" s="39"/>
      <c r="Q461" s="11"/>
    </row>
    <row r="462" spans="3:17" x14ac:dyDescent="0.25">
      <c r="C462" s="39"/>
      <c r="Q462" s="11"/>
    </row>
    <row r="463" spans="3:17" x14ac:dyDescent="0.25">
      <c r="C463" s="39"/>
      <c r="Q463" s="11"/>
    </row>
    <row r="464" spans="3:17" x14ac:dyDescent="0.25">
      <c r="C464" s="39"/>
      <c r="Q464" s="11"/>
    </row>
    <row r="465" spans="3:17" x14ac:dyDescent="0.25">
      <c r="C465" s="39"/>
      <c r="Q465" s="11"/>
    </row>
    <row r="466" spans="3:17" x14ac:dyDescent="0.25">
      <c r="C466" s="39"/>
      <c r="Q466" s="11"/>
    </row>
    <row r="467" spans="3:17" x14ac:dyDescent="0.25">
      <c r="C467" s="39"/>
      <c r="Q467" s="11"/>
    </row>
    <row r="468" spans="3:17" x14ac:dyDescent="0.25">
      <c r="C468" s="39"/>
      <c r="Q468" s="11"/>
    </row>
    <row r="469" spans="3:17" x14ac:dyDescent="0.25">
      <c r="C469" s="39"/>
      <c r="Q469" s="11"/>
    </row>
    <row r="470" spans="3:17" x14ac:dyDescent="0.25">
      <c r="C470" s="39"/>
      <c r="Q470" s="11"/>
    </row>
    <row r="471" spans="3:17" x14ac:dyDescent="0.25">
      <c r="C471" s="39"/>
      <c r="Q471" s="11"/>
    </row>
    <row r="472" spans="3:17" x14ac:dyDescent="0.25">
      <c r="C472" s="39"/>
      <c r="Q472" s="11"/>
    </row>
    <row r="473" spans="3:17" x14ac:dyDescent="0.25">
      <c r="C473" s="39"/>
      <c r="Q473" s="11"/>
    </row>
    <row r="474" spans="3:17" x14ac:dyDescent="0.25">
      <c r="C474" s="39"/>
      <c r="Q474" s="11"/>
    </row>
    <row r="475" spans="3:17" x14ac:dyDescent="0.25">
      <c r="C475" s="39"/>
      <c r="Q475" s="11"/>
    </row>
    <row r="476" spans="3:17" x14ac:dyDescent="0.25">
      <c r="C476" s="39"/>
      <c r="Q476" s="11"/>
    </row>
    <row r="477" spans="3:17" x14ac:dyDescent="0.25">
      <c r="C477" s="39"/>
      <c r="Q477" s="11"/>
    </row>
    <row r="478" spans="3:17" x14ac:dyDescent="0.25">
      <c r="C478" s="39"/>
      <c r="Q478" s="11"/>
    </row>
    <row r="479" spans="3:17" x14ac:dyDescent="0.25">
      <c r="C479" s="39"/>
      <c r="Q479" s="11"/>
    </row>
    <row r="480" spans="3:17" x14ac:dyDescent="0.25">
      <c r="C480" s="39"/>
      <c r="Q480" s="11"/>
    </row>
    <row r="481" spans="3:17" x14ac:dyDescent="0.25">
      <c r="C481" s="39"/>
      <c r="Q481" s="11"/>
    </row>
    <row r="482" spans="3:17" x14ac:dyDescent="0.25">
      <c r="C482" s="39"/>
      <c r="Q482" s="11"/>
    </row>
    <row r="483" spans="3:17" x14ac:dyDescent="0.25">
      <c r="C483" s="39"/>
      <c r="Q483" s="11"/>
    </row>
    <row r="484" spans="3:17" x14ac:dyDescent="0.25">
      <c r="C484" s="39"/>
      <c r="Q484" s="11"/>
    </row>
    <row r="485" spans="3:17" x14ac:dyDescent="0.25">
      <c r="C485" s="39"/>
      <c r="Q485" s="11"/>
    </row>
    <row r="486" spans="3:17" x14ac:dyDescent="0.25">
      <c r="C486" s="39"/>
      <c r="Q486" s="11"/>
    </row>
    <row r="487" spans="3:17" x14ac:dyDescent="0.25">
      <c r="C487" s="39"/>
      <c r="Q487" s="11"/>
    </row>
    <row r="488" spans="3:17" x14ac:dyDescent="0.25">
      <c r="C488" s="39"/>
      <c r="Q488" s="11"/>
    </row>
    <row r="489" spans="3:17" x14ac:dyDescent="0.25">
      <c r="C489" s="39"/>
      <c r="Q489" s="11"/>
    </row>
    <row r="490" spans="3:17" x14ac:dyDescent="0.25">
      <c r="C490" s="39"/>
      <c r="Q490" s="11"/>
    </row>
    <row r="491" spans="3:17" x14ac:dyDescent="0.25">
      <c r="C491" s="39"/>
      <c r="Q491" s="11"/>
    </row>
    <row r="492" spans="3:17" x14ac:dyDescent="0.25">
      <c r="C492" s="39"/>
      <c r="Q492" s="11"/>
    </row>
    <row r="493" spans="3:17" x14ac:dyDescent="0.25">
      <c r="C493" s="39"/>
      <c r="Q493" s="11"/>
    </row>
    <row r="494" spans="3:17" x14ac:dyDescent="0.25">
      <c r="C494" s="39"/>
      <c r="Q494" s="11"/>
    </row>
    <row r="495" spans="3:17" x14ac:dyDescent="0.25">
      <c r="C495" s="39"/>
      <c r="Q495" s="11"/>
    </row>
    <row r="496" spans="3:17" x14ac:dyDescent="0.25">
      <c r="C496" s="39"/>
      <c r="Q496" s="11"/>
    </row>
    <row r="497" spans="3:17" x14ac:dyDescent="0.25">
      <c r="C497" s="39"/>
      <c r="Q497" s="11"/>
    </row>
    <row r="498" spans="3:17" x14ac:dyDescent="0.25">
      <c r="C498" s="39"/>
      <c r="Q498" s="11"/>
    </row>
    <row r="499" spans="3:17" x14ac:dyDescent="0.25">
      <c r="C499" s="39"/>
      <c r="Q499" s="11"/>
    </row>
    <row r="500" spans="3:17" x14ac:dyDescent="0.25">
      <c r="C500" s="39"/>
      <c r="Q500" s="11"/>
    </row>
    <row r="501" spans="3:17" x14ac:dyDescent="0.25">
      <c r="C501" s="39"/>
      <c r="Q501" s="11"/>
    </row>
    <row r="502" spans="3:17" x14ac:dyDescent="0.25">
      <c r="C502" s="39"/>
      <c r="Q502" s="11"/>
    </row>
    <row r="503" spans="3:17" x14ac:dyDescent="0.25">
      <c r="C503" s="39"/>
      <c r="Q503" s="11"/>
    </row>
    <row r="504" spans="3:17" x14ac:dyDescent="0.25">
      <c r="C504" s="39"/>
      <c r="Q504" s="11"/>
    </row>
    <row r="505" spans="3:17" x14ac:dyDescent="0.25">
      <c r="C505" s="39"/>
      <c r="Q505" s="11"/>
    </row>
    <row r="506" spans="3:17" x14ac:dyDescent="0.25">
      <c r="C506" s="39"/>
      <c r="Q506" s="11"/>
    </row>
    <row r="507" spans="3:17" x14ac:dyDescent="0.25">
      <c r="C507" s="39"/>
      <c r="Q507" s="11"/>
    </row>
    <row r="508" spans="3:17" x14ac:dyDescent="0.25">
      <c r="C508" s="39"/>
      <c r="Q508" s="11"/>
    </row>
    <row r="509" spans="3:17" x14ac:dyDescent="0.25">
      <c r="C509" s="39"/>
      <c r="Q509" s="11"/>
    </row>
    <row r="510" spans="3:17" x14ac:dyDescent="0.25">
      <c r="C510" s="39"/>
      <c r="Q510" s="11"/>
    </row>
    <row r="511" spans="3:17" x14ac:dyDescent="0.25">
      <c r="C511" s="39"/>
      <c r="Q511" s="11"/>
    </row>
    <row r="512" spans="3:17" x14ac:dyDescent="0.25">
      <c r="C512" s="39"/>
      <c r="Q512" s="11"/>
    </row>
    <row r="513" spans="3:17" x14ac:dyDescent="0.25">
      <c r="C513" s="39"/>
      <c r="Q513" s="11"/>
    </row>
    <row r="514" spans="3:17" x14ac:dyDescent="0.25">
      <c r="C514" s="39"/>
      <c r="Q514" s="11"/>
    </row>
    <row r="515" spans="3:17" x14ac:dyDescent="0.25">
      <c r="C515" s="39"/>
      <c r="Q515" s="11"/>
    </row>
    <row r="516" spans="3:17" x14ac:dyDescent="0.25">
      <c r="C516" s="39"/>
      <c r="Q516" s="11"/>
    </row>
    <row r="517" spans="3:17" x14ac:dyDescent="0.25">
      <c r="C517" s="39"/>
      <c r="Q517" s="11"/>
    </row>
    <row r="518" spans="3:17" x14ac:dyDescent="0.25">
      <c r="C518" s="39"/>
      <c r="Q518" s="11"/>
    </row>
    <row r="519" spans="3:17" x14ac:dyDescent="0.25">
      <c r="C519" s="39"/>
      <c r="Q519" s="11"/>
    </row>
    <row r="520" spans="3:17" x14ac:dyDescent="0.25">
      <c r="C520" s="39"/>
      <c r="Q520" s="11"/>
    </row>
    <row r="521" spans="3:17" x14ac:dyDescent="0.25">
      <c r="C521" s="39"/>
      <c r="Q521" s="11"/>
    </row>
    <row r="522" spans="3:17" x14ac:dyDescent="0.25">
      <c r="C522" s="39"/>
      <c r="Q522" s="11"/>
    </row>
    <row r="523" spans="3:17" x14ac:dyDescent="0.25">
      <c r="C523" s="39"/>
      <c r="Q523" s="11"/>
    </row>
    <row r="524" spans="3:17" x14ac:dyDescent="0.25">
      <c r="C524" s="39"/>
      <c r="Q524" s="11"/>
    </row>
    <row r="525" spans="3:17" x14ac:dyDescent="0.25">
      <c r="C525" s="39"/>
      <c r="Q525" s="11"/>
    </row>
    <row r="526" spans="3:17" x14ac:dyDescent="0.25">
      <c r="C526" s="39"/>
      <c r="Q526" s="11"/>
    </row>
    <row r="527" spans="3:17" x14ac:dyDescent="0.25">
      <c r="C527" s="39"/>
      <c r="Q527" s="11"/>
    </row>
    <row r="528" spans="3:17" x14ac:dyDescent="0.25">
      <c r="C528" s="39"/>
      <c r="Q528" s="11"/>
    </row>
    <row r="529" spans="3:17" x14ac:dyDescent="0.25">
      <c r="C529" s="39"/>
      <c r="Q529" s="11"/>
    </row>
    <row r="530" spans="3:17" x14ac:dyDescent="0.25">
      <c r="C530" s="39"/>
      <c r="Q530" s="11"/>
    </row>
    <row r="531" spans="3:17" x14ac:dyDescent="0.25">
      <c r="C531" s="39"/>
      <c r="Q531" s="11"/>
    </row>
    <row r="532" spans="3:17" x14ac:dyDescent="0.25">
      <c r="C532" s="39"/>
      <c r="Q532" s="11"/>
    </row>
    <row r="533" spans="3:17" x14ac:dyDescent="0.25">
      <c r="C533" s="39"/>
      <c r="Q533" s="11"/>
    </row>
    <row r="534" spans="3:17" x14ac:dyDescent="0.25">
      <c r="C534" s="39"/>
      <c r="Q534" s="11"/>
    </row>
    <row r="535" spans="3:17" x14ac:dyDescent="0.25">
      <c r="C535" s="39"/>
      <c r="Q535" s="11"/>
    </row>
    <row r="536" spans="3:17" x14ac:dyDescent="0.25">
      <c r="C536" s="39"/>
      <c r="Q536" s="11"/>
    </row>
    <row r="537" spans="3:17" x14ac:dyDescent="0.25">
      <c r="C537" s="39"/>
      <c r="Q537" s="11"/>
    </row>
    <row r="538" spans="3:17" x14ac:dyDescent="0.25">
      <c r="C538" s="39"/>
      <c r="Q538" s="11"/>
    </row>
    <row r="539" spans="3:17" x14ac:dyDescent="0.25">
      <c r="C539" s="39"/>
      <c r="Q539" s="11"/>
    </row>
    <row r="540" spans="3:17" x14ac:dyDescent="0.25">
      <c r="C540" s="39"/>
      <c r="Q540" s="11"/>
    </row>
    <row r="541" spans="3:17" x14ac:dyDescent="0.25">
      <c r="C541" s="39"/>
      <c r="Q541" s="11"/>
    </row>
    <row r="542" spans="3:17" x14ac:dyDescent="0.25">
      <c r="C542" s="39"/>
      <c r="Q542" s="11"/>
    </row>
    <row r="543" spans="3:17" x14ac:dyDescent="0.25">
      <c r="C543" s="39"/>
      <c r="Q543" s="11"/>
    </row>
    <row r="544" spans="3:17" x14ac:dyDescent="0.25">
      <c r="C544" s="39"/>
      <c r="Q544" s="11"/>
    </row>
    <row r="545" spans="3:17" x14ac:dyDescent="0.25">
      <c r="C545" s="39"/>
      <c r="Q545" s="11"/>
    </row>
    <row r="546" spans="3:17" x14ac:dyDescent="0.25">
      <c r="C546" s="39"/>
      <c r="Q546" s="11"/>
    </row>
    <row r="547" spans="3:17" x14ac:dyDescent="0.25">
      <c r="C547" s="39"/>
      <c r="Q547" s="11"/>
    </row>
    <row r="548" spans="3:17" x14ac:dyDescent="0.25">
      <c r="C548" s="39"/>
      <c r="Q548" s="11"/>
    </row>
    <row r="549" spans="3:17" x14ac:dyDescent="0.25">
      <c r="C549" s="39"/>
      <c r="Q549" s="11"/>
    </row>
    <row r="550" spans="3:17" x14ac:dyDescent="0.25">
      <c r="C550" s="39"/>
      <c r="Q550" s="11"/>
    </row>
    <row r="551" spans="3:17" x14ac:dyDescent="0.25">
      <c r="C551" s="39"/>
      <c r="Q551" s="11"/>
    </row>
    <row r="552" spans="3:17" x14ac:dyDescent="0.25">
      <c r="C552" s="39"/>
      <c r="Q552" s="11"/>
    </row>
    <row r="553" spans="3:17" x14ac:dyDescent="0.25">
      <c r="C553" s="39"/>
      <c r="Q553" s="11"/>
    </row>
    <row r="554" spans="3:17" x14ac:dyDescent="0.25">
      <c r="C554" s="39"/>
      <c r="Q554" s="11"/>
    </row>
    <row r="555" spans="3:17" x14ac:dyDescent="0.25">
      <c r="C555" s="39"/>
      <c r="Q555" s="11"/>
    </row>
    <row r="556" spans="3:17" x14ac:dyDescent="0.25">
      <c r="C556" s="39"/>
      <c r="Q556" s="11"/>
    </row>
    <row r="557" spans="3:17" x14ac:dyDescent="0.25">
      <c r="C557" s="39"/>
      <c r="Q557" s="11"/>
    </row>
    <row r="558" spans="3:17" x14ac:dyDescent="0.25">
      <c r="C558" s="39"/>
      <c r="Q558" s="11"/>
    </row>
    <row r="559" spans="3:17" x14ac:dyDescent="0.25">
      <c r="C559" s="39"/>
      <c r="Q559" s="11"/>
    </row>
    <row r="560" spans="3:17" x14ac:dyDescent="0.25">
      <c r="C560" s="39"/>
      <c r="Q560" s="11"/>
    </row>
    <row r="561" spans="3:17" x14ac:dyDescent="0.25">
      <c r="C561" s="39"/>
      <c r="Q561" s="11"/>
    </row>
    <row r="562" spans="3:17" x14ac:dyDescent="0.25">
      <c r="C562" s="39"/>
      <c r="Q562" s="11"/>
    </row>
    <row r="563" spans="3:17" x14ac:dyDescent="0.25">
      <c r="C563" s="39"/>
      <c r="Q563" s="11"/>
    </row>
    <row r="564" spans="3:17" x14ac:dyDescent="0.25">
      <c r="C564" s="39"/>
      <c r="Q564" s="11"/>
    </row>
    <row r="565" spans="3:17" x14ac:dyDescent="0.25">
      <c r="C565" s="39"/>
      <c r="Q565" s="11"/>
    </row>
    <row r="566" spans="3:17" x14ac:dyDescent="0.25">
      <c r="C566" s="39"/>
      <c r="Q566" s="11"/>
    </row>
    <row r="567" spans="3:17" x14ac:dyDescent="0.25">
      <c r="C567" s="39"/>
      <c r="Q567" s="11"/>
    </row>
    <row r="568" spans="3:17" x14ac:dyDescent="0.25">
      <c r="C568" s="39"/>
      <c r="Q568" s="11"/>
    </row>
    <row r="569" spans="3:17" x14ac:dyDescent="0.25">
      <c r="C569" s="39"/>
      <c r="Q569" s="11"/>
    </row>
    <row r="570" spans="3:17" x14ac:dyDescent="0.25">
      <c r="C570" s="39"/>
      <c r="Q570" s="11"/>
    </row>
    <row r="571" spans="3:17" x14ac:dyDescent="0.25">
      <c r="C571" s="39"/>
      <c r="Q571" s="11"/>
    </row>
    <row r="572" spans="3:17" x14ac:dyDescent="0.25">
      <c r="C572" s="39"/>
      <c r="Q572" s="11"/>
    </row>
    <row r="573" spans="3:17" x14ac:dyDescent="0.25">
      <c r="C573" s="39"/>
      <c r="Q573" s="11"/>
    </row>
    <row r="574" spans="3:17" x14ac:dyDescent="0.25">
      <c r="C574" s="39"/>
      <c r="Q574" s="11"/>
    </row>
    <row r="575" spans="3:17" x14ac:dyDescent="0.25">
      <c r="C575" s="39"/>
      <c r="Q575" s="11"/>
    </row>
    <row r="576" spans="3:17" x14ac:dyDescent="0.25">
      <c r="C576" s="39"/>
      <c r="Q576" s="11"/>
    </row>
    <row r="577" spans="3:17" x14ac:dyDescent="0.25">
      <c r="C577" s="39"/>
      <c r="Q577" s="11"/>
    </row>
    <row r="578" spans="3:17" x14ac:dyDescent="0.25">
      <c r="C578" s="39"/>
      <c r="Q578" s="11"/>
    </row>
    <row r="579" spans="3:17" x14ac:dyDescent="0.25">
      <c r="C579" s="39"/>
      <c r="Q579" s="11"/>
    </row>
    <row r="580" spans="3:17" x14ac:dyDescent="0.25">
      <c r="C580" s="39"/>
      <c r="Q580" s="11"/>
    </row>
    <row r="581" spans="3:17" x14ac:dyDescent="0.25">
      <c r="C581" s="39"/>
      <c r="Q581" s="11"/>
    </row>
    <row r="582" spans="3:17" x14ac:dyDescent="0.25">
      <c r="C582" s="39"/>
      <c r="Q582" s="11"/>
    </row>
    <row r="583" spans="3:17" x14ac:dyDescent="0.25">
      <c r="C583" s="39"/>
      <c r="Q583" s="11"/>
    </row>
    <row r="584" spans="3:17" x14ac:dyDescent="0.25">
      <c r="C584" s="39"/>
      <c r="Q584" s="11"/>
    </row>
    <row r="585" spans="3:17" x14ac:dyDescent="0.25">
      <c r="C585" s="39"/>
      <c r="Q585" s="11"/>
    </row>
    <row r="586" spans="3:17" x14ac:dyDescent="0.25">
      <c r="C586" s="39"/>
      <c r="Q586" s="11"/>
    </row>
    <row r="587" spans="3:17" x14ac:dyDescent="0.25">
      <c r="C587" s="39"/>
      <c r="Q587" s="11"/>
    </row>
    <row r="588" spans="3:17" x14ac:dyDescent="0.25">
      <c r="C588" s="39"/>
      <c r="Q588" s="11"/>
    </row>
    <row r="589" spans="3:17" x14ac:dyDescent="0.25">
      <c r="C589" s="39"/>
      <c r="Q589" s="11"/>
    </row>
    <row r="590" spans="3:17" x14ac:dyDescent="0.25">
      <c r="C590" s="39"/>
      <c r="Q590" s="11"/>
    </row>
    <row r="591" spans="3:17" x14ac:dyDescent="0.25">
      <c r="C591" s="39"/>
      <c r="Q591" s="11"/>
    </row>
    <row r="592" spans="3:17" x14ac:dyDescent="0.25">
      <c r="C592" s="39"/>
      <c r="Q592" s="11"/>
    </row>
    <row r="593" spans="3:17" x14ac:dyDescent="0.25">
      <c r="C593" s="39"/>
      <c r="Q593" s="11"/>
    </row>
    <row r="594" spans="3:17" x14ac:dyDescent="0.25">
      <c r="C594" s="39"/>
      <c r="Q594" s="11"/>
    </row>
    <row r="595" spans="3:17" x14ac:dyDescent="0.25">
      <c r="C595" s="39"/>
      <c r="Q595" s="11"/>
    </row>
    <row r="596" spans="3:17" x14ac:dyDescent="0.25">
      <c r="C596" s="39"/>
      <c r="Q596" s="11"/>
    </row>
    <row r="597" spans="3:17" x14ac:dyDescent="0.25">
      <c r="C597" s="39"/>
      <c r="Q597" s="11"/>
    </row>
    <row r="598" spans="3:17" x14ac:dyDescent="0.25">
      <c r="C598" s="39"/>
      <c r="Q598" s="11"/>
    </row>
    <row r="599" spans="3:17" x14ac:dyDescent="0.25">
      <c r="C599" s="39"/>
      <c r="Q599" s="11"/>
    </row>
    <row r="600" spans="3:17" x14ac:dyDescent="0.25">
      <c r="C600" s="39"/>
      <c r="Q600" s="11"/>
    </row>
    <row r="601" spans="3:17" x14ac:dyDescent="0.25">
      <c r="C601" s="39"/>
      <c r="Q601" s="11"/>
    </row>
    <row r="602" spans="3:17" x14ac:dyDescent="0.25">
      <c r="C602" s="39"/>
      <c r="Q602" s="11"/>
    </row>
    <row r="603" spans="3:17" x14ac:dyDescent="0.25">
      <c r="C603" s="39"/>
      <c r="Q603" s="11"/>
    </row>
    <row r="604" spans="3:17" x14ac:dyDescent="0.25">
      <c r="C604" s="39"/>
      <c r="Q604" s="11"/>
    </row>
    <row r="605" spans="3:17" x14ac:dyDescent="0.25">
      <c r="C605" s="39"/>
      <c r="Q605" s="11"/>
    </row>
    <row r="606" spans="3:17" x14ac:dyDescent="0.25">
      <c r="C606" s="39"/>
      <c r="Q606" s="11"/>
    </row>
    <row r="607" spans="3:17" x14ac:dyDescent="0.25">
      <c r="C607" s="39"/>
      <c r="Q607" s="11"/>
    </row>
    <row r="608" spans="3:17" x14ac:dyDescent="0.25">
      <c r="C608" s="39"/>
      <c r="Q608" s="11"/>
    </row>
    <row r="609" spans="3:17" x14ac:dyDescent="0.25">
      <c r="C609" s="39"/>
      <c r="Q609" s="11"/>
    </row>
    <row r="610" spans="3:17" x14ac:dyDescent="0.25">
      <c r="C610" s="39"/>
      <c r="Q610" s="11"/>
    </row>
    <row r="611" spans="3:17" x14ac:dyDescent="0.25">
      <c r="C611" s="39"/>
      <c r="Q611" s="11"/>
    </row>
    <row r="612" spans="3:17" x14ac:dyDescent="0.25">
      <c r="C612" s="39"/>
      <c r="Q612" s="11"/>
    </row>
    <row r="613" spans="3:17" x14ac:dyDescent="0.25">
      <c r="C613" s="39"/>
      <c r="Q613" s="11"/>
    </row>
    <row r="614" spans="3:17" x14ac:dyDescent="0.25">
      <c r="C614" s="39"/>
      <c r="Q614" s="11"/>
    </row>
    <row r="615" spans="3:17" x14ac:dyDescent="0.25">
      <c r="C615" s="39"/>
      <c r="Q615" s="11"/>
    </row>
    <row r="616" spans="3:17" x14ac:dyDescent="0.25">
      <c r="C616" s="39"/>
      <c r="Q616" s="11"/>
    </row>
    <row r="617" spans="3:17" x14ac:dyDescent="0.25">
      <c r="C617" s="39"/>
      <c r="Q617" s="11"/>
    </row>
    <row r="618" spans="3:17" x14ac:dyDescent="0.25">
      <c r="C618" s="39"/>
      <c r="Q618" s="11"/>
    </row>
    <row r="619" spans="3:17" x14ac:dyDescent="0.25">
      <c r="C619" s="39"/>
      <c r="Q619" s="11"/>
    </row>
    <row r="620" spans="3:17" x14ac:dyDescent="0.25">
      <c r="C620" s="39"/>
      <c r="Q620" s="11"/>
    </row>
    <row r="621" spans="3:17" x14ac:dyDescent="0.25">
      <c r="C621" s="39"/>
      <c r="Q621" s="11"/>
    </row>
    <row r="622" spans="3:17" x14ac:dyDescent="0.25">
      <c r="C622" s="39"/>
      <c r="Q622" s="11"/>
    </row>
    <row r="623" spans="3:17" x14ac:dyDescent="0.25">
      <c r="C623" s="39"/>
      <c r="Q623" s="11"/>
    </row>
    <row r="624" spans="3:17" x14ac:dyDescent="0.25">
      <c r="C624" s="39"/>
      <c r="Q624" s="11"/>
    </row>
    <row r="625" spans="3:17" x14ac:dyDescent="0.25">
      <c r="C625" s="39"/>
      <c r="Q625" s="11"/>
    </row>
    <row r="626" spans="3:17" x14ac:dyDescent="0.25">
      <c r="C626" s="39"/>
      <c r="Q626" s="11"/>
    </row>
    <row r="627" spans="3:17" x14ac:dyDescent="0.25">
      <c r="C627" s="39"/>
      <c r="Q627" s="11"/>
    </row>
    <row r="628" spans="3:17" x14ac:dyDescent="0.25">
      <c r="C628" s="39"/>
      <c r="Q628" s="11"/>
    </row>
    <row r="629" spans="3:17" x14ac:dyDescent="0.25">
      <c r="C629" s="39"/>
      <c r="Q629" s="11"/>
    </row>
    <row r="630" spans="3:17" x14ac:dyDescent="0.25">
      <c r="C630" s="39"/>
      <c r="Q630" s="11"/>
    </row>
    <row r="631" spans="3:17" x14ac:dyDescent="0.25">
      <c r="C631" s="39"/>
      <c r="Q631" s="11"/>
    </row>
    <row r="632" spans="3:17" x14ac:dyDescent="0.25">
      <c r="C632" s="39"/>
      <c r="Q632" s="11"/>
    </row>
    <row r="633" spans="3:17" x14ac:dyDescent="0.25">
      <c r="C633" s="39"/>
      <c r="Q633" s="11"/>
    </row>
    <row r="634" spans="3:17" x14ac:dyDescent="0.25">
      <c r="C634" s="39"/>
      <c r="Q634" s="11"/>
    </row>
    <row r="635" spans="3:17" x14ac:dyDescent="0.25">
      <c r="C635" s="39"/>
      <c r="Q635" s="11"/>
    </row>
    <row r="636" spans="3:17" x14ac:dyDescent="0.25">
      <c r="C636" s="39"/>
      <c r="Q636" s="11"/>
    </row>
    <row r="637" spans="3:17" x14ac:dyDescent="0.25">
      <c r="C637" s="39"/>
      <c r="Q637" s="11"/>
    </row>
    <row r="638" spans="3:17" x14ac:dyDescent="0.25">
      <c r="C638" s="39"/>
      <c r="Q638" s="11"/>
    </row>
    <row r="639" spans="3:17" x14ac:dyDescent="0.25">
      <c r="C639" s="39"/>
      <c r="Q639" s="11"/>
    </row>
    <row r="640" spans="3:17" x14ac:dyDescent="0.25">
      <c r="C640" s="39"/>
      <c r="Q640" s="11"/>
    </row>
    <row r="641" spans="3:17" x14ac:dyDescent="0.25">
      <c r="C641" s="39"/>
      <c r="Q641" s="11"/>
    </row>
    <row r="642" spans="3:17" x14ac:dyDescent="0.25">
      <c r="C642" s="39"/>
      <c r="Q642" s="11"/>
    </row>
    <row r="643" spans="3:17" x14ac:dyDescent="0.25">
      <c r="C643" s="39"/>
      <c r="Q643" s="11"/>
    </row>
    <row r="644" spans="3:17" x14ac:dyDescent="0.25">
      <c r="C644" s="39"/>
      <c r="Q644" s="11"/>
    </row>
    <row r="645" spans="3:17" x14ac:dyDescent="0.25">
      <c r="C645" s="39"/>
      <c r="Q645" s="11"/>
    </row>
    <row r="646" spans="3:17" x14ac:dyDescent="0.25">
      <c r="C646" s="39"/>
      <c r="Q646" s="11"/>
    </row>
    <row r="647" spans="3:17" x14ac:dyDescent="0.25">
      <c r="C647" s="39"/>
      <c r="Q647" s="11"/>
    </row>
    <row r="648" spans="3:17" x14ac:dyDescent="0.25">
      <c r="C648" s="39"/>
      <c r="Q648" s="11"/>
    </row>
    <row r="649" spans="3:17" x14ac:dyDescent="0.25">
      <c r="C649" s="39"/>
      <c r="Q649" s="11"/>
    </row>
    <row r="650" spans="3:17" x14ac:dyDescent="0.25">
      <c r="C650" s="39"/>
      <c r="Q650" s="11"/>
    </row>
    <row r="651" spans="3:17" x14ac:dyDescent="0.25">
      <c r="C651" s="39"/>
      <c r="Q651" s="11"/>
    </row>
    <row r="652" spans="3:17" x14ac:dyDescent="0.25">
      <c r="C652" s="39"/>
      <c r="Q652" s="11"/>
    </row>
    <row r="653" spans="3:17" x14ac:dyDescent="0.25">
      <c r="C653" s="39"/>
      <c r="Q653" s="11"/>
    </row>
    <row r="654" spans="3:17" x14ac:dyDescent="0.25">
      <c r="C654" s="39"/>
      <c r="Q654" s="11"/>
    </row>
    <row r="655" spans="3:17" x14ac:dyDescent="0.25">
      <c r="C655" s="39"/>
      <c r="Q655" s="11"/>
    </row>
    <row r="656" spans="3:17" x14ac:dyDescent="0.25">
      <c r="C656" s="39"/>
      <c r="Q656" s="11"/>
    </row>
    <row r="657" spans="3:17" x14ac:dyDescent="0.25">
      <c r="C657" s="39"/>
      <c r="Q657" s="11"/>
    </row>
    <row r="658" spans="3:17" x14ac:dyDescent="0.25">
      <c r="C658" s="39"/>
      <c r="Q658" s="11"/>
    </row>
    <row r="659" spans="3:17" x14ac:dyDescent="0.25">
      <c r="C659" s="39"/>
      <c r="Q659" s="11"/>
    </row>
    <row r="660" spans="3:17" x14ac:dyDescent="0.25">
      <c r="C660" s="39"/>
      <c r="Q660" s="11"/>
    </row>
    <row r="661" spans="3:17" x14ac:dyDescent="0.25">
      <c r="C661" s="39"/>
      <c r="Q661" s="11"/>
    </row>
    <row r="662" spans="3:17" x14ac:dyDescent="0.25">
      <c r="C662" s="39"/>
      <c r="Q662" s="11"/>
    </row>
    <row r="663" spans="3:17" x14ac:dyDescent="0.25">
      <c r="C663" s="39"/>
      <c r="Q663" s="11"/>
    </row>
    <row r="664" spans="3:17" x14ac:dyDescent="0.25">
      <c r="C664" s="39"/>
      <c r="Q664" s="11"/>
    </row>
    <row r="665" spans="3:17" x14ac:dyDescent="0.25">
      <c r="C665" s="39"/>
      <c r="Q665" s="11"/>
    </row>
    <row r="666" spans="3:17" x14ac:dyDescent="0.25">
      <c r="C666" s="39"/>
      <c r="Q666" s="11"/>
    </row>
    <row r="667" spans="3:17" x14ac:dyDescent="0.25">
      <c r="C667" s="39"/>
      <c r="Q667" s="11"/>
    </row>
    <row r="668" spans="3:17" x14ac:dyDescent="0.25">
      <c r="C668" s="39"/>
      <c r="Q668" s="11"/>
    </row>
    <row r="669" spans="3:17" x14ac:dyDescent="0.25">
      <c r="C669" s="39"/>
      <c r="Q669" s="11"/>
    </row>
    <row r="670" spans="3:17" x14ac:dyDescent="0.25">
      <c r="C670" s="39"/>
      <c r="Q670" s="11"/>
    </row>
    <row r="671" spans="3:17" x14ac:dyDescent="0.25">
      <c r="C671" s="39"/>
      <c r="Q671" s="11"/>
    </row>
    <row r="672" spans="3:17" x14ac:dyDescent="0.25">
      <c r="C672" s="39"/>
      <c r="Q672" s="11"/>
    </row>
    <row r="673" spans="3:17" x14ac:dyDescent="0.25">
      <c r="C673" s="39"/>
      <c r="Q673" s="11"/>
    </row>
    <row r="674" spans="3:17" x14ac:dyDescent="0.25">
      <c r="C674" s="39"/>
      <c r="Q674" s="11"/>
    </row>
    <row r="675" spans="3:17" x14ac:dyDescent="0.25">
      <c r="C675" s="39"/>
      <c r="Q675" s="11"/>
    </row>
    <row r="676" spans="3:17" x14ac:dyDescent="0.25">
      <c r="C676" s="39"/>
      <c r="Q676" s="11"/>
    </row>
    <row r="677" spans="3:17" x14ac:dyDescent="0.25">
      <c r="C677" s="39"/>
      <c r="Q677" s="11"/>
    </row>
    <row r="678" spans="3:17" x14ac:dyDescent="0.25">
      <c r="C678" s="39"/>
      <c r="Q678" s="11"/>
    </row>
    <row r="679" spans="3:17" x14ac:dyDescent="0.25">
      <c r="C679" s="39"/>
      <c r="Q679" s="11"/>
    </row>
    <row r="680" spans="3:17" x14ac:dyDescent="0.25">
      <c r="C680" s="39"/>
      <c r="Q680" s="11"/>
    </row>
    <row r="681" spans="3:17" x14ac:dyDescent="0.25">
      <c r="C681" s="39"/>
      <c r="Q681" s="11"/>
    </row>
    <row r="682" spans="3:17" x14ac:dyDescent="0.25">
      <c r="C682" s="39"/>
      <c r="Q682" s="11"/>
    </row>
    <row r="683" spans="3:17" x14ac:dyDescent="0.25">
      <c r="C683" s="39"/>
      <c r="Q683" s="11"/>
    </row>
    <row r="684" spans="3:17" x14ac:dyDescent="0.25">
      <c r="C684" s="39"/>
      <c r="Q684" s="11"/>
    </row>
    <row r="685" spans="3:17" x14ac:dyDescent="0.25">
      <c r="C685" s="39"/>
      <c r="Q685" s="11"/>
    </row>
    <row r="686" spans="3:17" x14ac:dyDescent="0.25">
      <c r="C686" s="39"/>
      <c r="Q686" s="11"/>
    </row>
    <row r="687" spans="3:17" x14ac:dyDescent="0.25">
      <c r="C687" s="39"/>
      <c r="Q687" s="11"/>
    </row>
    <row r="688" spans="3:17" x14ac:dyDescent="0.25">
      <c r="C688" s="39"/>
      <c r="Q688" s="11"/>
    </row>
    <row r="689" spans="3:17" x14ac:dyDescent="0.25">
      <c r="C689" s="39"/>
      <c r="Q689" s="11"/>
    </row>
    <row r="690" spans="3:17" x14ac:dyDescent="0.25">
      <c r="C690" s="38"/>
      <c r="Q690" s="11"/>
    </row>
    <row r="691" spans="3:17" x14ac:dyDescent="0.25">
      <c r="C691" s="38"/>
      <c r="Q691" s="11"/>
    </row>
    <row r="692" spans="3:17" x14ac:dyDescent="0.25">
      <c r="C692" s="38"/>
      <c r="Q692" s="11"/>
    </row>
    <row r="693" spans="3:17" x14ac:dyDescent="0.25">
      <c r="C693" s="38"/>
      <c r="Q693" s="11"/>
    </row>
    <row r="694" spans="3:17" x14ac:dyDescent="0.25">
      <c r="C694" s="38"/>
      <c r="Q694" s="11"/>
    </row>
    <row r="695" spans="3:17" x14ac:dyDescent="0.25">
      <c r="C695" s="38"/>
      <c r="Q695" s="11"/>
    </row>
    <row r="696" spans="3:17" x14ac:dyDescent="0.25">
      <c r="C696" s="38"/>
      <c r="Q696" s="11"/>
    </row>
    <row r="697" spans="3:17" x14ac:dyDescent="0.25">
      <c r="C697" s="38"/>
      <c r="Q697" s="11"/>
    </row>
    <row r="698" spans="3:17" x14ac:dyDescent="0.25">
      <c r="C698" s="38"/>
      <c r="Q698" s="11"/>
    </row>
    <row r="699" spans="3:17" x14ac:dyDescent="0.25">
      <c r="C699" s="38"/>
      <c r="Q699" s="11"/>
    </row>
    <row r="700" spans="3:17" x14ac:dyDescent="0.25">
      <c r="C700" s="38"/>
      <c r="Q700" s="11"/>
    </row>
    <row r="701" spans="3:17" x14ac:dyDescent="0.25">
      <c r="C701" s="38"/>
      <c r="Q701" s="11"/>
    </row>
    <row r="702" spans="3:17" x14ac:dyDescent="0.25">
      <c r="C702" s="38"/>
      <c r="Q702" s="11"/>
    </row>
    <row r="703" spans="3:17" x14ac:dyDescent="0.25">
      <c r="C703" s="38"/>
      <c r="Q703" s="11"/>
    </row>
    <row r="704" spans="3:17" x14ac:dyDescent="0.25">
      <c r="C704" s="38"/>
      <c r="Q704" s="11"/>
    </row>
    <row r="705" spans="3:17" x14ac:dyDescent="0.25">
      <c r="C705" s="38"/>
      <c r="Q705" s="11"/>
    </row>
    <row r="706" spans="3:17" x14ac:dyDescent="0.25">
      <c r="C706" s="38"/>
    </row>
    <row r="707" spans="3:17" x14ac:dyDescent="0.25">
      <c r="C707" s="38"/>
      <c r="N707"/>
    </row>
    <row r="708" spans="3:17" x14ac:dyDescent="0.25">
      <c r="C708" s="38"/>
      <c r="N708"/>
    </row>
    <row r="709" spans="3:17" x14ac:dyDescent="0.25">
      <c r="C709" s="38"/>
      <c r="N709"/>
    </row>
    <row r="710" spans="3:17" x14ac:dyDescent="0.25">
      <c r="C710" s="38"/>
      <c r="N710"/>
    </row>
    <row r="711" spans="3:17" x14ac:dyDescent="0.25">
      <c r="C711" s="38"/>
      <c r="N711"/>
    </row>
    <row r="712" spans="3:17" x14ac:dyDescent="0.25">
      <c r="C712" s="38"/>
      <c r="N712"/>
    </row>
    <row r="713" spans="3:17" x14ac:dyDescent="0.25">
      <c r="C713" s="38"/>
      <c r="N713"/>
    </row>
    <row r="714" spans="3:17" x14ac:dyDescent="0.25">
      <c r="C714" s="38"/>
      <c r="N714"/>
    </row>
    <row r="715" spans="3:17" x14ac:dyDescent="0.25">
      <c r="C715" s="38"/>
      <c r="N715"/>
    </row>
    <row r="716" spans="3:17" x14ac:dyDescent="0.25">
      <c r="C716" s="38"/>
      <c r="N716"/>
    </row>
    <row r="717" spans="3:17" x14ac:dyDescent="0.25">
      <c r="C717" s="38"/>
      <c r="N717"/>
    </row>
    <row r="718" spans="3:17" x14ac:dyDescent="0.25">
      <c r="C718" s="38"/>
      <c r="N718"/>
    </row>
    <row r="719" spans="3:17" x14ac:dyDescent="0.25">
      <c r="C719" s="38"/>
      <c r="N719"/>
    </row>
    <row r="720" spans="3:17" x14ac:dyDescent="0.25">
      <c r="C720" s="38"/>
      <c r="N720"/>
    </row>
    <row r="721" spans="3:14" x14ac:dyDescent="0.25">
      <c r="C721" s="38"/>
      <c r="N721"/>
    </row>
    <row r="722" spans="3:14" x14ac:dyDescent="0.25">
      <c r="C722" s="38"/>
      <c r="N722"/>
    </row>
    <row r="723" spans="3:14" x14ac:dyDescent="0.25">
      <c r="C723" s="38"/>
      <c r="N723"/>
    </row>
    <row r="724" spans="3:14" x14ac:dyDescent="0.25">
      <c r="C724" s="38"/>
      <c r="N724"/>
    </row>
    <row r="725" spans="3:14" x14ac:dyDescent="0.25">
      <c r="C725" s="38"/>
      <c r="N725"/>
    </row>
    <row r="726" spans="3:14" x14ac:dyDescent="0.25">
      <c r="C726" s="38"/>
      <c r="N726"/>
    </row>
    <row r="727" spans="3:14" x14ac:dyDescent="0.25">
      <c r="C727" s="38"/>
      <c r="N727"/>
    </row>
    <row r="728" spans="3:14" x14ac:dyDescent="0.25">
      <c r="C728" s="38"/>
      <c r="N728"/>
    </row>
    <row r="729" spans="3:14" x14ac:dyDescent="0.25">
      <c r="C729" s="38"/>
      <c r="N729"/>
    </row>
    <row r="730" spans="3:14" x14ac:dyDescent="0.25">
      <c r="C730" s="38"/>
      <c r="N730"/>
    </row>
    <row r="731" spans="3:14" x14ac:dyDescent="0.25">
      <c r="C731" s="38"/>
      <c r="N731"/>
    </row>
    <row r="732" spans="3:14" x14ac:dyDescent="0.25">
      <c r="C732" s="38"/>
      <c r="N732"/>
    </row>
    <row r="733" spans="3:14" x14ac:dyDescent="0.25">
      <c r="C733" s="38"/>
      <c r="N733"/>
    </row>
    <row r="734" spans="3:14" x14ac:dyDescent="0.25">
      <c r="C734" s="38"/>
      <c r="N734"/>
    </row>
    <row r="735" spans="3:14" x14ac:dyDescent="0.25">
      <c r="C735" s="38"/>
      <c r="N735"/>
    </row>
    <row r="736" spans="3:14" x14ac:dyDescent="0.25">
      <c r="C736" s="38"/>
      <c r="N736"/>
    </row>
    <row r="737" spans="3:14" x14ac:dyDescent="0.25">
      <c r="C737" s="38"/>
      <c r="N737"/>
    </row>
    <row r="738" spans="3:14" x14ac:dyDescent="0.25">
      <c r="C738" s="38"/>
      <c r="N738"/>
    </row>
    <row r="739" spans="3:14" x14ac:dyDescent="0.25">
      <c r="C739" s="38"/>
      <c r="N739"/>
    </row>
    <row r="740" spans="3:14" x14ac:dyDescent="0.25">
      <c r="C740" s="38"/>
      <c r="N740"/>
    </row>
    <row r="741" spans="3:14" x14ac:dyDescent="0.25">
      <c r="C741" s="38"/>
      <c r="N741"/>
    </row>
    <row r="742" spans="3:14" x14ac:dyDescent="0.25">
      <c r="C742" s="38"/>
      <c r="N742"/>
    </row>
    <row r="743" spans="3:14" x14ac:dyDescent="0.25">
      <c r="C743" s="38"/>
      <c r="N743"/>
    </row>
    <row r="744" spans="3:14" x14ac:dyDescent="0.25">
      <c r="C744" s="38"/>
      <c r="N744"/>
    </row>
    <row r="745" spans="3:14" x14ac:dyDescent="0.25">
      <c r="C745" s="38"/>
      <c r="N745"/>
    </row>
    <row r="746" spans="3:14" x14ac:dyDescent="0.25">
      <c r="C746" s="38"/>
      <c r="N746"/>
    </row>
    <row r="747" spans="3:14" x14ac:dyDescent="0.25">
      <c r="C747" s="38"/>
      <c r="N747"/>
    </row>
    <row r="748" spans="3:14" x14ac:dyDescent="0.25">
      <c r="C748" s="38"/>
      <c r="N748"/>
    </row>
    <row r="749" spans="3:14" x14ac:dyDescent="0.25">
      <c r="C749" s="38"/>
      <c r="N749"/>
    </row>
    <row r="750" spans="3:14" x14ac:dyDescent="0.25">
      <c r="C750" s="38"/>
      <c r="N750"/>
    </row>
    <row r="751" spans="3:14" x14ac:dyDescent="0.25">
      <c r="C751" s="38"/>
      <c r="N751"/>
    </row>
    <row r="752" spans="3:14" x14ac:dyDescent="0.25">
      <c r="C752" s="38"/>
      <c r="N752"/>
    </row>
    <row r="753" spans="3:14" x14ac:dyDescent="0.25">
      <c r="C753" s="38"/>
      <c r="N753"/>
    </row>
    <row r="754" spans="3:14" x14ac:dyDescent="0.25">
      <c r="C754" s="38"/>
      <c r="N754"/>
    </row>
    <row r="755" spans="3:14" x14ac:dyDescent="0.25">
      <c r="C755" s="38"/>
      <c r="N755"/>
    </row>
    <row r="756" spans="3:14" x14ac:dyDescent="0.25">
      <c r="C756" s="38"/>
      <c r="N756"/>
    </row>
    <row r="757" spans="3:14" x14ac:dyDescent="0.25">
      <c r="C757" s="38"/>
      <c r="N757"/>
    </row>
    <row r="758" spans="3:14" x14ac:dyDescent="0.25">
      <c r="C758" s="38"/>
      <c r="N758"/>
    </row>
    <row r="759" spans="3:14" x14ac:dyDescent="0.25">
      <c r="C759" s="38"/>
      <c r="N759"/>
    </row>
    <row r="760" spans="3:14" x14ac:dyDescent="0.25">
      <c r="C760" s="38"/>
      <c r="N760"/>
    </row>
    <row r="761" spans="3:14" x14ac:dyDescent="0.25">
      <c r="C761" s="38"/>
      <c r="N761"/>
    </row>
    <row r="762" spans="3:14" x14ac:dyDescent="0.25">
      <c r="C762" s="38"/>
      <c r="N762"/>
    </row>
    <row r="763" spans="3:14" x14ac:dyDescent="0.25">
      <c r="C763" s="38"/>
      <c r="N763"/>
    </row>
    <row r="764" spans="3:14" x14ac:dyDescent="0.25">
      <c r="C764" s="38"/>
      <c r="N764"/>
    </row>
    <row r="765" spans="3:14" x14ac:dyDescent="0.25">
      <c r="C765" s="38"/>
      <c r="N765"/>
    </row>
    <row r="766" spans="3:14" x14ac:dyDescent="0.25">
      <c r="C766" s="38"/>
      <c r="N766"/>
    </row>
    <row r="767" spans="3:14" x14ac:dyDescent="0.25">
      <c r="C767" s="38"/>
      <c r="N767"/>
    </row>
    <row r="768" spans="3:14" x14ac:dyDescent="0.25">
      <c r="C768" s="38"/>
      <c r="N768"/>
    </row>
    <row r="769" spans="3:14" x14ac:dyDescent="0.25">
      <c r="C769" s="38"/>
      <c r="N769"/>
    </row>
    <row r="770" spans="3:14" x14ac:dyDescent="0.25">
      <c r="C770" s="38"/>
      <c r="N770"/>
    </row>
    <row r="771" spans="3:14" x14ac:dyDescent="0.25">
      <c r="C771" s="38"/>
      <c r="N771"/>
    </row>
    <row r="772" spans="3:14" x14ac:dyDescent="0.25">
      <c r="C772" s="38"/>
      <c r="N772"/>
    </row>
    <row r="773" spans="3:14" x14ac:dyDescent="0.25">
      <c r="C773" s="38"/>
      <c r="N773"/>
    </row>
    <row r="774" spans="3:14" x14ac:dyDescent="0.25">
      <c r="C774" s="38"/>
      <c r="N774"/>
    </row>
    <row r="775" spans="3:14" x14ac:dyDescent="0.25">
      <c r="C775" s="38"/>
      <c r="N775"/>
    </row>
    <row r="776" spans="3:14" x14ac:dyDescent="0.25">
      <c r="C776" s="38"/>
      <c r="N776"/>
    </row>
    <row r="777" spans="3:14" x14ac:dyDescent="0.25">
      <c r="C777" s="38"/>
      <c r="N777"/>
    </row>
    <row r="778" spans="3:14" x14ac:dyDescent="0.25">
      <c r="C778" s="38"/>
      <c r="N778"/>
    </row>
    <row r="779" spans="3:14" x14ac:dyDescent="0.25">
      <c r="C779" s="38"/>
      <c r="N779"/>
    </row>
    <row r="780" spans="3:14" x14ac:dyDescent="0.25">
      <c r="C780" s="38"/>
      <c r="N780"/>
    </row>
    <row r="781" spans="3:14" x14ac:dyDescent="0.25">
      <c r="C781" s="38"/>
      <c r="N781"/>
    </row>
    <row r="782" spans="3:14" x14ac:dyDescent="0.25">
      <c r="C782" s="38"/>
      <c r="N782"/>
    </row>
    <row r="783" spans="3:14" x14ac:dyDescent="0.25">
      <c r="C783" s="38"/>
      <c r="N783"/>
    </row>
    <row r="784" spans="3:14" x14ac:dyDescent="0.25">
      <c r="C784" s="38"/>
      <c r="N784"/>
    </row>
    <row r="785" spans="3:14" x14ac:dyDescent="0.25">
      <c r="C785" s="38"/>
      <c r="N785"/>
    </row>
    <row r="786" spans="3:14" x14ac:dyDescent="0.25">
      <c r="C786" s="38"/>
      <c r="N786"/>
    </row>
    <row r="787" spans="3:14" x14ac:dyDescent="0.25">
      <c r="C787" s="38"/>
      <c r="N787"/>
    </row>
    <row r="788" spans="3:14" x14ac:dyDescent="0.25">
      <c r="C788" s="38"/>
      <c r="N788"/>
    </row>
    <row r="789" spans="3:14" x14ac:dyDescent="0.25">
      <c r="C789" s="38"/>
      <c r="N789"/>
    </row>
    <row r="790" spans="3:14" x14ac:dyDescent="0.25">
      <c r="C790" s="38"/>
      <c r="N790"/>
    </row>
    <row r="791" spans="3:14" x14ac:dyDescent="0.25">
      <c r="C791" s="38"/>
      <c r="N791"/>
    </row>
    <row r="792" spans="3:14" x14ac:dyDescent="0.25">
      <c r="C792" s="38"/>
      <c r="N792"/>
    </row>
    <row r="793" spans="3:14" x14ac:dyDescent="0.25">
      <c r="C793" s="38"/>
      <c r="N793"/>
    </row>
    <row r="794" spans="3:14" x14ac:dyDescent="0.25">
      <c r="C794" s="38"/>
      <c r="N794"/>
    </row>
    <row r="795" spans="3:14" x14ac:dyDescent="0.25">
      <c r="C795" s="38"/>
      <c r="N795"/>
    </row>
    <row r="796" spans="3:14" x14ac:dyDescent="0.25">
      <c r="C796" s="38"/>
      <c r="N796"/>
    </row>
    <row r="797" spans="3:14" x14ac:dyDescent="0.25">
      <c r="C797" s="38"/>
      <c r="N797"/>
    </row>
    <row r="798" spans="3:14" x14ac:dyDescent="0.25">
      <c r="C798" s="38"/>
      <c r="N798"/>
    </row>
    <row r="799" spans="3:14" x14ac:dyDescent="0.25">
      <c r="C799" s="38"/>
      <c r="N799"/>
    </row>
    <row r="800" spans="3:14" x14ac:dyDescent="0.25">
      <c r="C800" s="38"/>
      <c r="N800"/>
    </row>
    <row r="801" spans="3:14" x14ac:dyDescent="0.25">
      <c r="C801" s="38"/>
      <c r="N801"/>
    </row>
    <row r="802" spans="3:14" x14ac:dyDescent="0.25">
      <c r="C802" s="38"/>
      <c r="N802"/>
    </row>
    <row r="803" spans="3:14" x14ac:dyDescent="0.25">
      <c r="C803" s="38"/>
      <c r="N803"/>
    </row>
    <row r="804" spans="3:14" x14ac:dyDescent="0.25">
      <c r="C804" s="38"/>
      <c r="N804"/>
    </row>
    <row r="805" spans="3:14" x14ac:dyDescent="0.25">
      <c r="C805" s="38"/>
      <c r="N805"/>
    </row>
    <row r="806" spans="3:14" x14ac:dyDescent="0.25">
      <c r="C806" s="38"/>
      <c r="N806"/>
    </row>
    <row r="807" spans="3:14" x14ac:dyDescent="0.25">
      <c r="C807" s="38"/>
      <c r="N807"/>
    </row>
    <row r="808" spans="3:14" x14ac:dyDescent="0.25">
      <c r="C808" s="38"/>
      <c r="N808"/>
    </row>
    <row r="809" spans="3:14" x14ac:dyDescent="0.25">
      <c r="C809" s="38"/>
      <c r="N809"/>
    </row>
    <row r="810" spans="3:14" x14ac:dyDescent="0.25">
      <c r="C810" s="38"/>
      <c r="N810"/>
    </row>
    <row r="811" spans="3:14" x14ac:dyDescent="0.25">
      <c r="C811" s="38"/>
      <c r="N811"/>
    </row>
    <row r="812" spans="3:14" x14ac:dyDescent="0.25">
      <c r="C812" s="38"/>
      <c r="N812"/>
    </row>
    <row r="813" spans="3:14" x14ac:dyDescent="0.25">
      <c r="C813" s="38"/>
      <c r="N813"/>
    </row>
    <row r="814" spans="3:14" x14ac:dyDescent="0.25">
      <c r="C814" s="38"/>
      <c r="N814"/>
    </row>
    <row r="815" spans="3:14" x14ac:dyDescent="0.25">
      <c r="C815" s="38"/>
      <c r="N815"/>
    </row>
    <row r="816" spans="3:14" x14ac:dyDescent="0.25">
      <c r="C816" s="38"/>
      <c r="N816"/>
    </row>
    <row r="817" spans="3:14" x14ac:dyDescent="0.25">
      <c r="C817" s="38"/>
      <c r="N817"/>
    </row>
    <row r="818" spans="3:14" x14ac:dyDescent="0.25">
      <c r="C818" s="38"/>
      <c r="N818"/>
    </row>
    <row r="819" spans="3:14" x14ac:dyDescent="0.25">
      <c r="C819" s="38"/>
      <c r="N819"/>
    </row>
    <row r="820" spans="3:14" x14ac:dyDescent="0.25">
      <c r="C820" s="38"/>
      <c r="N820"/>
    </row>
    <row r="821" spans="3:14" x14ac:dyDescent="0.25">
      <c r="C821" s="38"/>
      <c r="N821"/>
    </row>
    <row r="822" spans="3:14" x14ac:dyDescent="0.25">
      <c r="C822" s="38"/>
      <c r="N822"/>
    </row>
    <row r="823" spans="3:14" x14ac:dyDescent="0.25">
      <c r="C823" s="38"/>
      <c r="N823"/>
    </row>
    <row r="824" spans="3:14" x14ac:dyDescent="0.25">
      <c r="C824" s="38"/>
      <c r="N824"/>
    </row>
    <row r="825" spans="3:14" x14ac:dyDescent="0.25">
      <c r="C825" s="38"/>
      <c r="N825"/>
    </row>
    <row r="826" spans="3:14" x14ac:dyDescent="0.25">
      <c r="C826" s="38"/>
      <c r="N826"/>
    </row>
    <row r="827" spans="3:14" x14ac:dyDescent="0.25">
      <c r="C827" s="38"/>
      <c r="N827"/>
    </row>
    <row r="828" spans="3:14" x14ac:dyDescent="0.25">
      <c r="C828" s="38"/>
      <c r="N828"/>
    </row>
    <row r="829" spans="3:14" x14ac:dyDescent="0.25">
      <c r="C829" s="38"/>
      <c r="N829"/>
    </row>
    <row r="830" spans="3:14" x14ac:dyDescent="0.25">
      <c r="C830" s="38"/>
      <c r="N830"/>
    </row>
    <row r="831" spans="3:14" x14ac:dyDescent="0.25">
      <c r="C831" s="38"/>
      <c r="N831"/>
    </row>
    <row r="832" spans="3:14" x14ac:dyDescent="0.25">
      <c r="C832" s="38"/>
      <c r="N832"/>
    </row>
    <row r="833" spans="3:14" x14ac:dyDescent="0.25">
      <c r="C833" s="38"/>
      <c r="N833"/>
    </row>
    <row r="834" spans="3:14" x14ac:dyDescent="0.25">
      <c r="C834" s="38"/>
      <c r="N834"/>
    </row>
    <row r="835" spans="3:14" x14ac:dyDescent="0.25">
      <c r="C835" s="38"/>
      <c r="N835"/>
    </row>
    <row r="836" spans="3:14" x14ac:dyDescent="0.25">
      <c r="C836" s="38"/>
      <c r="N836"/>
    </row>
    <row r="837" spans="3:14" x14ac:dyDescent="0.25">
      <c r="C837" s="38"/>
      <c r="N837"/>
    </row>
    <row r="838" spans="3:14" x14ac:dyDescent="0.25">
      <c r="C838" s="38"/>
      <c r="N838"/>
    </row>
    <row r="839" spans="3:14" x14ac:dyDescent="0.25">
      <c r="C839" s="38"/>
      <c r="N839"/>
    </row>
    <row r="840" spans="3:14" x14ac:dyDescent="0.25">
      <c r="C840" s="38"/>
      <c r="N840"/>
    </row>
    <row r="841" spans="3:14" x14ac:dyDescent="0.25">
      <c r="C841" s="38"/>
      <c r="N841"/>
    </row>
    <row r="842" spans="3:14" x14ac:dyDescent="0.25">
      <c r="C842" s="38"/>
      <c r="N842"/>
    </row>
    <row r="843" spans="3:14" x14ac:dyDescent="0.25">
      <c r="C843" s="38"/>
      <c r="N843"/>
    </row>
    <row r="844" spans="3:14" x14ac:dyDescent="0.25">
      <c r="C844" s="38"/>
      <c r="N844"/>
    </row>
    <row r="845" spans="3:14" x14ac:dyDescent="0.25">
      <c r="C845" s="38"/>
      <c r="N845"/>
    </row>
    <row r="846" spans="3:14" x14ac:dyDescent="0.25">
      <c r="C846" s="38"/>
      <c r="N846"/>
    </row>
    <row r="847" spans="3:14" x14ac:dyDescent="0.25">
      <c r="C847" s="38"/>
      <c r="N847"/>
    </row>
    <row r="848" spans="3:14" x14ac:dyDescent="0.25">
      <c r="C848" s="38"/>
      <c r="N848"/>
    </row>
    <row r="849" spans="3:14" x14ac:dyDescent="0.25">
      <c r="C849" s="38"/>
      <c r="N849"/>
    </row>
    <row r="850" spans="3:14" x14ac:dyDescent="0.25">
      <c r="C850" s="38"/>
      <c r="N850"/>
    </row>
    <row r="851" spans="3:14" x14ac:dyDescent="0.25">
      <c r="C851" s="38"/>
      <c r="N851"/>
    </row>
    <row r="852" spans="3:14" x14ac:dyDescent="0.25">
      <c r="C852" s="38"/>
      <c r="N852"/>
    </row>
    <row r="853" spans="3:14" x14ac:dyDescent="0.25">
      <c r="C853" s="38"/>
      <c r="N853"/>
    </row>
    <row r="854" spans="3:14" x14ac:dyDescent="0.25">
      <c r="C854" s="38"/>
      <c r="N854"/>
    </row>
    <row r="855" spans="3:14" x14ac:dyDescent="0.25">
      <c r="C855" s="38"/>
      <c r="N855"/>
    </row>
    <row r="856" spans="3:14" x14ac:dyDescent="0.25">
      <c r="C856" s="38"/>
      <c r="N856"/>
    </row>
    <row r="857" spans="3:14" x14ac:dyDescent="0.25">
      <c r="C857" s="38"/>
      <c r="N857"/>
    </row>
    <row r="858" spans="3:14" x14ac:dyDescent="0.25">
      <c r="C858" s="38"/>
      <c r="N858"/>
    </row>
    <row r="859" spans="3:14" x14ac:dyDescent="0.25">
      <c r="C859" s="38"/>
      <c r="N859"/>
    </row>
    <row r="860" spans="3:14" x14ac:dyDescent="0.25">
      <c r="C860" s="38"/>
      <c r="N860"/>
    </row>
    <row r="861" spans="3:14" x14ac:dyDescent="0.25">
      <c r="C861" s="38"/>
      <c r="N861"/>
    </row>
    <row r="862" spans="3:14" x14ac:dyDescent="0.25">
      <c r="C862" s="38"/>
      <c r="N862"/>
    </row>
    <row r="863" spans="3:14" x14ac:dyDescent="0.25">
      <c r="C863" s="38"/>
      <c r="N863"/>
    </row>
    <row r="864" spans="3:14" x14ac:dyDescent="0.25">
      <c r="C864" s="38"/>
      <c r="N864"/>
    </row>
    <row r="865" spans="3:14" x14ac:dyDescent="0.25">
      <c r="C865" s="38"/>
      <c r="N865"/>
    </row>
    <row r="866" spans="3:14" x14ac:dyDescent="0.25">
      <c r="C866" s="38"/>
      <c r="N866"/>
    </row>
    <row r="867" spans="3:14" x14ac:dyDescent="0.25">
      <c r="C867" s="38"/>
      <c r="N867"/>
    </row>
    <row r="868" spans="3:14" x14ac:dyDescent="0.25">
      <c r="C868" s="38"/>
      <c r="N868"/>
    </row>
    <row r="869" spans="3:14" x14ac:dyDescent="0.25">
      <c r="C869" s="38"/>
      <c r="N869"/>
    </row>
    <row r="870" spans="3:14" x14ac:dyDescent="0.25">
      <c r="C870" s="38"/>
      <c r="N870"/>
    </row>
    <row r="871" spans="3:14" x14ac:dyDescent="0.25">
      <c r="C871" s="38"/>
      <c r="N871"/>
    </row>
    <row r="872" spans="3:14" x14ac:dyDescent="0.25">
      <c r="C872" s="38"/>
      <c r="N872"/>
    </row>
    <row r="873" spans="3:14" x14ac:dyDescent="0.25">
      <c r="C873" s="38"/>
      <c r="N873"/>
    </row>
    <row r="874" spans="3:14" x14ac:dyDescent="0.25">
      <c r="C874" s="38"/>
      <c r="N874"/>
    </row>
    <row r="875" spans="3:14" x14ac:dyDescent="0.25">
      <c r="C875" s="38"/>
      <c r="N875"/>
    </row>
    <row r="876" spans="3:14" x14ac:dyDescent="0.25">
      <c r="C876" s="38"/>
      <c r="N876"/>
    </row>
    <row r="877" spans="3:14" x14ac:dyDescent="0.25">
      <c r="C877" s="38"/>
      <c r="N877"/>
    </row>
    <row r="878" spans="3:14" x14ac:dyDescent="0.25">
      <c r="C878" s="38"/>
      <c r="N878"/>
    </row>
    <row r="879" spans="3:14" x14ac:dyDescent="0.25">
      <c r="C879" s="38"/>
      <c r="N879"/>
    </row>
    <row r="880" spans="3:14" x14ac:dyDescent="0.25">
      <c r="C880" s="38"/>
      <c r="N880"/>
    </row>
    <row r="881" spans="3:14" x14ac:dyDescent="0.25">
      <c r="C881" s="38"/>
      <c r="N881"/>
    </row>
    <row r="882" spans="3:14" x14ac:dyDescent="0.25">
      <c r="C882" s="38"/>
      <c r="N882"/>
    </row>
    <row r="883" spans="3:14" x14ac:dyDescent="0.25">
      <c r="C883" s="38"/>
      <c r="N883"/>
    </row>
    <row r="884" spans="3:14" x14ac:dyDescent="0.25">
      <c r="C884" s="38"/>
      <c r="N884"/>
    </row>
    <row r="885" spans="3:14" x14ac:dyDescent="0.25">
      <c r="C885" s="38"/>
      <c r="N885"/>
    </row>
    <row r="886" spans="3:14" x14ac:dyDescent="0.25">
      <c r="C886" s="38"/>
      <c r="N886"/>
    </row>
    <row r="887" spans="3:14" x14ac:dyDescent="0.25">
      <c r="C887" s="38"/>
      <c r="N887"/>
    </row>
    <row r="888" spans="3:14" x14ac:dyDescent="0.25">
      <c r="C888" s="38"/>
      <c r="N888"/>
    </row>
    <row r="889" spans="3:14" x14ac:dyDescent="0.25">
      <c r="C889" s="38"/>
      <c r="N889"/>
    </row>
    <row r="890" spans="3:14" x14ac:dyDescent="0.25">
      <c r="C890" s="38"/>
      <c r="N890"/>
    </row>
    <row r="891" spans="3:14" x14ac:dyDescent="0.25">
      <c r="C891" s="38"/>
      <c r="N891"/>
    </row>
    <row r="892" spans="3:14" x14ac:dyDescent="0.25">
      <c r="C892" s="38"/>
      <c r="N892"/>
    </row>
    <row r="893" spans="3:14" x14ac:dyDescent="0.25">
      <c r="C893" s="38"/>
      <c r="N893"/>
    </row>
    <row r="894" spans="3:14" x14ac:dyDescent="0.25">
      <c r="C894" s="38"/>
      <c r="N894"/>
    </row>
    <row r="895" spans="3:14" x14ac:dyDescent="0.25">
      <c r="C895" s="38"/>
      <c r="N895"/>
    </row>
    <row r="896" spans="3:14" x14ac:dyDescent="0.25">
      <c r="C896" s="38"/>
      <c r="N896"/>
    </row>
    <row r="897" spans="3:14" x14ac:dyDescent="0.25">
      <c r="C897" s="38"/>
      <c r="N897"/>
    </row>
    <row r="898" spans="3:14" x14ac:dyDescent="0.25">
      <c r="C898" s="38"/>
      <c r="N898"/>
    </row>
    <row r="899" spans="3:14" x14ac:dyDescent="0.25">
      <c r="C899" s="38"/>
      <c r="N899"/>
    </row>
    <row r="900" spans="3:14" x14ac:dyDescent="0.25">
      <c r="C900" s="38"/>
      <c r="N900"/>
    </row>
    <row r="901" spans="3:14" x14ac:dyDescent="0.25">
      <c r="C901" s="38"/>
      <c r="N901"/>
    </row>
    <row r="902" spans="3:14" x14ac:dyDescent="0.25">
      <c r="C902" s="38"/>
      <c r="N902"/>
    </row>
    <row r="903" spans="3:14" x14ac:dyDescent="0.25">
      <c r="C903" s="38"/>
      <c r="N903"/>
    </row>
    <row r="904" spans="3:14" x14ac:dyDescent="0.25">
      <c r="C904" s="38"/>
      <c r="N904"/>
    </row>
    <row r="905" spans="3:14" x14ac:dyDescent="0.25">
      <c r="C905" s="38"/>
      <c r="N905"/>
    </row>
    <row r="906" spans="3:14" x14ac:dyDescent="0.25">
      <c r="C906" s="38"/>
      <c r="N906"/>
    </row>
    <row r="907" spans="3:14" x14ac:dyDescent="0.25">
      <c r="C907" s="38"/>
      <c r="N907"/>
    </row>
    <row r="908" spans="3:14" x14ac:dyDescent="0.25">
      <c r="C908" s="38"/>
      <c r="N908"/>
    </row>
    <row r="909" spans="3:14" x14ac:dyDescent="0.25">
      <c r="C909" s="38"/>
      <c r="N909"/>
    </row>
    <row r="910" spans="3:14" x14ac:dyDescent="0.25">
      <c r="C910" s="38"/>
      <c r="N910"/>
    </row>
    <row r="911" spans="3:14" x14ac:dyDescent="0.25">
      <c r="C911" s="38"/>
      <c r="N911"/>
    </row>
    <row r="912" spans="3:14" x14ac:dyDescent="0.25">
      <c r="C912" s="38"/>
      <c r="N912"/>
    </row>
    <row r="913" spans="3:14" x14ac:dyDescent="0.25">
      <c r="C913" s="38"/>
      <c r="N913"/>
    </row>
    <row r="914" spans="3:14" x14ac:dyDescent="0.25">
      <c r="C914" s="38"/>
      <c r="N914"/>
    </row>
    <row r="915" spans="3:14" x14ac:dyDescent="0.25">
      <c r="C915" s="38"/>
      <c r="N915"/>
    </row>
    <row r="916" spans="3:14" x14ac:dyDescent="0.25">
      <c r="C916" s="38"/>
      <c r="N916"/>
    </row>
    <row r="917" spans="3:14" x14ac:dyDescent="0.25">
      <c r="C917" s="38"/>
      <c r="N917"/>
    </row>
    <row r="918" spans="3:14" x14ac:dyDescent="0.25">
      <c r="C918" s="38"/>
      <c r="N918"/>
    </row>
    <row r="919" spans="3:14" x14ac:dyDescent="0.25">
      <c r="C919" s="38"/>
      <c r="N919"/>
    </row>
    <row r="920" spans="3:14" x14ac:dyDescent="0.25">
      <c r="C920" s="38"/>
      <c r="N920"/>
    </row>
    <row r="921" spans="3:14" x14ac:dyDescent="0.25">
      <c r="C921" s="38"/>
      <c r="N921"/>
    </row>
    <row r="922" spans="3:14" x14ac:dyDescent="0.25">
      <c r="C922" s="38"/>
      <c r="N922"/>
    </row>
    <row r="923" spans="3:14" x14ac:dyDescent="0.25">
      <c r="C923" s="38"/>
      <c r="N923"/>
    </row>
    <row r="924" spans="3:14" x14ac:dyDescent="0.25">
      <c r="C924" s="38"/>
      <c r="N924"/>
    </row>
    <row r="925" spans="3:14" x14ac:dyDescent="0.25">
      <c r="C925" s="38"/>
      <c r="N925"/>
    </row>
    <row r="926" spans="3:14" x14ac:dyDescent="0.25">
      <c r="C926" s="38"/>
      <c r="N926"/>
    </row>
    <row r="927" spans="3:14" x14ac:dyDescent="0.25">
      <c r="C927" s="38"/>
      <c r="N927"/>
    </row>
    <row r="928" spans="3:14" x14ac:dyDescent="0.25">
      <c r="C928" s="38"/>
      <c r="N928"/>
    </row>
    <row r="929" spans="3:14" x14ac:dyDescent="0.25">
      <c r="C929" s="38"/>
      <c r="N929"/>
    </row>
    <row r="930" spans="3:14" x14ac:dyDescent="0.25">
      <c r="C930" s="38"/>
      <c r="N930"/>
    </row>
    <row r="931" spans="3:14" x14ac:dyDescent="0.25">
      <c r="C931" s="38"/>
      <c r="N931"/>
    </row>
    <row r="932" spans="3:14" x14ac:dyDescent="0.25">
      <c r="C932" s="38"/>
      <c r="N932"/>
    </row>
    <row r="933" spans="3:14" x14ac:dyDescent="0.25">
      <c r="C933" s="38"/>
      <c r="N933"/>
    </row>
    <row r="934" spans="3:14" x14ac:dyDescent="0.25">
      <c r="C934" s="38"/>
      <c r="N934"/>
    </row>
    <row r="935" spans="3:14" x14ac:dyDescent="0.25">
      <c r="C935" s="38"/>
      <c r="N935"/>
    </row>
    <row r="936" spans="3:14" x14ac:dyDescent="0.25">
      <c r="C936" s="38"/>
      <c r="N936"/>
    </row>
    <row r="937" spans="3:14" x14ac:dyDescent="0.25">
      <c r="C937" s="38"/>
      <c r="N937"/>
    </row>
    <row r="938" spans="3:14" x14ac:dyDescent="0.25">
      <c r="C938" s="38"/>
      <c r="N938"/>
    </row>
    <row r="939" spans="3:14" x14ac:dyDescent="0.25">
      <c r="C939" s="38"/>
      <c r="N939"/>
    </row>
    <row r="940" spans="3:14" x14ac:dyDescent="0.25">
      <c r="C940" s="38"/>
      <c r="N940"/>
    </row>
    <row r="941" spans="3:14" x14ac:dyDescent="0.25">
      <c r="C941" s="38"/>
      <c r="N941"/>
    </row>
    <row r="942" spans="3:14" x14ac:dyDescent="0.25">
      <c r="C942" s="38"/>
      <c r="N942"/>
    </row>
    <row r="943" spans="3:14" x14ac:dyDescent="0.25">
      <c r="C943" s="38"/>
      <c r="N943"/>
    </row>
    <row r="944" spans="3:14" x14ac:dyDescent="0.25">
      <c r="C944" s="38"/>
      <c r="N944"/>
    </row>
    <row r="945" spans="3:14" x14ac:dyDescent="0.25">
      <c r="C945" s="38"/>
      <c r="N945"/>
    </row>
  </sheetData>
  <autoFilter ref="D2:D945" xr:uid="{00000000-0009-0000-0000-00000A000000}"/>
  <conditionalFormatting sqref="L243:L288 L197:L199">
    <cfRule type="containsText" dxfId="5168" priority="762" operator="containsText" text="FAIL">
      <formula>NOT(ISERROR(SEARCH("FAIL",L197)))</formula>
    </cfRule>
  </conditionalFormatting>
  <conditionalFormatting sqref="L243:L288 L197:L199">
    <cfRule type="containsText" dxfId="5167" priority="761" operator="containsText" text="GOOD">
      <formula>NOT(ISERROR(SEARCH("GOOD",L197)))</formula>
    </cfRule>
  </conditionalFormatting>
  <conditionalFormatting sqref="L242">
    <cfRule type="containsText" dxfId="5166" priority="714" operator="containsText" text="FAIL">
      <formula>NOT(ISERROR(SEARCH("FAIL",L242)))</formula>
    </cfRule>
  </conditionalFormatting>
  <conditionalFormatting sqref="L242">
    <cfRule type="containsText" dxfId="5165" priority="713" operator="containsText" text="GOOD">
      <formula>NOT(ISERROR(SEARCH("GOOD",L242)))</formula>
    </cfRule>
  </conditionalFormatting>
  <conditionalFormatting sqref="L241">
    <cfRule type="containsText" dxfId="5164" priority="712" operator="containsText" text="FAIL">
      <formula>NOT(ISERROR(SEARCH("FAIL",L241)))</formula>
    </cfRule>
  </conditionalFormatting>
  <conditionalFormatting sqref="L241">
    <cfRule type="containsText" dxfId="5163" priority="711" operator="containsText" text="GOOD">
      <formula>NOT(ISERROR(SEARCH("GOOD",L241)))</formula>
    </cfRule>
  </conditionalFormatting>
  <conditionalFormatting sqref="L240">
    <cfRule type="containsText" dxfId="5162" priority="710" operator="containsText" text="FAIL">
      <formula>NOT(ISERROR(SEARCH("FAIL",L240)))</formula>
    </cfRule>
  </conditionalFormatting>
  <conditionalFormatting sqref="L240">
    <cfRule type="containsText" dxfId="5161" priority="709" operator="containsText" text="GOOD">
      <formula>NOT(ISERROR(SEARCH("GOOD",L240)))</formula>
    </cfRule>
  </conditionalFormatting>
  <conditionalFormatting sqref="L238">
    <cfRule type="containsText" dxfId="5160" priority="708" operator="containsText" text="FAIL">
      <formula>NOT(ISERROR(SEARCH("FAIL",L238)))</formula>
    </cfRule>
  </conditionalFormatting>
  <conditionalFormatting sqref="L238">
    <cfRule type="containsText" dxfId="5159" priority="707" operator="containsText" text="GOOD">
      <formula>NOT(ISERROR(SEARCH("GOOD",L238)))</formula>
    </cfRule>
  </conditionalFormatting>
  <conditionalFormatting sqref="L237">
    <cfRule type="containsText" dxfId="5158" priority="706" operator="containsText" text="FAIL">
      <formula>NOT(ISERROR(SEARCH("FAIL",L237)))</formula>
    </cfRule>
  </conditionalFormatting>
  <conditionalFormatting sqref="L237">
    <cfRule type="containsText" dxfId="5157" priority="705" operator="containsText" text="GOOD">
      <formula>NOT(ISERROR(SEARCH("GOOD",L237)))</formula>
    </cfRule>
  </conditionalFormatting>
  <conditionalFormatting sqref="L236">
    <cfRule type="containsText" dxfId="5156" priority="704" operator="containsText" text="FAIL">
      <formula>NOT(ISERROR(SEARCH("FAIL",L236)))</formula>
    </cfRule>
  </conditionalFormatting>
  <conditionalFormatting sqref="L236">
    <cfRule type="containsText" dxfId="5155" priority="703" operator="containsText" text="GOOD">
      <formula>NOT(ISERROR(SEARCH("GOOD",L236)))</formula>
    </cfRule>
  </conditionalFormatting>
  <conditionalFormatting sqref="L235">
    <cfRule type="containsText" dxfId="5154" priority="702" operator="containsText" text="FAIL">
      <formula>NOT(ISERROR(SEARCH("FAIL",L235)))</formula>
    </cfRule>
  </conditionalFormatting>
  <conditionalFormatting sqref="L235">
    <cfRule type="containsText" dxfId="5153" priority="701" operator="containsText" text="GOOD">
      <formula>NOT(ISERROR(SEARCH("GOOD",L235)))</formula>
    </cfRule>
  </conditionalFormatting>
  <conditionalFormatting sqref="L233:L234">
    <cfRule type="containsText" dxfId="5152" priority="700" operator="containsText" text="FAIL">
      <formula>NOT(ISERROR(SEARCH("FAIL",L233)))</formula>
    </cfRule>
  </conditionalFormatting>
  <conditionalFormatting sqref="L233:L234">
    <cfRule type="containsText" dxfId="5151" priority="699" operator="containsText" text="GOOD">
      <formula>NOT(ISERROR(SEARCH("GOOD",L233)))</formula>
    </cfRule>
  </conditionalFormatting>
  <conditionalFormatting sqref="L231:L232">
    <cfRule type="containsText" dxfId="5150" priority="698" operator="containsText" text="FAIL">
      <formula>NOT(ISERROR(SEARCH("FAIL",L231)))</formula>
    </cfRule>
  </conditionalFormatting>
  <conditionalFormatting sqref="L231:L232">
    <cfRule type="containsText" dxfId="5149" priority="697" operator="containsText" text="GOOD">
      <formula>NOT(ISERROR(SEARCH("GOOD",L231)))</formula>
    </cfRule>
  </conditionalFormatting>
  <conditionalFormatting sqref="L230">
    <cfRule type="containsText" dxfId="5148" priority="696" operator="containsText" text="FAIL">
      <formula>NOT(ISERROR(SEARCH("FAIL",L230)))</formula>
    </cfRule>
  </conditionalFormatting>
  <conditionalFormatting sqref="L230">
    <cfRule type="containsText" dxfId="5147" priority="695" operator="containsText" text="GOOD">
      <formula>NOT(ISERROR(SEARCH("GOOD",L230)))</formula>
    </cfRule>
  </conditionalFormatting>
  <conditionalFormatting sqref="L234">
    <cfRule type="containsText" dxfId="5146" priority="694" operator="containsText" text="FAIL">
      <formula>NOT(ISERROR(SEARCH("FAIL",L234)))</formula>
    </cfRule>
  </conditionalFormatting>
  <conditionalFormatting sqref="L234">
    <cfRule type="containsText" dxfId="5145" priority="693" operator="containsText" text="GOOD">
      <formula>NOT(ISERROR(SEARCH("GOOD",L234)))</formula>
    </cfRule>
  </conditionalFormatting>
  <conditionalFormatting sqref="L232">
    <cfRule type="containsText" dxfId="5144" priority="692" operator="containsText" text="FAIL">
      <formula>NOT(ISERROR(SEARCH("FAIL",L232)))</formula>
    </cfRule>
  </conditionalFormatting>
  <conditionalFormatting sqref="L232">
    <cfRule type="containsText" dxfId="5143" priority="691" operator="containsText" text="GOOD">
      <formula>NOT(ISERROR(SEARCH("GOOD",L232)))</formula>
    </cfRule>
  </conditionalFormatting>
  <conditionalFormatting sqref="L229">
    <cfRule type="containsText" dxfId="5142" priority="690" operator="containsText" text="FAIL">
      <formula>NOT(ISERROR(SEARCH("FAIL",L229)))</formula>
    </cfRule>
  </conditionalFormatting>
  <conditionalFormatting sqref="L229">
    <cfRule type="containsText" dxfId="5141" priority="689" operator="containsText" text="GOOD">
      <formula>NOT(ISERROR(SEARCH("GOOD",L229)))</formula>
    </cfRule>
  </conditionalFormatting>
  <conditionalFormatting sqref="L228">
    <cfRule type="containsText" dxfId="5140" priority="688" operator="containsText" text="FAIL">
      <formula>NOT(ISERROR(SEARCH("FAIL",L228)))</formula>
    </cfRule>
  </conditionalFormatting>
  <conditionalFormatting sqref="L228">
    <cfRule type="containsText" dxfId="5139" priority="687" operator="containsText" text="GOOD">
      <formula>NOT(ISERROR(SEARCH("GOOD",L228)))</formula>
    </cfRule>
  </conditionalFormatting>
  <conditionalFormatting sqref="L226">
    <cfRule type="containsText" dxfId="5138" priority="684" operator="containsText" text="FAIL">
      <formula>NOT(ISERROR(SEARCH("FAIL",L226)))</formula>
    </cfRule>
  </conditionalFormatting>
  <conditionalFormatting sqref="L226">
    <cfRule type="containsText" dxfId="5137" priority="683" operator="containsText" text="GOOD">
      <formula>NOT(ISERROR(SEARCH("GOOD",L226)))</formula>
    </cfRule>
  </conditionalFormatting>
  <conditionalFormatting sqref="L225">
    <cfRule type="containsText" dxfId="5136" priority="682" operator="containsText" text="FAIL">
      <formula>NOT(ISERROR(SEARCH("FAIL",L225)))</formula>
    </cfRule>
  </conditionalFormatting>
  <conditionalFormatting sqref="L225">
    <cfRule type="containsText" dxfId="5135" priority="681" operator="containsText" text="GOOD">
      <formula>NOT(ISERROR(SEARCH("GOOD",L225)))</formula>
    </cfRule>
  </conditionalFormatting>
  <conditionalFormatting sqref="L224">
    <cfRule type="containsText" dxfId="5134" priority="680" operator="containsText" text="FAIL">
      <formula>NOT(ISERROR(SEARCH("FAIL",L224)))</formula>
    </cfRule>
  </conditionalFormatting>
  <conditionalFormatting sqref="L224">
    <cfRule type="containsText" dxfId="5133" priority="679" operator="containsText" text="GOOD">
      <formula>NOT(ISERROR(SEARCH("GOOD",L224)))</formula>
    </cfRule>
  </conditionalFormatting>
  <conditionalFormatting sqref="L223">
    <cfRule type="containsText" dxfId="5132" priority="678" operator="containsText" text="FAIL">
      <formula>NOT(ISERROR(SEARCH("FAIL",L223)))</formula>
    </cfRule>
  </conditionalFormatting>
  <conditionalFormatting sqref="L223">
    <cfRule type="containsText" dxfId="5131" priority="677" operator="containsText" text="GOOD">
      <formula>NOT(ISERROR(SEARCH("GOOD",L223)))</formula>
    </cfRule>
  </conditionalFormatting>
  <conditionalFormatting sqref="L221:L222">
    <cfRule type="containsText" dxfId="5130" priority="676" operator="containsText" text="FAIL">
      <formula>NOT(ISERROR(SEARCH("FAIL",L221)))</formula>
    </cfRule>
  </conditionalFormatting>
  <conditionalFormatting sqref="L221:L222">
    <cfRule type="containsText" dxfId="5129" priority="675" operator="containsText" text="GOOD">
      <formula>NOT(ISERROR(SEARCH("GOOD",L221)))</formula>
    </cfRule>
  </conditionalFormatting>
  <conditionalFormatting sqref="L219:L220">
    <cfRule type="containsText" dxfId="5128" priority="674" operator="containsText" text="FAIL">
      <formula>NOT(ISERROR(SEARCH("FAIL",L219)))</formula>
    </cfRule>
  </conditionalFormatting>
  <conditionalFormatting sqref="L219:L220">
    <cfRule type="containsText" dxfId="5127" priority="673" operator="containsText" text="GOOD">
      <formula>NOT(ISERROR(SEARCH("GOOD",L219)))</formula>
    </cfRule>
  </conditionalFormatting>
  <conditionalFormatting sqref="L218">
    <cfRule type="containsText" dxfId="5126" priority="672" operator="containsText" text="FAIL">
      <formula>NOT(ISERROR(SEARCH("FAIL",L218)))</formula>
    </cfRule>
  </conditionalFormatting>
  <conditionalFormatting sqref="L218">
    <cfRule type="containsText" dxfId="5125" priority="671" operator="containsText" text="GOOD">
      <formula>NOT(ISERROR(SEARCH("GOOD",L218)))</formula>
    </cfRule>
  </conditionalFormatting>
  <conditionalFormatting sqref="L217">
    <cfRule type="containsText" dxfId="5124" priority="670" operator="containsText" text="FAIL">
      <formula>NOT(ISERROR(SEARCH("FAIL",L217)))</formula>
    </cfRule>
  </conditionalFormatting>
  <conditionalFormatting sqref="L217">
    <cfRule type="containsText" dxfId="5123" priority="669" operator="containsText" text="GOOD">
      <formula>NOT(ISERROR(SEARCH("GOOD",L217)))</formula>
    </cfRule>
  </conditionalFormatting>
  <conditionalFormatting sqref="L216">
    <cfRule type="containsText" dxfId="5122" priority="668" operator="containsText" text="FAIL">
      <formula>NOT(ISERROR(SEARCH("FAIL",L216)))</formula>
    </cfRule>
  </conditionalFormatting>
  <conditionalFormatting sqref="L216">
    <cfRule type="containsText" dxfId="5121" priority="667" operator="containsText" text="GOOD">
      <formula>NOT(ISERROR(SEARCH("GOOD",L216)))</formula>
    </cfRule>
  </conditionalFormatting>
  <conditionalFormatting sqref="L214">
    <cfRule type="containsText" dxfId="5120" priority="666" operator="containsText" text="FAIL">
      <formula>NOT(ISERROR(SEARCH("FAIL",L214)))</formula>
    </cfRule>
  </conditionalFormatting>
  <conditionalFormatting sqref="L214">
    <cfRule type="containsText" dxfId="5119" priority="665" operator="containsText" text="GOOD">
      <formula>NOT(ISERROR(SEARCH("GOOD",L214)))</formula>
    </cfRule>
  </conditionalFormatting>
  <conditionalFormatting sqref="L215">
    <cfRule type="containsText" dxfId="5118" priority="664" operator="containsText" text="FAIL">
      <formula>NOT(ISERROR(SEARCH("FAIL",L215)))</formula>
    </cfRule>
  </conditionalFormatting>
  <conditionalFormatting sqref="L215">
    <cfRule type="containsText" dxfId="5117" priority="663" operator="containsText" text="GOOD">
      <formula>NOT(ISERROR(SEARCH("GOOD",L215)))</formula>
    </cfRule>
  </conditionalFormatting>
  <conditionalFormatting sqref="L212">
    <cfRule type="containsText" dxfId="5116" priority="662" operator="containsText" text="FAIL">
      <formula>NOT(ISERROR(SEARCH("FAIL",L212)))</formula>
    </cfRule>
  </conditionalFormatting>
  <conditionalFormatting sqref="L212">
    <cfRule type="containsText" dxfId="5115" priority="661" operator="containsText" text="GOOD">
      <formula>NOT(ISERROR(SEARCH("GOOD",L212)))</formula>
    </cfRule>
  </conditionalFormatting>
  <conditionalFormatting sqref="L211">
    <cfRule type="containsText" dxfId="5114" priority="660" operator="containsText" text="FAIL">
      <formula>NOT(ISERROR(SEARCH("FAIL",L211)))</formula>
    </cfRule>
  </conditionalFormatting>
  <conditionalFormatting sqref="L211">
    <cfRule type="containsText" dxfId="5113" priority="659" operator="containsText" text="GOOD">
      <formula>NOT(ISERROR(SEARCH("GOOD",L211)))</formula>
    </cfRule>
  </conditionalFormatting>
  <conditionalFormatting sqref="L210">
    <cfRule type="containsText" dxfId="5112" priority="658" operator="containsText" text="FAIL">
      <formula>NOT(ISERROR(SEARCH("FAIL",L210)))</formula>
    </cfRule>
  </conditionalFormatting>
  <conditionalFormatting sqref="L210">
    <cfRule type="containsText" dxfId="5111" priority="657" operator="containsText" text="GOOD">
      <formula>NOT(ISERROR(SEARCH("GOOD",L210)))</formula>
    </cfRule>
  </conditionalFormatting>
  <conditionalFormatting sqref="L208:L209">
    <cfRule type="containsText" dxfId="5110" priority="656" operator="containsText" text="FAIL">
      <formula>NOT(ISERROR(SEARCH("FAIL",L208)))</formula>
    </cfRule>
  </conditionalFormatting>
  <conditionalFormatting sqref="L208:L209">
    <cfRule type="containsText" dxfId="5109" priority="655" operator="containsText" text="GOOD">
      <formula>NOT(ISERROR(SEARCH("GOOD",L208)))</formula>
    </cfRule>
  </conditionalFormatting>
  <conditionalFormatting sqref="L207">
    <cfRule type="containsText" dxfId="5108" priority="654" operator="containsText" text="FAIL">
      <formula>NOT(ISERROR(SEARCH("FAIL",L207)))</formula>
    </cfRule>
  </conditionalFormatting>
  <conditionalFormatting sqref="L207">
    <cfRule type="containsText" dxfId="5107" priority="653" operator="containsText" text="GOOD">
      <formula>NOT(ISERROR(SEARCH("GOOD",L207)))</formula>
    </cfRule>
  </conditionalFormatting>
  <conditionalFormatting sqref="L206">
    <cfRule type="containsText" dxfId="5106" priority="652" operator="containsText" text="FAIL">
      <formula>NOT(ISERROR(SEARCH("FAIL",L206)))</formula>
    </cfRule>
  </conditionalFormatting>
  <conditionalFormatting sqref="L206">
    <cfRule type="containsText" dxfId="5105" priority="651" operator="containsText" text="GOOD">
      <formula>NOT(ISERROR(SEARCH("GOOD",L206)))</formula>
    </cfRule>
  </conditionalFormatting>
  <conditionalFormatting sqref="L205">
    <cfRule type="containsText" dxfId="5104" priority="650" operator="containsText" text="FAIL">
      <formula>NOT(ISERROR(SEARCH("FAIL",L205)))</formula>
    </cfRule>
  </conditionalFormatting>
  <conditionalFormatting sqref="L205">
    <cfRule type="containsText" dxfId="5103" priority="649" operator="containsText" text="GOOD">
      <formula>NOT(ISERROR(SEARCH("GOOD",L205)))</formula>
    </cfRule>
  </conditionalFormatting>
  <conditionalFormatting sqref="L204">
    <cfRule type="containsText" dxfId="5102" priority="648" operator="containsText" text="FAIL">
      <formula>NOT(ISERROR(SEARCH("FAIL",L204)))</formula>
    </cfRule>
  </conditionalFormatting>
  <conditionalFormatting sqref="L204">
    <cfRule type="containsText" dxfId="5101" priority="647" operator="containsText" text="GOOD">
      <formula>NOT(ISERROR(SEARCH("GOOD",L204)))</formula>
    </cfRule>
  </conditionalFormatting>
  <conditionalFormatting sqref="L202">
    <cfRule type="containsText" dxfId="5100" priority="646" operator="containsText" text="FAIL">
      <formula>NOT(ISERROR(SEARCH("FAIL",L202)))</formula>
    </cfRule>
  </conditionalFormatting>
  <conditionalFormatting sqref="L202">
    <cfRule type="containsText" dxfId="5099" priority="645" operator="containsText" text="GOOD">
      <formula>NOT(ISERROR(SEARCH("GOOD",L202)))</formula>
    </cfRule>
  </conditionalFormatting>
  <conditionalFormatting sqref="L201">
    <cfRule type="containsText" dxfId="5098" priority="644" operator="containsText" text="FAIL">
      <formula>NOT(ISERROR(SEARCH("FAIL",L201)))</formula>
    </cfRule>
  </conditionalFormatting>
  <conditionalFormatting sqref="L201">
    <cfRule type="containsText" dxfId="5097" priority="643" operator="containsText" text="GOOD">
      <formula>NOT(ISERROR(SEARCH("GOOD",L201)))</formula>
    </cfRule>
  </conditionalFormatting>
  <conditionalFormatting sqref="L200">
    <cfRule type="containsText" dxfId="5096" priority="642" operator="containsText" text="FAIL">
      <formula>NOT(ISERROR(SEARCH("FAIL",L200)))</formula>
    </cfRule>
  </conditionalFormatting>
  <conditionalFormatting sqref="L200">
    <cfRule type="containsText" dxfId="5095" priority="641" operator="containsText" text="GOOD">
      <formula>NOT(ISERROR(SEARCH("GOOD",L200)))</formula>
    </cfRule>
  </conditionalFormatting>
  <conditionalFormatting sqref="L196">
    <cfRule type="containsText" dxfId="5094" priority="640" operator="containsText" text="FAIL">
      <formula>NOT(ISERROR(SEARCH("FAIL",L196)))</formula>
    </cfRule>
  </conditionalFormatting>
  <conditionalFormatting sqref="L196">
    <cfRule type="containsText" dxfId="5093" priority="639" operator="containsText" text="GOOD">
      <formula>NOT(ISERROR(SEARCH("GOOD",L196)))</formula>
    </cfRule>
  </conditionalFormatting>
  <conditionalFormatting sqref="L195">
    <cfRule type="containsText" dxfId="5092" priority="638" operator="containsText" text="FAIL">
      <formula>NOT(ISERROR(SEARCH("FAIL",L195)))</formula>
    </cfRule>
  </conditionalFormatting>
  <conditionalFormatting sqref="L195">
    <cfRule type="containsText" dxfId="5091" priority="637" operator="containsText" text="GOOD">
      <formula>NOT(ISERROR(SEARCH("GOOD",L195)))</formula>
    </cfRule>
  </conditionalFormatting>
  <conditionalFormatting sqref="L194">
    <cfRule type="containsText" dxfId="5090" priority="636" operator="containsText" text="FAIL">
      <formula>NOT(ISERROR(SEARCH("FAIL",L194)))</formula>
    </cfRule>
  </conditionalFormatting>
  <conditionalFormatting sqref="L194">
    <cfRule type="containsText" dxfId="5089" priority="635" operator="containsText" text="GOOD">
      <formula>NOT(ISERROR(SEARCH("GOOD",L194)))</formula>
    </cfRule>
  </conditionalFormatting>
  <conditionalFormatting sqref="L193">
    <cfRule type="containsText" dxfId="5088" priority="634" operator="containsText" text="FAIL">
      <formula>NOT(ISERROR(SEARCH("FAIL",L193)))</formula>
    </cfRule>
  </conditionalFormatting>
  <conditionalFormatting sqref="L193">
    <cfRule type="containsText" dxfId="5087" priority="633" operator="containsText" text="GOOD">
      <formula>NOT(ISERROR(SEARCH("GOOD",L193)))</formula>
    </cfRule>
  </conditionalFormatting>
  <conditionalFormatting sqref="L192">
    <cfRule type="containsText" dxfId="5086" priority="632" operator="containsText" text="FAIL">
      <formula>NOT(ISERROR(SEARCH("FAIL",L192)))</formula>
    </cfRule>
  </conditionalFormatting>
  <conditionalFormatting sqref="L192">
    <cfRule type="containsText" dxfId="5085" priority="631" operator="containsText" text="GOOD">
      <formula>NOT(ISERROR(SEARCH("GOOD",L192)))</formula>
    </cfRule>
  </conditionalFormatting>
  <conditionalFormatting sqref="L191">
    <cfRule type="containsText" dxfId="5084" priority="630" operator="containsText" text="FAIL">
      <formula>NOT(ISERROR(SEARCH("FAIL",L191)))</formula>
    </cfRule>
  </conditionalFormatting>
  <conditionalFormatting sqref="L191">
    <cfRule type="containsText" dxfId="5083" priority="629" operator="containsText" text="GOOD">
      <formula>NOT(ISERROR(SEARCH("GOOD",L191)))</formula>
    </cfRule>
  </conditionalFormatting>
  <conditionalFormatting sqref="L190">
    <cfRule type="containsText" dxfId="5082" priority="628" operator="containsText" text="FAIL">
      <formula>NOT(ISERROR(SEARCH("FAIL",L190)))</formula>
    </cfRule>
  </conditionalFormatting>
  <conditionalFormatting sqref="L190">
    <cfRule type="containsText" dxfId="5081" priority="627" operator="containsText" text="GOOD">
      <formula>NOT(ISERROR(SEARCH("GOOD",L190)))</formula>
    </cfRule>
  </conditionalFormatting>
  <conditionalFormatting sqref="L189">
    <cfRule type="containsText" dxfId="5080" priority="626" operator="containsText" text="FAIL">
      <formula>NOT(ISERROR(SEARCH("FAIL",L189)))</formula>
    </cfRule>
  </conditionalFormatting>
  <conditionalFormatting sqref="L189">
    <cfRule type="containsText" dxfId="5079" priority="625" operator="containsText" text="GOOD">
      <formula>NOT(ISERROR(SEARCH("GOOD",L189)))</formula>
    </cfRule>
  </conditionalFormatting>
  <conditionalFormatting sqref="L187">
    <cfRule type="containsText" dxfId="5078" priority="624" operator="containsText" text="FAIL">
      <formula>NOT(ISERROR(SEARCH("FAIL",L187)))</formula>
    </cfRule>
  </conditionalFormatting>
  <conditionalFormatting sqref="L187">
    <cfRule type="containsText" dxfId="5077" priority="623" operator="containsText" text="GOOD">
      <formula>NOT(ISERROR(SEARCH("GOOD",L187)))</formula>
    </cfRule>
  </conditionalFormatting>
  <conditionalFormatting sqref="L186">
    <cfRule type="containsText" dxfId="5076" priority="622" operator="containsText" text="FAIL">
      <formula>NOT(ISERROR(SEARCH("FAIL",L186)))</formula>
    </cfRule>
  </conditionalFormatting>
  <conditionalFormatting sqref="L186">
    <cfRule type="containsText" dxfId="5075" priority="621" operator="containsText" text="GOOD">
      <formula>NOT(ISERROR(SEARCH("GOOD",L186)))</formula>
    </cfRule>
  </conditionalFormatting>
  <conditionalFormatting sqref="L185">
    <cfRule type="containsText" dxfId="5074" priority="620" operator="containsText" text="FAIL">
      <formula>NOT(ISERROR(SEARCH("FAIL",L185)))</formula>
    </cfRule>
  </conditionalFormatting>
  <conditionalFormatting sqref="L185">
    <cfRule type="containsText" dxfId="5073" priority="619" operator="containsText" text="GOOD">
      <formula>NOT(ISERROR(SEARCH("GOOD",L185)))</formula>
    </cfRule>
  </conditionalFormatting>
  <conditionalFormatting sqref="L184">
    <cfRule type="containsText" dxfId="5072" priority="618" operator="containsText" text="FAIL">
      <formula>NOT(ISERROR(SEARCH("FAIL",L184)))</formula>
    </cfRule>
  </conditionalFormatting>
  <conditionalFormatting sqref="L184">
    <cfRule type="containsText" dxfId="5071" priority="617" operator="containsText" text="GOOD">
      <formula>NOT(ISERROR(SEARCH("GOOD",L184)))</formula>
    </cfRule>
  </conditionalFormatting>
  <conditionalFormatting sqref="L183">
    <cfRule type="containsText" dxfId="5070" priority="616" operator="containsText" text="FAIL">
      <formula>NOT(ISERROR(SEARCH("FAIL",L183)))</formula>
    </cfRule>
  </conditionalFormatting>
  <conditionalFormatting sqref="L183">
    <cfRule type="containsText" dxfId="5069" priority="615" operator="containsText" text="GOOD">
      <formula>NOT(ISERROR(SEARCH("GOOD",L183)))</formula>
    </cfRule>
  </conditionalFormatting>
  <conditionalFormatting sqref="L182">
    <cfRule type="containsText" dxfId="5068" priority="614" operator="containsText" text="FAIL">
      <formula>NOT(ISERROR(SEARCH("FAIL",L182)))</formula>
    </cfRule>
  </conditionalFormatting>
  <conditionalFormatting sqref="L182">
    <cfRule type="containsText" dxfId="5067" priority="613" operator="containsText" text="GOOD">
      <formula>NOT(ISERROR(SEARCH("GOOD",L182)))</formula>
    </cfRule>
  </conditionalFormatting>
  <conditionalFormatting sqref="L181">
    <cfRule type="containsText" dxfId="5066" priority="612" operator="containsText" text="FAIL">
      <formula>NOT(ISERROR(SEARCH("FAIL",L181)))</formula>
    </cfRule>
  </conditionalFormatting>
  <conditionalFormatting sqref="L181">
    <cfRule type="containsText" dxfId="5065" priority="611" operator="containsText" text="GOOD">
      <formula>NOT(ISERROR(SEARCH("GOOD",L181)))</formula>
    </cfRule>
  </conditionalFormatting>
  <conditionalFormatting sqref="L180">
    <cfRule type="containsText" dxfId="5064" priority="610" operator="containsText" text="FAIL">
      <formula>NOT(ISERROR(SEARCH("FAIL",L180)))</formula>
    </cfRule>
  </conditionalFormatting>
  <conditionalFormatting sqref="L180">
    <cfRule type="containsText" dxfId="5063" priority="609" operator="containsText" text="GOOD">
      <formula>NOT(ISERROR(SEARCH("GOOD",L180)))</formula>
    </cfRule>
  </conditionalFormatting>
  <conditionalFormatting sqref="L179">
    <cfRule type="containsText" dxfId="5062" priority="608" operator="containsText" text="FAIL">
      <formula>NOT(ISERROR(SEARCH("FAIL",L179)))</formula>
    </cfRule>
  </conditionalFormatting>
  <conditionalFormatting sqref="L179">
    <cfRule type="containsText" dxfId="5061" priority="607" operator="containsText" text="GOOD">
      <formula>NOT(ISERROR(SEARCH("GOOD",L179)))</formula>
    </cfRule>
  </conditionalFormatting>
  <conditionalFormatting sqref="L178">
    <cfRule type="containsText" dxfId="5060" priority="606" operator="containsText" text="FAIL">
      <formula>NOT(ISERROR(SEARCH("FAIL",L178)))</formula>
    </cfRule>
  </conditionalFormatting>
  <conditionalFormatting sqref="L178">
    <cfRule type="containsText" dxfId="5059" priority="605" operator="containsText" text="GOOD">
      <formula>NOT(ISERROR(SEARCH("GOOD",L178)))</formula>
    </cfRule>
  </conditionalFormatting>
  <conditionalFormatting sqref="L177">
    <cfRule type="containsText" dxfId="5058" priority="604" operator="containsText" text="FAIL">
      <formula>NOT(ISERROR(SEARCH("FAIL",L177)))</formula>
    </cfRule>
  </conditionalFormatting>
  <conditionalFormatting sqref="L177">
    <cfRule type="containsText" dxfId="5057" priority="603" operator="containsText" text="GOOD">
      <formula>NOT(ISERROR(SEARCH("GOOD",L177)))</formula>
    </cfRule>
  </conditionalFormatting>
  <conditionalFormatting sqref="L175">
    <cfRule type="containsText" dxfId="5056" priority="602" operator="containsText" text="FAIL">
      <formula>NOT(ISERROR(SEARCH("FAIL",L175)))</formula>
    </cfRule>
  </conditionalFormatting>
  <conditionalFormatting sqref="L175">
    <cfRule type="containsText" dxfId="5055" priority="601" operator="containsText" text="GOOD">
      <formula>NOT(ISERROR(SEARCH("GOOD",L175)))</formula>
    </cfRule>
  </conditionalFormatting>
  <conditionalFormatting sqref="L176">
    <cfRule type="containsText" dxfId="5054" priority="600" operator="containsText" text="FAIL">
      <formula>NOT(ISERROR(SEARCH("FAIL",L176)))</formula>
    </cfRule>
  </conditionalFormatting>
  <conditionalFormatting sqref="L176">
    <cfRule type="containsText" dxfId="5053" priority="599" operator="containsText" text="GOOD">
      <formula>NOT(ISERROR(SEARCH("GOOD",L176)))</formula>
    </cfRule>
  </conditionalFormatting>
  <conditionalFormatting sqref="L174">
    <cfRule type="containsText" dxfId="5052" priority="598" operator="containsText" text="FAIL">
      <formula>NOT(ISERROR(SEARCH("FAIL",L174)))</formula>
    </cfRule>
  </conditionalFormatting>
  <conditionalFormatting sqref="L174">
    <cfRule type="containsText" dxfId="5051" priority="597" operator="containsText" text="GOOD">
      <formula>NOT(ISERROR(SEARCH("GOOD",L174)))</formula>
    </cfRule>
  </conditionalFormatting>
  <conditionalFormatting sqref="L173">
    <cfRule type="containsText" dxfId="5050" priority="596" operator="containsText" text="FAIL">
      <formula>NOT(ISERROR(SEARCH("FAIL",L173)))</formula>
    </cfRule>
  </conditionalFormatting>
  <conditionalFormatting sqref="L173">
    <cfRule type="containsText" dxfId="5049" priority="595" operator="containsText" text="GOOD">
      <formula>NOT(ISERROR(SEARCH("GOOD",L173)))</formula>
    </cfRule>
  </conditionalFormatting>
  <conditionalFormatting sqref="L172">
    <cfRule type="containsText" dxfId="5048" priority="594" operator="containsText" text="FAIL">
      <formula>NOT(ISERROR(SEARCH("FAIL",L172)))</formula>
    </cfRule>
  </conditionalFormatting>
  <conditionalFormatting sqref="L172">
    <cfRule type="containsText" dxfId="5047" priority="593" operator="containsText" text="GOOD">
      <formula>NOT(ISERROR(SEARCH("GOOD",L172)))</formula>
    </cfRule>
  </conditionalFormatting>
  <conditionalFormatting sqref="L171">
    <cfRule type="containsText" dxfId="5046" priority="590" operator="containsText" text="FAIL">
      <formula>NOT(ISERROR(SEARCH("FAIL",L171)))</formula>
    </cfRule>
  </conditionalFormatting>
  <conditionalFormatting sqref="L171">
    <cfRule type="containsText" dxfId="5045" priority="589" operator="containsText" text="GOOD">
      <formula>NOT(ISERROR(SEARCH("GOOD",L171)))</formula>
    </cfRule>
  </conditionalFormatting>
  <conditionalFormatting sqref="L170">
    <cfRule type="containsText" dxfId="5044" priority="588" operator="containsText" text="FAIL">
      <formula>NOT(ISERROR(SEARCH("FAIL",L170)))</formula>
    </cfRule>
  </conditionalFormatting>
  <conditionalFormatting sqref="L170">
    <cfRule type="containsText" dxfId="5043" priority="587" operator="containsText" text="GOOD">
      <formula>NOT(ISERROR(SEARCH("GOOD",L170)))</formula>
    </cfRule>
  </conditionalFormatting>
  <conditionalFormatting sqref="L168">
    <cfRule type="containsText" dxfId="5042" priority="586" operator="containsText" text="FAIL">
      <formula>NOT(ISERROR(SEARCH("FAIL",L168)))</formula>
    </cfRule>
  </conditionalFormatting>
  <conditionalFormatting sqref="L168">
    <cfRule type="containsText" dxfId="5041" priority="585" operator="containsText" text="GOOD">
      <formula>NOT(ISERROR(SEARCH("GOOD",L168)))</formula>
    </cfRule>
  </conditionalFormatting>
  <conditionalFormatting sqref="L167">
    <cfRule type="containsText" dxfId="5040" priority="584" operator="containsText" text="FAIL">
      <formula>NOT(ISERROR(SEARCH("FAIL",L167)))</formula>
    </cfRule>
  </conditionalFormatting>
  <conditionalFormatting sqref="L167">
    <cfRule type="containsText" dxfId="5039" priority="583" operator="containsText" text="GOOD">
      <formula>NOT(ISERROR(SEARCH("GOOD",L167)))</formula>
    </cfRule>
  </conditionalFormatting>
  <conditionalFormatting sqref="L166">
    <cfRule type="containsText" dxfId="5038" priority="582" operator="containsText" text="FAIL">
      <formula>NOT(ISERROR(SEARCH("FAIL",L166)))</formula>
    </cfRule>
  </conditionalFormatting>
  <conditionalFormatting sqref="L166">
    <cfRule type="containsText" dxfId="5037" priority="581" operator="containsText" text="GOOD">
      <formula>NOT(ISERROR(SEARCH("GOOD",L166)))</formula>
    </cfRule>
  </conditionalFormatting>
  <conditionalFormatting sqref="L165">
    <cfRule type="containsText" dxfId="5036" priority="580" operator="containsText" text="FAIL">
      <formula>NOT(ISERROR(SEARCH("FAIL",L165)))</formula>
    </cfRule>
  </conditionalFormatting>
  <conditionalFormatting sqref="L165">
    <cfRule type="containsText" dxfId="5035" priority="579" operator="containsText" text="GOOD">
      <formula>NOT(ISERROR(SEARCH("GOOD",L165)))</formula>
    </cfRule>
  </conditionalFormatting>
  <conditionalFormatting sqref="L164">
    <cfRule type="containsText" dxfId="5034" priority="578" operator="containsText" text="FAIL">
      <formula>NOT(ISERROR(SEARCH("FAIL",L164)))</formula>
    </cfRule>
  </conditionalFormatting>
  <conditionalFormatting sqref="L164">
    <cfRule type="containsText" dxfId="5033" priority="577" operator="containsText" text="GOOD">
      <formula>NOT(ISERROR(SEARCH("GOOD",L164)))</formula>
    </cfRule>
  </conditionalFormatting>
  <conditionalFormatting sqref="L162">
    <cfRule type="containsText" dxfId="5032" priority="576" operator="containsText" text="FAIL">
      <formula>NOT(ISERROR(SEARCH("FAIL",L162)))</formula>
    </cfRule>
  </conditionalFormatting>
  <conditionalFormatting sqref="L162">
    <cfRule type="containsText" dxfId="5031" priority="575" operator="containsText" text="GOOD">
      <formula>NOT(ISERROR(SEARCH("GOOD",L162)))</formula>
    </cfRule>
  </conditionalFormatting>
  <conditionalFormatting sqref="L161">
    <cfRule type="containsText" dxfId="5030" priority="574" operator="containsText" text="FAIL">
      <formula>NOT(ISERROR(SEARCH("FAIL",L161)))</formula>
    </cfRule>
  </conditionalFormatting>
  <conditionalFormatting sqref="L161">
    <cfRule type="containsText" dxfId="5029" priority="573" operator="containsText" text="GOOD">
      <formula>NOT(ISERROR(SEARCH("GOOD",L161)))</formula>
    </cfRule>
  </conditionalFormatting>
  <conditionalFormatting sqref="L163">
    <cfRule type="containsText" dxfId="5028" priority="572" operator="containsText" text="FAIL">
      <formula>NOT(ISERROR(SEARCH("FAIL",L163)))</formula>
    </cfRule>
  </conditionalFormatting>
  <conditionalFormatting sqref="L163">
    <cfRule type="containsText" dxfId="5027" priority="571" operator="containsText" text="GOOD">
      <formula>NOT(ISERROR(SEARCH("GOOD",L163)))</formula>
    </cfRule>
  </conditionalFormatting>
  <conditionalFormatting sqref="L160">
    <cfRule type="containsText" dxfId="5026" priority="570" operator="containsText" text="FAIL">
      <formula>NOT(ISERROR(SEARCH("FAIL",L160)))</formula>
    </cfRule>
  </conditionalFormatting>
  <conditionalFormatting sqref="L160">
    <cfRule type="containsText" dxfId="5025" priority="569" operator="containsText" text="GOOD">
      <formula>NOT(ISERROR(SEARCH("GOOD",L160)))</formula>
    </cfRule>
  </conditionalFormatting>
  <conditionalFormatting sqref="L159">
    <cfRule type="containsText" dxfId="5024" priority="568" operator="containsText" text="FAIL">
      <formula>NOT(ISERROR(SEARCH("FAIL",L159)))</formula>
    </cfRule>
  </conditionalFormatting>
  <conditionalFormatting sqref="L159">
    <cfRule type="containsText" dxfId="5023" priority="567" operator="containsText" text="GOOD">
      <formula>NOT(ISERROR(SEARCH("GOOD",L159)))</formula>
    </cfRule>
  </conditionalFormatting>
  <conditionalFormatting sqref="L157">
    <cfRule type="containsText" dxfId="5022" priority="566" operator="containsText" text="FAIL">
      <formula>NOT(ISERROR(SEARCH("FAIL",L157)))</formula>
    </cfRule>
  </conditionalFormatting>
  <conditionalFormatting sqref="L157">
    <cfRule type="containsText" dxfId="5021" priority="565" operator="containsText" text="GOOD">
      <formula>NOT(ISERROR(SEARCH("GOOD",L157)))</formula>
    </cfRule>
  </conditionalFormatting>
  <conditionalFormatting sqref="L156">
    <cfRule type="containsText" dxfId="5020" priority="564" operator="containsText" text="FAIL">
      <formula>NOT(ISERROR(SEARCH("FAIL",L156)))</formula>
    </cfRule>
  </conditionalFormatting>
  <conditionalFormatting sqref="L156">
    <cfRule type="containsText" dxfId="5019" priority="563" operator="containsText" text="GOOD">
      <formula>NOT(ISERROR(SEARCH("GOOD",L156)))</formula>
    </cfRule>
  </conditionalFormatting>
  <conditionalFormatting sqref="L158">
    <cfRule type="containsText" dxfId="5018" priority="562" operator="containsText" text="FAIL">
      <formula>NOT(ISERROR(SEARCH("FAIL",L158)))</formula>
    </cfRule>
  </conditionalFormatting>
  <conditionalFormatting sqref="L158">
    <cfRule type="containsText" dxfId="5017" priority="561" operator="containsText" text="GOOD">
      <formula>NOT(ISERROR(SEARCH("GOOD",L158)))</formula>
    </cfRule>
  </conditionalFormatting>
  <conditionalFormatting sqref="L152:L155">
    <cfRule type="containsText" dxfId="5016" priority="560" operator="containsText" text="FAIL">
      <formula>NOT(ISERROR(SEARCH("FAIL",L152)))</formula>
    </cfRule>
  </conditionalFormatting>
  <conditionalFormatting sqref="L152:L155">
    <cfRule type="containsText" dxfId="5015" priority="559" operator="containsText" text="GOOD">
      <formula>NOT(ISERROR(SEARCH("GOOD",L152)))</formula>
    </cfRule>
  </conditionalFormatting>
  <conditionalFormatting sqref="L151">
    <cfRule type="containsText" dxfId="5014" priority="558" operator="containsText" text="FAIL">
      <formula>NOT(ISERROR(SEARCH("FAIL",L151)))</formula>
    </cfRule>
  </conditionalFormatting>
  <conditionalFormatting sqref="L151">
    <cfRule type="containsText" dxfId="5013" priority="557" operator="containsText" text="GOOD">
      <formula>NOT(ISERROR(SEARCH("GOOD",L151)))</formula>
    </cfRule>
  </conditionalFormatting>
  <conditionalFormatting sqref="L147">
    <cfRule type="containsText" dxfId="5012" priority="556" operator="containsText" text="FAIL">
      <formula>NOT(ISERROR(SEARCH("FAIL",L147)))</formula>
    </cfRule>
  </conditionalFormatting>
  <conditionalFormatting sqref="L147">
    <cfRule type="containsText" dxfId="5011" priority="555" operator="containsText" text="GOOD">
      <formula>NOT(ISERROR(SEARCH("GOOD",L147)))</formula>
    </cfRule>
  </conditionalFormatting>
  <conditionalFormatting sqref="L146">
    <cfRule type="containsText" dxfId="5010" priority="554" operator="containsText" text="FAIL">
      <formula>NOT(ISERROR(SEARCH("FAIL",L146)))</formula>
    </cfRule>
  </conditionalFormatting>
  <conditionalFormatting sqref="L146">
    <cfRule type="containsText" dxfId="5009" priority="553" operator="containsText" text="GOOD">
      <formula>NOT(ISERROR(SEARCH("GOOD",L146)))</formula>
    </cfRule>
  </conditionalFormatting>
  <conditionalFormatting sqref="L145">
    <cfRule type="containsText" dxfId="5008" priority="552" operator="containsText" text="FAIL">
      <formula>NOT(ISERROR(SEARCH("FAIL",L145)))</formula>
    </cfRule>
  </conditionalFormatting>
  <conditionalFormatting sqref="L145">
    <cfRule type="containsText" dxfId="5007" priority="551" operator="containsText" text="GOOD">
      <formula>NOT(ISERROR(SEARCH("GOOD",L145)))</formula>
    </cfRule>
  </conditionalFormatting>
  <conditionalFormatting sqref="L144">
    <cfRule type="containsText" dxfId="5006" priority="550" operator="containsText" text="FAIL">
      <formula>NOT(ISERROR(SEARCH("FAIL",L144)))</formula>
    </cfRule>
  </conditionalFormatting>
  <conditionalFormatting sqref="L144">
    <cfRule type="containsText" dxfId="5005" priority="549" operator="containsText" text="GOOD">
      <formula>NOT(ISERROR(SEARCH("GOOD",L144)))</formula>
    </cfRule>
  </conditionalFormatting>
  <conditionalFormatting sqref="L143">
    <cfRule type="containsText" dxfId="5004" priority="548" operator="containsText" text="FAIL">
      <formula>NOT(ISERROR(SEARCH("FAIL",L143)))</formula>
    </cfRule>
  </conditionalFormatting>
  <conditionalFormatting sqref="L143">
    <cfRule type="containsText" dxfId="5003" priority="547" operator="containsText" text="GOOD">
      <formula>NOT(ISERROR(SEARCH("GOOD",L143)))</formula>
    </cfRule>
  </conditionalFormatting>
  <conditionalFormatting sqref="L142">
    <cfRule type="containsText" dxfId="5002" priority="546" operator="containsText" text="FAIL">
      <formula>NOT(ISERROR(SEARCH("FAIL",L142)))</formula>
    </cfRule>
  </conditionalFormatting>
  <conditionalFormatting sqref="L142">
    <cfRule type="containsText" dxfId="5001" priority="545" operator="containsText" text="GOOD">
      <formula>NOT(ISERROR(SEARCH("GOOD",L142)))</formula>
    </cfRule>
  </conditionalFormatting>
  <conditionalFormatting sqref="L150">
    <cfRule type="containsText" dxfId="5000" priority="544" operator="containsText" text="FAIL">
      <formula>NOT(ISERROR(SEARCH("FAIL",L150)))</formula>
    </cfRule>
  </conditionalFormatting>
  <conditionalFormatting sqref="L150">
    <cfRule type="containsText" dxfId="4999" priority="543" operator="containsText" text="GOOD">
      <formula>NOT(ISERROR(SEARCH("GOOD",L150)))</formula>
    </cfRule>
  </conditionalFormatting>
  <conditionalFormatting sqref="L149">
    <cfRule type="containsText" dxfId="4998" priority="542" operator="containsText" text="FAIL">
      <formula>NOT(ISERROR(SEARCH("FAIL",L149)))</formula>
    </cfRule>
  </conditionalFormatting>
  <conditionalFormatting sqref="L149">
    <cfRule type="containsText" dxfId="4997" priority="541" operator="containsText" text="GOOD">
      <formula>NOT(ISERROR(SEARCH("GOOD",L149)))</formula>
    </cfRule>
  </conditionalFormatting>
  <conditionalFormatting sqref="L141">
    <cfRule type="containsText" dxfId="4996" priority="540" operator="containsText" text="FAIL">
      <formula>NOT(ISERROR(SEARCH("FAIL",L141)))</formula>
    </cfRule>
  </conditionalFormatting>
  <conditionalFormatting sqref="L141">
    <cfRule type="containsText" dxfId="4995" priority="539" operator="containsText" text="GOOD">
      <formula>NOT(ISERROR(SEARCH("GOOD",L141)))</formula>
    </cfRule>
  </conditionalFormatting>
  <conditionalFormatting sqref="L140">
    <cfRule type="containsText" dxfId="4994" priority="538" operator="containsText" text="FAIL">
      <formula>NOT(ISERROR(SEARCH("FAIL",L140)))</formula>
    </cfRule>
  </conditionalFormatting>
  <conditionalFormatting sqref="L140">
    <cfRule type="containsText" dxfId="4993" priority="537" operator="containsText" text="GOOD">
      <formula>NOT(ISERROR(SEARCH("GOOD",L140)))</formula>
    </cfRule>
  </conditionalFormatting>
  <conditionalFormatting sqref="L139">
    <cfRule type="containsText" dxfId="4992" priority="536" operator="containsText" text="FAIL">
      <formula>NOT(ISERROR(SEARCH("FAIL",L139)))</formula>
    </cfRule>
  </conditionalFormatting>
  <conditionalFormatting sqref="L139">
    <cfRule type="containsText" dxfId="4991" priority="535" operator="containsText" text="GOOD">
      <formula>NOT(ISERROR(SEARCH("GOOD",L139)))</formula>
    </cfRule>
  </conditionalFormatting>
  <conditionalFormatting sqref="L138">
    <cfRule type="containsText" dxfId="4990" priority="534" operator="containsText" text="FAIL">
      <formula>NOT(ISERROR(SEARCH("FAIL",L138)))</formula>
    </cfRule>
  </conditionalFormatting>
  <conditionalFormatting sqref="L138">
    <cfRule type="containsText" dxfId="4989" priority="533" operator="containsText" text="GOOD">
      <formula>NOT(ISERROR(SEARCH("GOOD",L138)))</formula>
    </cfRule>
  </conditionalFormatting>
  <conditionalFormatting sqref="L137">
    <cfRule type="containsText" dxfId="4988" priority="532" operator="containsText" text="FAIL">
      <formula>NOT(ISERROR(SEARCH("FAIL",L137)))</formula>
    </cfRule>
  </conditionalFormatting>
  <conditionalFormatting sqref="L137">
    <cfRule type="containsText" dxfId="4987" priority="531" operator="containsText" text="GOOD">
      <formula>NOT(ISERROR(SEARCH("GOOD",L137)))</formula>
    </cfRule>
  </conditionalFormatting>
  <conditionalFormatting sqref="L136">
    <cfRule type="containsText" dxfId="4986" priority="530" operator="containsText" text="FAIL">
      <formula>NOT(ISERROR(SEARCH("FAIL",L136)))</formula>
    </cfRule>
  </conditionalFormatting>
  <conditionalFormatting sqref="L136">
    <cfRule type="containsText" dxfId="4985" priority="529" operator="containsText" text="GOOD">
      <formula>NOT(ISERROR(SEARCH("GOOD",L136)))</formula>
    </cfRule>
  </conditionalFormatting>
  <conditionalFormatting sqref="L134">
    <cfRule type="containsText" dxfId="4984" priority="528" operator="containsText" text="FAIL">
      <formula>NOT(ISERROR(SEARCH("FAIL",L134)))</formula>
    </cfRule>
  </conditionalFormatting>
  <conditionalFormatting sqref="L134">
    <cfRule type="containsText" dxfId="4983" priority="527" operator="containsText" text="GOOD">
      <formula>NOT(ISERROR(SEARCH("GOOD",L134)))</formula>
    </cfRule>
  </conditionalFormatting>
  <conditionalFormatting sqref="L132:L133">
    <cfRule type="containsText" dxfId="4982" priority="526" operator="containsText" text="FAIL">
      <formula>NOT(ISERROR(SEARCH("FAIL",L132)))</formula>
    </cfRule>
  </conditionalFormatting>
  <conditionalFormatting sqref="L132:L133">
    <cfRule type="containsText" dxfId="4981" priority="525" operator="containsText" text="GOOD">
      <formula>NOT(ISERROR(SEARCH("GOOD",L132)))</formula>
    </cfRule>
  </conditionalFormatting>
  <conditionalFormatting sqref="L131">
    <cfRule type="containsText" dxfId="4980" priority="524" operator="containsText" text="FAIL">
      <formula>NOT(ISERROR(SEARCH("FAIL",L131)))</formula>
    </cfRule>
  </conditionalFormatting>
  <conditionalFormatting sqref="L131">
    <cfRule type="containsText" dxfId="4979" priority="523" operator="containsText" text="GOOD">
      <formula>NOT(ISERROR(SEARCH("GOOD",L131)))</formula>
    </cfRule>
  </conditionalFormatting>
  <conditionalFormatting sqref="L129:L130">
    <cfRule type="containsText" dxfId="4978" priority="522" operator="containsText" text="FAIL">
      <formula>NOT(ISERROR(SEARCH("FAIL",L129)))</formula>
    </cfRule>
  </conditionalFormatting>
  <conditionalFormatting sqref="L129:L130">
    <cfRule type="containsText" dxfId="4977" priority="521" operator="containsText" text="GOOD">
      <formula>NOT(ISERROR(SEARCH("GOOD",L129)))</formula>
    </cfRule>
  </conditionalFormatting>
  <conditionalFormatting sqref="L128">
    <cfRule type="containsText" dxfId="4976" priority="520" operator="containsText" text="FAIL">
      <formula>NOT(ISERROR(SEARCH("FAIL",L128)))</formula>
    </cfRule>
  </conditionalFormatting>
  <conditionalFormatting sqref="L128">
    <cfRule type="containsText" dxfId="4975" priority="519" operator="containsText" text="GOOD">
      <formula>NOT(ISERROR(SEARCH("GOOD",L128)))</formula>
    </cfRule>
  </conditionalFormatting>
  <conditionalFormatting sqref="L126:L127">
    <cfRule type="containsText" dxfId="4974" priority="518" operator="containsText" text="FAIL">
      <formula>NOT(ISERROR(SEARCH("FAIL",L126)))</formula>
    </cfRule>
  </conditionalFormatting>
  <conditionalFormatting sqref="L126:L127">
    <cfRule type="containsText" dxfId="4973" priority="517" operator="containsText" text="GOOD">
      <formula>NOT(ISERROR(SEARCH("GOOD",L126)))</formula>
    </cfRule>
  </conditionalFormatting>
  <conditionalFormatting sqref="L124">
    <cfRule type="containsText" dxfId="4972" priority="516" operator="containsText" text="FAIL">
      <formula>NOT(ISERROR(SEARCH("FAIL",L124)))</formula>
    </cfRule>
  </conditionalFormatting>
  <conditionalFormatting sqref="L124">
    <cfRule type="containsText" dxfId="4971" priority="515" operator="containsText" text="GOOD">
      <formula>NOT(ISERROR(SEARCH("GOOD",L124)))</formula>
    </cfRule>
  </conditionalFormatting>
  <conditionalFormatting sqref="L122:L123">
    <cfRule type="containsText" dxfId="4970" priority="514" operator="containsText" text="FAIL">
      <formula>NOT(ISERROR(SEARCH("FAIL",L122)))</formula>
    </cfRule>
  </conditionalFormatting>
  <conditionalFormatting sqref="L122:L123">
    <cfRule type="containsText" dxfId="4969" priority="513" operator="containsText" text="GOOD">
      <formula>NOT(ISERROR(SEARCH("GOOD",L122)))</formula>
    </cfRule>
  </conditionalFormatting>
  <conditionalFormatting sqref="L125">
    <cfRule type="containsText" dxfId="4968" priority="512" operator="containsText" text="FAIL">
      <formula>NOT(ISERROR(SEARCH("FAIL",L125)))</formula>
    </cfRule>
  </conditionalFormatting>
  <conditionalFormatting sqref="L125">
    <cfRule type="containsText" dxfId="4967" priority="511" operator="containsText" text="GOOD">
      <formula>NOT(ISERROR(SEARCH("GOOD",L125)))</formula>
    </cfRule>
  </conditionalFormatting>
  <conditionalFormatting sqref="L119:L121">
    <cfRule type="containsText" dxfId="4966" priority="510" operator="containsText" text="FAIL">
      <formula>NOT(ISERROR(SEARCH("FAIL",L119)))</formula>
    </cfRule>
  </conditionalFormatting>
  <conditionalFormatting sqref="L119:L121">
    <cfRule type="containsText" dxfId="4965" priority="509" operator="containsText" text="GOOD">
      <formula>NOT(ISERROR(SEARCH("GOOD",L119)))</formula>
    </cfRule>
  </conditionalFormatting>
  <conditionalFormatting sqref="L118">
    <cfRule type="containsText" dxfId="4964" priority="508" operator="containsText" text="FAIL">
      <formula>NOT(ISERROR(SEARCH("FAIL",L118)))</formula>
    </cfRule>
  </conditionalFormatting>
  <conditionalFormatting sqref="L118">
    <cfRule type="containsText" dxfId="4963" priority="507" operator="containsText" text="GOOD">
      <formula>NOT(ISERROR(SEARCH("GOOD",L118)))</formula>
    </cfRule>
  </conditionalFormatting>
  <conditionalFormatting sqref="L116">
    <cfRule type="containsText" dxfId="4962" priority="506" operator="containsText" text="FAIL">
      <formula>NOT(ISERROR(SEARCH("FAIL",L116)))</formula>
    </cfRule>
  </conditionalFormatting>
  <conditionalFormatting sqref="L116">
    <cfRule type="containsText" dxfId="4961" priority="505" operator="containsText" text="GOOD">
      <formula>NOT(ISERROR(SEARCH("GOOD",L116)))</formula>
    </cfRule>
  </conditionalFormatting>
  <conditionalFormatting sqref="L115">
    <cfRule type="containsText" dxfId="4960" priority="504" operator="containsText" text="FAIL">
      <formula>NOT(ISERROR(SEARCH("FAIL",L115)))</formula>
    </cfRule>
  </conditionalFormatting>
  <conditionalFormatting sqref="L115">
    <cfRule type="containsText" dxfId="4959" priority="503" operator="containsText" text="GOOD">
      <formula>NOT(ISERROR(SEARCH("GOOD",L115)))</formula>
    </cfRule>
  </conditionalFormatting>
  <conditionalFormatting sqref="L114">
    <cfRule type="containsText" dxfId="4958" priority="502" operator="containsText" text="FAIL">
      <formula>NOT(ISERROR(SEARCH("FAIL",L114)))</formula>
    </cfRule>
  </conditionalFormatting>
  <conditionalFormatting sqref="L114">
    <cfRule type="containsText" dxfId="4957" priority="501" operator="containsText" text="GOOD">
      <formula>NOT(ISERROR(SEARCH("GOOD",L114)))</formula>
    </cfRule>
  </conditionalFormatting>
  <conditionalFormatting sqref="L113">
    <cfRule type="containsText" dxfId="4956" priority="500" operator="containsText" text="FAIL">
      <formula>NOT(ISERROR(SEARCH("FAIL",L113)))</formula>
    </cfRule>
  </conditionalFormatting>
  <conditionalFormatting sqref="L113">
    <cfRule type="containsText" dxfId="4955" priority="499" operator="containsText" text="GOOD">
      <formula>NOT(ISERROR(SEARCH("GOOD",L113)))</formula>
    </cfRule>
  </conditionalFormatting>
  <conditionalFormatting sqref="L112">
    <cfRule type="containsText" dxfId="4954" priority="498" operator="containsText" text="FAIL">
      <formula>NOT(ISERROR(SEARCH("FAIL",L112)))</formula>
    </cfRule>
  </conditionalFormatting>
  <conditionalFormatting sqref="L112">
    <cfRule type="containsText" dxfId="4953" priority="497" operator="containsText" text="GOOD">
      <formula>NOT(ISERROR(SEARCH("GOOD",L112)))</formula>
    </cfRule>
  </conditionalFormatting>
  <conditionalFormatting sqref="L111">
    <cfRule type="containsText" dxfId="4952" priority="496" operator="containsText" text="FAIL">
      <formula>NOT(ISERROR(SEARCH("FAIL",L111)))</formula>
    </cfRule>
  </conditionalFormatting>
  <conditionalFormatting sqref="L111">
    <cfRule type="containsText" dxfId="4951" priority="495" operator="containsText" text="GOOD">
      <formula>NOT(ISERROR(SEARCH("GOOD",L111)))</formula>
    </cfRule>
  </conditionalFormatting>
  <conditionalFormatting sqref="L109:L110">
    <cfRule type="containsText" dxfId="4950" priority="494" operator="containsText" text="FAIL">
      <formula>NOT(ISERROR(SEARCH("FAIL",L109)))</formula>
    </cfRule>
  </conditionalFormatting>
  <conditionalFormatting sqref="L109:L110">
    <cfRule type="containsText" dxfId="4949" priority="493" operator="containsText" text="GOOD">
      <formula>NOT(ISERROR(SEARCH("GOOD",L109)))</formula>
    </cfRule>
  </conditionalFormatting>
  <conditionalFormatting sqref="L108">
    <cfRule type="containsText" dxfId="4948" priority="492" operator="containsText" text="FAIL">
      <formula>NOT(ISERROR(SEARCH("FAIL",L108)))</formula>
    </cfRule>
  </conditionalFormatting>
  <conditionalFormatting sqref="L108">
    <cfRule type="containsText" dxfId="4947" priority="491" operator="containsText" text="GOOD">
      <formula>NOT(ISERROR(SEARCH("GOOD",L108)))</formula>
    </cfRule>
  </conditionalFormatting>
  <conditionalFormatting sqref="Z108:AA116">
    <cfRule type="containsText" dxfId="4946" priority="490" operator="containsText" text="FAIL">
      <formula>NOT(ISERROR(SEARCH("FAIL",Z108)))</formula>
    </cfRule>
  </conditionalFormatting>
  <conditionalFormatting sqref="Z108:AA116">
    <cfRule type="containsText" dxfId="4945" priority="489" operator="containsText" text="GOOD">
      <formula>NOT(ISERROR(SEARCH("GOOD",Z108)))</formula>
    </cfRule>
  </conditionalFormatting>
  <conditionalFormatting sqref="Z118:AA134">
    <cfRule type="containsText" dxfId="4944" priority="488" operator="containsText" text="FAIL">
      <formula>NOT(ISERROR(SEARCH("FAIL",Z118)))</formula>
    </cfRule>
  </conditionalFormatting>
  <conditionalFormatting sqref="Z118:AA134">
    <cfRule type="containsText" dxfId="4943" priority="487" operator="containsText" text="GOOD">
      <formula>NOT(ISERROR(SEARCH("GOOD",Z118)))</formula>
    </cfRule>
  </conditionalFormatting>
  <conditionalFormatting sqref="Z136:AA147">
    <cfRule type="containsText" dxfId="4942" priority="486" operator="containsText" text="FAIL">
      <formula>NOT(ISERROR(SEARCH("FAIL",Z136)))</formula>
    </cfRule>
  </conditionalFormatting>
  <conditionalFormatting sqref="Z136:AA147">
    <cfRule type="containsText" dxfId="4941" priority="485" operator="containsText" text="GOOD">
      <formula>NOT(ISERROR(SEARCH("GOOD",Z136)))</formula>
    </cfRule>
  </conditionalFormatting>
  <conditionalFormatting sqref="Z149:AA168">
    <cfRule type="containsText" dxfId="4940" priority="484" operator="containsText" text="FAIL">
      <formula>NOT(ISERROR(SEARCH("FAIL",Z149)))</formula>
    </cfRule>
  </conditionalFormatting>
  <conditionalFormatting sqref="Z149:AA168">
    <cfRule type="containsText" dxfId="4939" priority="483" operator="containsText" text="GOOD">
      <formula>NOT(ISERROR(SEARCH("GOOD",Z149)))</formula>
    </cfRule>
  </conditionalFormatting>
  <conditionalFormatting sqref="Z170:AA187">
    <cfRule type="containsText" dxfId="4938" priority="482" operator="containsText" text="FAIL">
      <formula>NOT(ISERROR(SEARCH("FAIL",Z170)))</formula>
    </cfRule>
  </conditionalFormatting>
  <conditionalFormatting sqref="Z170:AA187">
    <cfRule type="containsText" dxfId="4937" priority="481" operator="containsText" text="GOOD">
      <formula>NOT(ISERROR(SEARCH("GOOD",Z170)))</formula>
    </cfRule>
  </conditionalFormatting>
  <conditionalFormatting sqref="Z189:AA202">
    <cfRule type="containsText" dxfId="4936" priority="480" operator="containsText" text="FAIL">
      <formula>NOT(ISERROR(SEARCH("FAIL",Z189)))</formula>
    </cfRule>
  </conditionalFormatting>
  <conditionalFormatting sqref="Z189:AA202">
    <cfRule type="containsText" dxfId="4935" priority="479" operator="containsText" text="GOOD">
      <formula>NOT(ISERROR(SEARCH("GOOD",Z189)))</formula>
    </cfRule>
  </conditionalFormatting>
  <conditionalFormatting sqref="Z204:AA212">
    <cfRule type="containsText" dxfId="4934" priority="478" operator="containsText" text="FAIL">
      <formula>NOT(ISERROR(SEARCH("FAIL",Z204)))</formula>
    </cfRule>
  </conditionalFormatting>
  <conditionalFormatting sqref="Z204:AA212">
    <cfRule type="containsText" dxfId="4933" priority="477" operator="containsText" text="GOOD">
      <formula>NOT(ISERROR(SEARCH("GOOD",Z204)))</formula>
    </cfRule>
  </conditionalFormatting>
  <conditionalFormatting sqref="Z279:AA283">
    <cfRule type="containsText" dxfId="4932" priority="465" operator="containsText" text="GOOD">
      <formula>NOT(ISERROR(SEARCH("GOOD",Z279)))</formula>
    </cfRule>
  </conditionalFormatting>
  <conditionalFormatting sqref="Z214:AA226">
    <cfRule type="containsText" dxfId="4931" priority="476" operator="containsText" text="FAIL">
      <formula>NOT(ISERROR(SEARCH("FAIL",Z214)))</formula>
    </cfRule>
  </conditionalFormatting>
  <conditionalFormatting sqref="Z214:AA226">
    <cfRule type="containsText" dxfId="4930" priority="475" operator="containsText" text="GOOD">
      <formula>NOT(ISERROR(SEARCH("GOOD",Z214)))</formula>
    </cfRule>
  </conditionalFormatting>
  <conditionalFormatting sqref="Z228:AA238">
    <cfRule type="containsText" dxfId="4929" priority="474" operator="containsText" text="FAIL">
      <formula>NOT(ISERROR(SEARCH("FAIL",Z228)))</formula>
    </cfRule>
  </conditionalFormatting>
  <conditionalFormatting sqref="Z228:AA238">
    <cfRule type="containsText" dxfId="4928" priority="473" operator="containsText" text="GOOD">
      <formula>NOT(ISERROR(SEARCH("GOOD",Z228)))</formula>
    </cfRule>
  </conditionalFormatting>
  <conditionalFormatting sqref="Z240:AA251">
    <cfRule type="containsText" dxfId="4927" priority="472" operator="containsText" text="FAIL">
      <formula>NOT(ISERROR(SEARCH("FAIL",Z240)))</formula>
    </cfRule>
  </conditionalFormatting>
  <conditionalFormatting sqref="Z240:AA251">
    <cfRule type="containsText" dxfId="4926" priority="471" operator="containsText" text="GOOD">
      <formula>NOT(ISERROR(SEARCH("GOOD",Z240)))</formula>
    </cfRule>
  </conditionalFormatting>
  <conditionalFormatting sqref="Z253:AA259">
    <cfRule type="containsText" dxfId="4925" priority="470" operator="containsText" text="FAIL">
      <formula>NOT(ISERROR(SEARCH("FAIL",Z253)))</formula>
    </cfRule>
  </conditionalFormatting>
  <conditionalFormatting sqref="Z253:AA259">
    <cfRule type="containsText" dxfId="4924" priority="469" operator="containsText" text="GOOD">
      <formula>NOT(ISERROR(SEARCH("GOOD",Z253)))</formula>
    </cfRule>
  </conditionalFormatting>
  <conditionalFormatting sqref="Z261:AA277">
    <cfRule type="containsText" dxfId="4923" priority="468" operator="containsText" text="FAIL">
      <formula>NOT(ISERROR(SEARCH("FAIL",Z261)))</formula>
    </cfRule>
  </conditionalFormatting>
  <conditionalFormatting sqref="Z261:AA277">
    <cfRule type="containsText" dxfId="4922" priority="467" operator="containsText" text="GOOD">
      <formula>NOT(ISERROR(SEARCH("GOOD",Z261)))</formula>
    </cfRule>
  </conditionalFormatting>
  <conditionalFormatting sqref="Z279:AA283">
    <cfRule type="containsText" dxfId="4921" priority="466" operator="containsText" text="FAIL">
      <formula>NOT(ISERROR(SEARCH("FAIL",Z279)))</formula>
    </cfRule>
  </conditionalFormatting>
  <conditionalFormatting sqref="B116">
    <cfRule type="containsText" dxfId="4920" priority="464" operator="containsText" text="FAIL">
      <formula>NOT(ISERROR(SEARCH("FAIL",B116)))</formula>
    </cfRule>
  </conditionalFormatting>
  <conditionalFormatting sqref="B116">
    <cfRule type="containsText" dxfId="4919" priority="463" operator="containsText" text="GOOD">
      <formula>NOT(ISERROR(SEARCH("GOOD",B116)))</formula>
    </cfRule>
  </conditionalFormatting>
  <conditionalFormatting sqref="B134">
    <cfRule type="containsText" dxfId="4918" priority="462" operator="containsText" text="FAIL">
      <formula>NOT(ISERROR(SEARCH("FAIL",B134)))</formula>
    </cfRule>
  </conditionalFormatting>
  <conditionalFormatting sqref="B134">
    <cfRule type="containsText" dxfId="4917" priority="461" operator="containsText" text="GOOD">
      <formula>NOT(ISERROR(SEARCH("GOOD",B134)))</formula>
    </cfRule>
  </conditionalFormatting>
  <conditionalFormatting sqref="B147">
    <cfRule type="containsText" dxfId="4916" priority="460" operator="containsText" text="FAIL">
      <formula>NOT(ISERROR(SEARCH("FAIL",B147)))</formula>
    </cfRule>
  </conditionalFormatting>
  <conditionalFormatting sqref="B147">
    <cfRule type="containsText" dxfId="4915" priority="459" operator="containsText" text="GOOD">
      <formula>NOT(ISERROR(SEARCH("GOOD",B147)))</formula>
    </cfRule>
  </conditionalFormatting>
  <conditionalFormatting sqref="B168">
    <cfRule type="containsText" dxfId="4914" priority="458" operator="containsText" text="FAIL">
      <formula>NOT(ISERROR(SEARCH("FAIL",B168)))</formula>
    </cfRule>
  </conditionalFormatting>
  <conditionalFormatting sqref="B168">
    <cfRule type="containsText" dxfId="4913" priority="457" operator="containsText" text="GOOD">
      <formula>NOT(ISERROR(SEARCH("GOOD",B168)))</formula>
    </cfRule>
  </conditionalFormatting>
  <conditionalFormatting sqref="B187">
    <cfRule type="containsText" dxfId="4912" priority="456" operator="containsText" text="FAIL">
      <formula>NOT(ISERROR(SEARCH("FAIL",B187)))</formula>
    </cfRule>
  </conditionalFormatting>
  <conditionalFormatting sqref="B187">
    <cfRule type="containsText" dxfId="4911" priority="455" operator="containsText" text="GOOD">
      <formula>NOT(ISERROR(SEARCH("GOOD",B187)))</formula>
    </cfRule>
  </conditionalFormatting>
  <conditionalFormatting sqref="B202">
    <cfRule type="containsText" dxfId="4910" priority="454" operator="containsText" text="FAIL">
      <formula>NOT(ISERROR(SEARCH("FAIL",B202)))</formula>
    </cfRule>
  </conditionalFormatting>
  <conditionalFormatting sqref="B202">
    <cfRule type="containsText" dxfId="4909" priority="453" operator="containsText" text="GOOD">
      <formula>NOT(ISERROR(SEARCH("GOOD",B202)))</formula>
    </cfRule>
  </conditionalFormatting>
  <conditionalFormatting sqref="B212">
    <cfRule type="containsText" dxfId="4908" priority="452" operator="containsText" text="FAIL">
      <formula>NOT(ISERROR(SEARCH("FAIL",B212)))</formula>
    </cfRule>
  </conditionalFormatting>
  <conditionalFormatting sqref="B212">
    <cfRule type="containsText" dxfId="4907" priority="451" operator="containsText" text="GOOD">
      <formula>NOT(ISERROR(SEARCH("GOOD",B212)))</formula>
    </cfRule>
  </conditionalFormatting>
  <conditionalFormatting sqref="B226">
    <cfRule type="containsText" dxfId="4906" priority="450" operator="containsText" text="FAIL">
      <formula>NOT(ISERROR(SEARCH("FAIL",B226)))</formula>
    </cfRule>
  </conditionalFormatting>
  <conditionalFormatting sqref="B226">
    <cfRule type="containsText" dxfId="4905" priority="449" operator="containsText" text="GOOD">
      <formula>NOT(ISERROR(SEARCH("GOOD",B226)))</formula>
    </cfRule>
  </conditionalFormatting>
  <conditionalFormatting sqref="B238">
    <cfRule type="containsText" dxfId="4904" priority="448" operator="containsText" text="FAIL">
      <formula>NOT(ISERROR(SEARCH("FAIL",B238)))</formula>
    </cfRule>
  </conditionalFormatting>
  <conditionalFormatting sqref="B238">
    <cfRule type="containsText" dxfId="4903" priority="447" operator="containsText" text="GOOD">
      <formula>NOT(ISERROR(SEARCH("GOOD",B238)))</formula>
    </cfRule>
  </conditionalFormatting>
  <conditionalFormatting sqref="B251">
    <cfRule type="containsText" dxfId="4902" priority="446" operator="containsText" text="FAIL">
      <formula>NOT(ISERROR(SEARCH("FAIL",B251)))</formula>
    </cfRule>
  </conditionalFormatting>
  <conditionalFormatting sqref="B251">
    <cfRule type="containsText" dxfId="4901" priority="445" operator="containsText" text="GOOD">
      <formula>NOT(ISERROR(SEARCH("GOOD",B251)))</formula>
    </cfRule>
  </conditionalFormatting>
  <conditionalFormatting sqref="B259">
    <cfRule type="containsText" dxfId="4900" priority="444" operator="containsText" text="FAIL">
      <formula>NOT(ISERROR(SEARCH("FAIL",B259)))</formula>
    </cfRule>
  </conditionalFormatting>
  <conditionalFormatting sqref="B259">
    <cfRule type="containsText" dxfId="4899" priority="443" operator="containsText" text="GOOD">
      <formula>NOT(ISERROR(SEARCH("GOOD",B259)))</formula>
    </cfRule>
  </conditionalFormatting>
  <conditionalFormatting sqref="B277">
    <cfRule type="containsText" dxfId="4898" priority="442" operator="containsText" text="FAIL">
      <formula>NOT(ISERROR(SEARCH("FAIL",B277)))</formula>
    </cfRule>
  </conditionalFormatting>
  <conditionalFormatting sqref="B277">
    <cfRule type="containsText" dxfId="4897" priority="441" operator="containsText" text="GOOD">
      <formula>NOT(ISERROR(SEARCH("GOOD",B277)))</formula>
    </cfRule>
  </conditionalFormatting>
  <conditionalFormatting sqref="B283">
    <cfRule type="containsText" dxfId="4896" priority="440" operator="containsText" text="FAIL">
      <formula>NOT(ISERROR(SEARCH("FAIL",B283)))</formula>
    </cfRule>
  </conditionalFormatting>
  <conditionalFormatting sqref="B283">
    <cfRule type="containsText" dxfId="4895" priority="439" operator="containsText" text="GOOD">
      <formula>NOT(ISERROR(SEARCH("GOOD",B283)))</formula>
    </cfRule>
  </conditionalFormatting>
  <conditionalFormatting sqref="L107">
    <cfRule type="containsText" dxfId="4894" priority="438" operator="containsText" text="FAIL">
      <formula>NOT(ISERROR(SEARCH("FAIL",L107)))</formula>
    </cfRule>
  </conditionalFormatting>
  <conditionalFormatting sqref="L107">
    <cfRule type="containsText" dxfId="4893" priority="437" operator="containsText" text="GOOD">
      <formula>NOT(ISERROR(SEARCH("GOOD",L107)))</formula>
    </cfRule>
  </conditionalFormatting>
  <conditionalFormatting sqref="Z107:AA107">
    <cfRule type="containsText" dxfId="4892" priority="436" operator="containsText" text="FAIL">
      <formula>NOT(ISERROR(SEARCH("FAIL",Z107)))</formula>
    </cfRule>
  </conditionalFormatting>
  <conditionalFormatting sqref="Z107:AA107">
    <cfRule type="containsText" dxfId="4891" priority="435" operator="containsText" text="GOOD">
      <formula>NOT(ISERROR(SEARCH("GOOD",Z107)))</formula>
    </cfRule>
  </conditionalFormatting>
  <conditionalFormatting sqref="L106">
    <cfRule type="containsText" dxfId="4890" priority="434" operator="containsText" text="FAIL">
      <formula>NOT(ISERROR(SEARCH("FAIL",L106)))</formula>
    </cfRule>
  </conditionalFormatting>
  <conditionalFormatting sqref="L106">
    <cfRule type="containsText" dxfId="4889" priority="433" operator="containsText" text="GOOD">
      <formula>NOT(ISERROR(SEARCH("GOOD",L106)))</formula>
    </cfRule>
  </conditionalFormatting>
  <conditionalFormatting sqref="Z106:AA106">
    <cfRule type="containsText" dxfId="4888" priority="432" operator="containsText" text="FAIL">
      <formula>NOT(ISERROR(SEARCH("FAIL",Z106)))</formula>
    </cfRule>
  </conditionalFormatting>
  <conditionalFormatting sqref="Z106:AA106">
    <cfRule type="containsText" dxfId="4887" priority="431" operator="containsText" text="GOOD">
      <formula>NOT(ISERROR(SEARCH("GOOD",Z106)))</formula>
    </cfRule>
  </conditionalFormatting>
  <conditionalFormatting sqref="L105">
    <cfRule type="containsText" dxfId="4886" priority="430" operator="containsText" text="FAIL">
      <formula>NOT(ISERROR(SEARCH("FAIL",L105)))</formula>
    </cfRule>
  </conditionalFormatting>
  <conditionalFormatting sqref="L105">
    <cfRule type="containsText" dxfId="4885" priority="429" operator="containsText" text="GOOD">
      <formula>NOT(ISERROR(SEARCH("GOOD",L105)))</formula>
    </cfRule>
  </conditionalFormatting>
  <conditionalFormatting sqref="Z105:AA105">
    <cfRule type="containsText" dxfId="4884" priority="428" operator="containsText" text="FAIL">
      <formula>NOT(ISERROR(SEARCH("FAIL",Z105)))</formula>
    </cfRule>
  </conditionalFormatting>
  <conditionalFormatting sqref="Z105:AA105">
    <cfRule type="containsText" dxfId="4883" priority="427" operator="containsText" text="GOOD">
      <formula>NOT(ISERROR(SEARCH("GOOD",Z105)))</formula>
    </cfRule>
  </conditionalFormatting>
  <conditionalFormatting sqref="L104">
    <cfRule type="containsText" dxfId="4882" priority="426" operator="containsText" text="FAIL">
      <formula>NOT(ISERROR(SEARCH("FAIL",L104)))</formula>
    </cfRule>
  </conditionalFormatting>
  <conditionalFormatting sqref="L104">
    <cfRule type="containsText" dxfId="4881" priority="425" operator="containsText" text="GOOD">
      <formula>NOT(ISERROR(SEARCH("GOOD",L104)))</formula>
    </cfRule>
  </conditionalFormatting>
  <conditionalFormatting sqref="Z104:AA104">
    <cfRule type="containsText" dxfId="4880" priority="424" operator="containsText" text="FAIL">
      <formula>NOT(ISERROR(SEARCH("FAIL",Z104)))</formula>
    </cfRule>
  </conditionalFormatting>
  <conditionalFormatting sqref="Z104:AA104">
    <cfRule type="containsText" dxfId="4879" priority="423" operator="containsText" text="GOOD">
      <formula>NOT(ISERROR(SEARCH("GOOD",Z104)))</formula>
    </cfRule>
  </conditionalFormatting>
  <conditionalFormatting sqref="L103">
    <cfRule type="containsText" dxfId="4878" priority="422" operator="containsText" text="FAIL">
      <formula>NOT(ISERROR(SEARCH("FAIL",L103)))</formula>
    </cfRule>
  </conditionalFormatting>
  <conditionalFormatting sqref="L103">
    <cfRule type="containsText" dxfId="4877" priority="421" operator="containsText" text="GOOD">
      <formula>NOT(ISERROR(SEARCH("GOOD",L103)))</formula>
    </cfRule>
  </conditionalFormatting>
  <conditionalFormatting sqref="Z103:AA103">
    <cfRule type="containsText" dxfId="4876" priority="420" operator="containsText" text="FAIL">
      <formula>NOT(ISERROR(SEARCH("FAIL",Z103)))</formula>
    </cfRule>
  </conditionalFormatting>
  <conditionalFormatting sqref="Z103:AA103">
    <cfRule type="containsText" dxfId="4875" priority="419" operator="containsText" text="GOOD">
      <formula>NOT(ISERROR(SEARCH("GOOD",Z103)))</formula>
    </cfRule>
  </conditionalFormatting>
  <conditionalFormatting sqref="L101:L102">
    <cfRule type="containsText" dxfId="4874" priority="418" operator="containsText" text="FAIL">
      <formula>NOT(ISERROR(SEARCH("FAIL",L101)))</formula>
    </cfRule>
  </conditionalFormatting>
  <conditionalFormatting sqref="L101:L102">
    <cfRule type="containsText" dxfId="4873" priority="417" operator="containsText" text="GOOD">
      <formula>NOT(ISERROR(SEARCH("GOOD",L101)))</formula>
    </cfRule>
  </conditionalFormatting>
  <conditionalFormatting sqref="Z101:AA102">
    <cfRule type="containsText" dxfId="4872" priority="416" operator="containsText" text="FAIL">
      <formula>NOT(ISERROR(SEARCH("FAIL",Z101)))</formula>
    </cfRule>
  </conditionalFormatting>
  <conditionalFormatting sqref="Z101:AA102">
    <cfRule type="containsText" dxfId="4871" priority="415" operator="containsText" text="GOOD">
      <formula>NOT(ISERROR(SEARCH("GOOD",Z101)))</formula>
    </cfRule>
  </conditionalFormatting>
  <conditionalFormatting sqref="L99">
    <cfRule type="containsText" dxfId="4870" priority="414" operator="containsText" text="FAIL">
      <formula>NOT(ISERROR(SEARCH("FAIL",L99)))</formula>
    </cfRule>
  </conditionalFormatting>
  <conditionalFormatting sqref="L99">
    <cfRule type="containsText" dxfId="4869" priority="413" operator="containsText" text="GOOD">
      <formula>NOT(ISERROR(SEARCH("GOOD",L99)))</formula>
    </cfRule>
  </conditionalFormatting>
  <conditionalFormatting sqref="Z99:AA99">
    <cfRule type="containsText" dxfId="4868" priority="412" operator="containsText" text="FAIL">
      <formula>NOT(ISERROR(SEARCH("FAIL",Z99)))</formula>
    </cfRule>
  </conditionalFormatting>
  <conditionalFormatting sqref="Z99:AA99">
    <cfRule type="containsText" dxfId="4867" priority="411" operator="containsText" text="GOOD">
      <formula>NOT(ISERROR(SEARCH("GOOD",Z99)))</formula>
    </cfRule>
  </conditionalFormatting>
  <conditionalFormatting sqref="B99">
    <cfRule type="containsText" dxfId="4866" priority="410" operator="containsText" text="FAIL">
      <formula>NOT(ISERROR(SEARCH("FAIL",B99)))</formula>
    </cfRule>
  </conditionalFormatting>
  <conditionalFormatting sqref="B99">
    <cfRule type="containsText" dxfId="4865" priority="409" operator="containsText" text="GOOD">
      <formula>NOT(ISERROR(SEARCH("GOOD",B99)))</formula>
    </cfRule>
  </conditionalFormatting>
  <conditionalFormatting sqref="L98">
    <cfRule type="containsText" dxfId="4864" priority="408" operator="containsText" text="FAIL">
      <formula>NOT(ISERROR(SEARCH("FAIL",L98)))</formula>
    </cfRule>
  </conditionalFormatting>
  <conditionalFormatting sqref="L98">
    <cfRule type="containsText" dxfId="4863" priority="407" operator="containsText" text="GOOD">
      <formula>NOT(ISERROR(SEARCH("GOOD",L98)))</formula>
    </cfRule>
  </conditionalFormatting>
  <conditionalFormatting sqref="Z98:AA98">
    <cfRule type="containsText" dxfId="4862" priority="406" operator="containsText" text="FAIL">
      <formula>NOT(ISERROR(SEARCH("FAIL",Z98)))</formula>
    </cfRule>
  </conditionalFormatting>
  <conditionalFormatting sqref="Z98:AA98">
    <cfRule type="containsText" dxfId="4861" priority="405" operator="containsText" text="GOOD">
      <formula>NOT(ISERROR(SEARCH("GOOD",Z98)))</formula>
    </cfRule>
  </conditionalFormatting>
  <conditionalFormatting sqref="L97">
    <cfRule type="containsText" dxfId="4860" priority="404" operator="containsText" text="FAIL">
      <formula>NOT(ISERROR(SEARCH("FAIL",L97)))</formula>
    </cfRule>
  </conditionalFormatting>
  <conditionalFormatting sqref="L97">
    <cfRule type="containsText" dxfId="4859" priority="403" operator="containsText" text="GOOD">
      <formula>NOT(ISERROR(SEARCH("GOOD",L97)))</formula>
    </cfRule>
  </conditionalFormatting>
  <conditionalFormatting sqref="Z97:AA97">
    <cfRule type="containsText" dxfId="4858" priority="402" operator="containsText" text="FAIL">
      <formula>NOT(ISERROR(SEARCH("FAIL",Z97)))</formula>
    </cfRule>
  </conditionalFormatting>
  <conditionalFormatting sqref="Z97:AA97">
    <cfRule type="containsText" dxfId="4857" priority="401" operator="containsText" text="GOOD">
      <formula>NOT(ISERROR(SEARCH("GOOD",Z97)))</formula>
    </cfRule>
  </conditionalFormatting>
  <conditionalFormatting sqref="L96">
    <cfRule type="containsText" dxfId="4856" priority="400" operator="containsText" text="FAIL">
      <formula>NOT(ISERROR(SEARCH("FAIL",L96)))</formula>
    </cfRule>
  </conditionalFormatting>
  <conditionalFormatting sqref="L96">
    <cfRule type="containsText" dxfId="4855" priority="399" operator="containsText" text="GOOD">
      <formula>NOT(ISERROR(SEARCH("GOOD",L96)))</formula>
    </cfRule>
  </conditionalFormatting>
  <conditionalFormatting sqref="Z96:AA96">
    <cfRule type="containsText" dxfId="4854" priority="398" operator="containsText" text="FAIL">
      <formula>NOT(ISERROR(SEARCH("FAIL",Z96)))</formula>
    </cfRule>
  </conditionalFormatting>
  <conditionalFormatting sqref="Z96:AA96">
    <cfRule type="containsText" dxfId="4853" priority="397" operator="containsText" text="GOOD">
      <formula>NOT(ISERROR(SEARCH("GOOD",Z96)))</formula>
    </cfRule>
  </conditionalFormatting>
  <conditionalFormatting sqref="L95">
    <cfRule type="containsText" dxfId="4852" priority="396" operator="containsText" text="FAIL">
      <formula>NOT(ISERROR(SEARCH("FAIL",L95)))</formula>
    </cfRule>
  </conditionalFormatting>
  <conditionalFormatting sqref="L95">
    <cfRule type="containsText" dxfId="4851" priority="395" operator="containsText" text="GOOD">
      <formula>NOT(ISERROR(SEARCH("GOOD",L95)))</formula>
    </cfRule>
  </conditionalFormatting>
  <conditionalFormatting sqref="Z95:AA95">
    <cfRule type="containsText" dxfId="4850" priority="394" operator="containsText" text="FAIL">
      <formula>NOT(ISERROR(SEARCH("FAIL",Z95)))</formula>
    </cfRule>
  </conditionalFormatting>
  <conditionalFormatting sqref="Z95:AA95">
    <cfRule type="containsText" dxfId="4849" priority="393" operator="containsText" text="GOOD">
      <formula>NOT(ISERROR(SEARCH("GOOD",Z95)))</formula>
    </cfRule>
  </conditionalFormatting>
  <conditionalFormatting sqref="L94">
    <cfRule type="containsText" dxfId="4848" priority="392" operator="containsText" text="FAIL">
      <formula>NOT(ISERROR(SEARCH("FAIL",L94)))</formula>
    </cfRule>
  </conditionalFormatting>
  <conditionalFormatting sqref="L94">
    <cfRule type="containsText" dxfId="4847" priority="391" operator="containsText" text="GOOD">
      <formula>NOT(ISERROR(SEARCH("GOOD",L94)))</formula>
    </cfRule>
  </conditionalFormatting>
  <conditionalFormatting sqref="Z94:AA94">
    <cfRule type="containsText" dxfId="4846" priority="390" operator="containsText" text="FAIL">
      <formula>NOT(ISERROR(SEARCH("FAIL",Z94)))</formula>
    </cfRule>
  </conditionalFormatting>
  <conditionalFormatting sqref="Z94:AA94">
    <cfRule type="containsText" dxfId="4845" priority="389" operator="containsText" text="GOOD">
      <formula>NOT(ISERROR(SEARCH("GOOD",Z94)))</formula>
    </cfRule>
  </conditionalFormatting>
  <conditionalFormatting sqref="L344">
    <cfRule type="containsText" dxfId="4844" priority="388" operator="containsText" text="FAIL">
      <formula>NOT(ISERROR(SEARCH("FAIL",L344)))</formula>
    </cfRule>
  </conditionalFormatting>
  <conditionalFormatting sqref="L344">
    <cfRule type="containsText" dxfId="4843" priority="387" operator="containsText" text="GOOD">
      <formula>NOT(ISERROR(SEARCH("GOOD",L344)))</formula>
    </cfRule>
  </conditionalFormatting>
  <conditionalFormatting sqref="Z344:AA344">
    <cfRule type="containsText" dxfId="4842" priority="386" operator="containsText" text="FAIL">
      <formula>NOT(ISERROR(SEARCH("FAIL",Z344)))</formula>
    </cfRule>
  </conditionalFormatting>
  <conditionalFormatting sqref="Z344:AA344">
    <cfRule type="containsText" dxfId="4841" priority="385" operator="containsText" text="GOOD">
      <formula>NOT(ISERROR(SEARCH("GOOD",Z344)))</formula>
    </cfRule>
  </conditionalFormatting>
  <conditionalFormatting sqref="L345">
    <cfRule type="containsText" dxfId="4840" priority="384" operator="containsText" text="FAIL">
      <formula>NOT(ISERROR(SEARCH("FAIL",L345)))</formula>
    </cfRule>
  </conditionalFormatting>
  <conditionalFormatting sqref="L345">
    <cfRule type="containsText" dxfId="4839" priority="383" operator="containsText" text="GOOD">
      <formula>NOT(ISERROR(SEARCH("GOOD",L345)))</formula>
    </cfRule>
  </conditionalFormatting>
  <conditionalFormatting sqref="Z345:AA345">
    <cfRule type="containsText" dxfId="4838" priority="382" operator="containsText" text="FAIL">
      <formula>NOT(ISERROR(SEARCH("FAIL",Z345)))</formula>
    </cfRule>
  </conditionalFormatting>
  <conditionalFormatting sqref="Z345:AA345">
    <cfRule type="containsText" dxfId="4837" priority="381" operator="containsText" text="GOOD">
      <formula>NOT(ISERROR(SEARCH("GOOD",Z345)))</formula>
    </cfRule>
  </conditionalFormatting>
  <conditionalFormatting sqref="B345">
    <cfRule type="containsText" dxfId="4836" priority="380" operator="containsText" text="FAIL">
      <formula>NOT(ISERROR(SEARCH("FAIL",B345)))</formula>
    </cfRule>
  </conditionalFormatting>
  <conditionalFormatting sqref="B345">
    <cfRule type="containsText" dxfId="4835" priority="379" operator="containsText" text="GOOD">
      <formula>NOT(ISERROR(SEARCH("GOOD",B345)))</formula>
    </cfRule>
  </conditionalFormatting>
  <conditionalFormatting sqref="L346">
    <cfRule type="containsText" dxfId="4834" priority="378" operator="containsText" text="FAIL">
      <formula>NOT(ISERROR(SEARCH("FAIL",L346)))</formula>
    </cfRule>
  </conditionalFormatting>
  <conditionalFormatting sqref="L346">
    <cfRule type="containsText" dxfId="4833" priority="377" operator="containsText" text="GOOD">
      <formula>NOT(ISERROR(SEARCH("GOOD",L346)))</formula>
    </cfRule>
  </conditionalFormatting>
  <conditionalFormatting sqref="Z346:AA347">
    <cfRule type="containsText" dxfId="4832" priority="376" operator="containsText" text="FAIL">
      <formula>NOT(ISERROR(SEARCH("FAIL",Z346)))</formula>
    </cfRule>
  </conditionalFormatting>
  <conditionalFormatting sqref="Z346:AA347">
    <cfRule type="containsText" dxfId="4831" priority="375" operator="containsText" text="GOOD">
      <formula>NOT(ISERROR(SEARCH("GOOD",Z346)))</formula>
    </cfRule>
  </conditionalFormatting>
  <conditionalFormatting sqref="L347">
    <cfRule type="containsText" dxfId="4830" priority="374" operator="containsText" text="FAIL">
      <formula>NOT(ISERROR(SEARCH("FAIL",L347)))</formula>
    </cfRule>
  </conditionalFormatting>
  <conditionalFormatting sqref="L347">
    <cfRule type="containsText" dxfId="4829" priority="373" operator="containsText" text="GOOD">
      <formula>NOT(ISERROR(SEARCH("GOOD",L347)))</formula>
    </cfRule>
  </conditionalFormatting>
  <conditionalFormatting sqref="L348">
    <cfRule type="containsText" dxfId="4828" priority="372" operator="containsText" text="FAIL">
      <formula>NOT(ISERROR(SEARCH("FAIL",L348)))</formula>
    </cfRule>
  </conditionalFormatting>
  <conditionalFormatting sqref="L348">
    <cfRule type="containsText" dxfId="4827" priority="371" operator="containsText" text="GOOD">
      <formula>NOT(ISERROR(SEARCH("GOOD",L348)))</formula>
    </cfRule>
  </conditionalFormatting>
  <conditionalFormatting sqref="Z348:AA349">
    <cfRule type="containsText" dxfId="4826" priority="370" operator="containsText" text="FAIL">
      <formula>NOT(ISERROR(SEARCH("FAIL",Z348)))</formula>
    </cfRule>
  </conditionalFormatting>
  <conditionalFormatting sqref="Z348:AA349">
    <cfRule type="containsText" dxfId="4825" priority="369" operator="containsText" text="GOOD">
      <formula>NOT(ISERROR(SEARCH("GOOD",Z348)))</formula>
    </cfRule>
  </conditionalFormatting>
  <conditionalFormatting sqref="L349">
    <cfRule type="containsText" dxfId="4824" priority="368" operator="containsText" text="FAIL">
      <formula>NOT(ISERROR(SEARCH("FAIL",L349)))</formula>
    </cfRule>
  </conditionalFormatting>
  <conditionalFormatting sqref="L349">
    <cfRule type="containsText" dxfId="4823" priority="367" operator="containsText" text="GOOD">
      <formula>NOT(ISERROR(SEARCH("GOOD",L349)))</formula>
    </cfRule>
  </conditionalFormatting>
  <conditionalFormatting sqref="L92">
    <cfRule type="containsText" dxfId="4822" priority="366" operator="containsText" text="FAIL">
      <formula>NOT(ISERROR(SEARCH("FAIL",L92)))</formula>
    </cfRule>
  </conditionalFormatting>
  <conditionalFormatting sqref="L92">
    <cfRule type="containsText" dxfId="4821" priority="365" operator="containsText" text="GOOD">
      <formula>NOT(ISERROR(SEARCH("GOOD",L92)))</formula>
    </cfRule>
  </conditionalFormatting>
  <conditionalFormatting sqref="Z92:AA92">
    <cfRule type="containsText" dxfId="4820" priority="364" operator="containsText" text="FAIL">
      <formula>NOT(ISERROR(SEARCH("FAIL",Z92)))</formula>
    </cfRule>
  </conditionalFormatting>
  <conditionalFormatting sqref="Z92:AA92">
    <cfRule type="containsText" dxfId="4819" priority="363" operator="containsText" text="GOOD">
      <formula>NOT(ISERROR(SEARCH("GOOD",Z92)))</formula>
    </cfRule>
  </conditionalFormatting>
  <conditionalFormatting sqref="L91">
    <cfRule type="containsText" dxfId="4818" priority="362" operator="containsText" text="FAIL">
      <formula>NOT(ISERROR(SEARCH("FAIL",L91)))</formula>
    </cfRule>
  </conditionalFormatting>
  <conditionalFormatting sqref="L91">
    <cfRule type="containsText" dxfId="4817" priority="361" operator="containsText" text="GOOD">
      <formula>NOT(ISERROR(SEARCH("GOOD",L91)))</formula>
    </cfRule>
  </conditionalFormatting>
  <conditionalFormatting sqref="Z91:AA91">
    <cfRule type="containsText" dxfId="4816" priority="360" operator="containsText" text="FAIL">
      <formula>NOT(ISERROR(SEARCH("FAIL",Z91)))</formula>
    </cfRule>
  </conditionalFormatting>
  <conditionalFormatting sqref="Z91:AA91">
    <cfRule type="containsText" dxfId="4815" priority="359" operator="containsText" text="GOOD">
      <formula>NOT(ISERROR(SEARCH("GOOD",Z91)))</formula>
    </cfRule>
  </conditionalFormatting>
  <conditionalFormatting sqref="L93">
    <cfRule type="containsText" dxfId="4814" priority="358" operator="containsText" text="FAIL">
      <formula>NOT(ISERROR(SEARCH("FAIL",L93)))</formula>
    </cfRule>
  </conditionalFormatting>
  <conditionalFormatting sqref="L93">
    <cfRule type="containsText" dxfId="4813" priority="357" operator="containsText" text="GOOD">
      <formula>NOT(ISERROR(SEARCH("GOOD",L93)))</formula>
    </cfRule>
  </conditionalFormatting>
  <conditionalFormatting sqref="Z93:AA93">
    <cfRule type="containsText" dxfId="4812" priority="356" operator="containsText" text="FAIL">
      <formula>NOT(ISERROR(SEARCH("FAIL",Z93)))</formula>
    </cfRule>
  </conditionalFormatting>
  <conditionalFormatting sqref="Z93:AA93">
    <cfRule type="containsText" dxfId="4811" priority="355" operator="containsText" text="GOOD">
      <formula>NOT(ISERROR(SEARCH("GOOD",Z93)))</formula>
    </cfRule>
  </conditionalFormatting>
  <conditionalFormatting sqref="L90">
    <cfRule type="containsText" dxfId="4810" priority="354" operator="containsText" text="FAIL">
      <formula>NOT(ISERROR(SEARCH("FAIL",L90)))</formula>
    </cfRule>
  </conditionalFormatting>
  <conditionalFormatting sqref="L90">
    <cfRule type="containsText" dxfId="4809" priority="353" operator="containsText" text="GOOD">
      <formula>NOT(ISERROR(SEARCH("GOOD",L90)))</formula>
    </cfRule>
  </conditionalFormatting>
  <conditionalFormatting sqref="Z90:AA90">
    <cfRule type="containsText" dxfId="4808" priority="352" operator="containsText" text="FAIL">
      <formula>NOT(ISERROR(SEARCH("FAIL",Z90)))</formula>
    </cfRule>
  </conditionalFormatting>
  <conditionalFormatting sqref="Z90:AA90">
    <cfRule type="containsText" dxfId="4807" priority="351" operator="containsText" text="GOOD">
      <formula>NOT(ISERROR(SEARCH("GOOD",Z90)))</formula>
    </cfRule>
  </conditionalFormatting>
  <conditionalFormatting sqref="L89">
    <cfRule type="containsText" dxfId="4806" priority="350" operator="containsText" text="FAIL">
      <formula>NOT(ISERROR(SEARCH("FAIL",L89)))</formula>
    </cfRule>
  </conditionalFormatting>
  <conditionalFormatting sqref="L89">
    <cfRule type="containsText" dxfId="4805" priority="349" operator="containsText" text="GOOD">
      <formula>NOT(ISERROR(SEARCH("GOOD",L89)))</formula>
    </cfRule>
  </conditionalFormatting>
  <conditionalFormatting sqref="Z89:AA89">
    <cfRule type="containsText" dxfId="4804" priority="348" operator="containsText" text="FAIL">
      <formula>NOT(ISERROR(SEARCH("FAIL",Z89)))</formula>
    </cfRule>
  </conditionalFormatting>
  <conditionalFormatting sqref="Z89:AA89">
    <cfRule type="containsText" dxfId="4803" priority="347" operator="containsText" text="GOOD">
      <formula>NOT(ISERROR(SEARCH("GOOD",Z89)))</formula>
    </cfRule>
  </conditionalFormatting>
  <conditionalFormatting sqref="L87">
    <cfRule type="containsText" dxfId="4802" priority="346" operator="containsText" text="FAIL">
      <formula>NOT(ISERROR(SEARCH("FAIL",L87)))</formula>
    </cfRule>
  </conditionalFormatting>
  <conditionalFormatting sqref="L87">
    <cfRule type="containsText" dxfId="4801" priority="345" operator="containsText" text="GOOD">
      <formula>NOT(ISERROR(SEARCH("GOOD",L87)))</formula>
    </cfRule>
  </conditionalFormatting>
  <conditionalFormatting sqref="Z87:AA87">
    <cfRule type="containsText" dxfId="4800" priority="344" operator="containsText" text="FAIL">
      <formula>NOT(ISERROR(SEARCH("FAIL",Z87)))</formula>
    </cfRule>
  </conditionalFormatting>
  <conditionalFormatting sqref="Z87:AA87">
    <cfRule type="containsText" dxfId="4799" priority="343" operator="containsText" text="GOOD">
      <formula>NOT(ISERROR(SEARCH("GOOD",Z87)))</formula>
    </cfRule>
  </conditionalFormatting>
  <conditionalFormatting sqref="B87">
    <cfRule type="containsText" dxfId="4798" priority="342" operator="containsText" text="FAIL">
      <formula>NOT(ISERROR(SEARCH("FAIL",B87)))</formula>
    </cfRule>
  </conditionalFormatting>
  <conditionalFormatting sqref="B87">
    <cfRule type="containsText" dxfId="4797" priority="341" operator="containsText" text="GOOD">
      <formula>NOT(ISERROR(SEARCH("GOOD",B87)))</formula>
    </cfRule>
  </conditionalFormatting>
  <conditionalFormatting sqref="L86">
    <cfRule type="containsText" dxfId="4796" priority="340" operator="containsText" text="FAIL">
      <formula>NOT(ISERROR(SEARCH("FAIL",L86)))</formula>
    </cfRule>
  </conditionalFormatting>
  <conditionalFormatting sqref="L86">
    <cfRule type="containsText" dxfId="4795" priority="339" operator="containsText" text="GOOD">
      <formula>NOT(ISERROR(SEARCH("GOOD",L86)))</formula>
    </cfRule>
  </conditionalFormatting>
  <conditionalFormatting sqref="Z86:AA86">
    <cfRule type="containsText" dxfId="4794" priority="338" operator="containsText" text="FAIL">
      <formula>NOT(ISERROR(SEARCH("FAIL",Z86)))</formula>
    </cfRule>
  </conditionalFormatting>
  <conditionalFormatting sqref="Z86:AA86">
    <cfRule type="containsText" dxfId="4793" priority="337" operator="containsText" text="GOOD">
      <formula>NOT(ISERROR(SEARCH("GOOD",Z86)))</formula>
    </cfRule>
  </conditionalFormatting>
  <conditionalFormatting sqref="L85">
    <cfRule type="containsText" dxfId="4792" priority="334" operator="containsText" text="FAIL">
      <formula>NOT(ISERROR(SEARCH("FAIL",L85)))</formula>
    </cfRule>
  </conditionalFormatting>
  <conditionalFormatting sqref="L85">
    <cfRule type="containsText" dxfId="4791" priority="333" operator="containsText" text="GOOD">
      <formula>NOT(ISERROR(SEARCH("GOOD",L85)))</formula>
    </cfRule>
  </conditionalFormatting>
  <conditionalFormatting sqref="Z85:AA85">
    <cfRule type="containsText" dxfId="4790" priority="332" operator="containsText" text="FAIL">
      <formula>NOT(ISERROR(SEARCH("FAIL",Z85)))</formula>
    </cfRule>
  </conditionalFormatting>
  <conditionalFormatting sqref="Z85:AA85">
    <cfRule type="containsText" dxfId="4789" priority="331" operator="containsText" text="GOOD">
      <formula>NOT(ISERROR(SEARCH("GOOD",Z85)))</formula>
    </cfRule>
  </conditionalFormatting>
  <conditionalFormatting sqref="L82:L83">
    <cfRule type="containsText" dxfId="4788" priority="330" operator="containsText" text="FAIL">
      <formula>NOT(ISERROR(SEARCH("FAIL",L82)))</formula>
    </cfRule>
  </conditionalFormatting>
  <conditionalFormatting sqref="L82:L83">
    <cfRule type="containsText" dxfId="4787" priority="329" operator="containsText" text="GOOD">
      <formula>NOT(ISERROR(SEARCH("GOOD",L82)))</formula>
    </cfRule>
  </conditionalFormatting>
  <conditionalFormatting sqref="Z82:AA83">
    <cfRule type="containsText" dxfId="4786" priority="328" operator="containsText" text="FAIL">
      <formula>NOT(ISERROR(SEARCH("FAIL",Z82)))</formula>
    </cfRule>
  </conditionalFormatting>
  <conditionalFormatting sqref="Z82:AA83">
    <cfRule type="containsText" dxfId="4785" priority="327" operator="containsText" text="GOOD">
      <formula>NOT(ISERROR(SEARCH("GOOD",Z82)))</formula>
    </cfRule>
  </conditionalFormatting>
  <conditionalFormatting sqref="L81">
    <cfRule type="containsText" dxfId="4784" priority="326" operator="containsText" text="FAIL">
      <formula>NOT(ISERROR(SEARCH("FAIL",L81)))</formula>
    </cfRule>
  </conditionalFormatting>
  <conditionalFormatting sqref="L81">
    <cfRule type="containsText" dxfId="4783" priority="325" operator="containsText" text="GOOD">
      <formula>NOT(ISERROR(SEARCH("GOOD",L81)))</formula>
    </cfRule>
  </conditionalFormatting>
  <conditionalFormatting sqref="Z81:AA81">
    <cfRule type="containsText" dxfId="4782" priority="324" operator="containsText" text="FAIL">
      <formula>NOT(ISERROR(SEARCH("FAIL",Z81)))</formula>
    </cfRule>
  </conditionalFormatting>
  <conditionalFormatting sqref="Z81:AA81">
    <cfRule type="containsText" dxfId="4781" priority="323" operator="containsText" text="GOOD">
      <formula>NOT(ISERROR(SEARCH("GOOD",Z81)))</formula>
    </cfRule>
  </conditionalFormatting>
  <conditionalFormatting sqref="L80">
    <cfRule type="containsText" dxfId="4780" priority="322" operator="containsText" text="FAIL">
      <formula>NOT(ISERROR(SEARCH("FAIL",L80)))</formula>
    </cfRule>
  </conditionalFormatting>
  <conditionalFormatting sqref="L80">
    <cfRule type="containsText" dxfId="4779" priority="321" operator="containsText" text="GOOD">
      <formula>NOT(ISERROR(SEARCH("GOOD",L80)))</formula>
    </cfRule>
  </conditionalFormatting>
  <conditionalFormatting sqref="Z80:AA80">
    <cfRule type="containsText" dxfId="4778" priority="320" operator="containsText" text="FAIL">
      <formula>NOT(ISERROR(SEARCH("FAIL",Z80)))</formula>
    </cfRule>
  </conditionalFormatting>
  <conditionalFormatting sqref="Z80:AA80">
    <cfRule type="containsText" dxfId="4777" priority="319" operator="containsText" text="GOOD">
      <formula>NOT(ISERROR(SEARCH("GOOD",Z80)))</formula>
    </cfRule>
  </conditionalFormatting>
  <conditionalFormatting sqref="L79">
    <cfRule type="containsText" dxfId="4776" priority="318" operator="containsText" text="FAIL">
      <formula>NOT(ISERROR(SEARCH("FAIL",L79)))</formula>
    </cfRule>
  </conditionalFormatting>
  <conditionalFormatting sqref="L79">
    <cfRule type="containsText" dxfId="4775" priority="317" operator="containsText" text="GOOD">
      <formula>NOT(ISERROR(SEARCH("GOOD",L79)))</formula>
    </cfRule>
  </conditionalFormatting>
  <conditionalFormatting sqref="Z79:AA79">
    <cfRule type="containsText" dxfId="4774" priority="316" operator="containsText" text="FAIL">
      <formula>NOT(ISERROR(SEARCH("FAIL",Z79)))</formula>
    </cfRule>
  </conditionalFormatting>
  <conditionalFormatting sqref="Z79:AA79">
    <cfRule type="containsText" dxfId="4773" priority="315" operator="containsText" text="GOOD">
      <formula>NOT(ISERROR(SEARCH("GOOD",Z79)))</formula>
    </cfRule>
  </conditionalFormatting>
  <conditionalFormatting sqref="L84">
    <cfRule type="containsText" dxfId="4772" priority="314" operator="containsText" text="FAIL">
      <formula>NOT(ISERROR(SEARCH("FAIL",L84)))</formula>
    </cfRule>
  </conditionalFormatting>
  <conditionalFormatting sqref="L84">
    <cfRule type="containsText" dxfId="4771" priority="313" operator="containsText" text="GOOD">
      <formula>NOT(ISERROR(SEARCH("GOOD",L84)))</formula>
    </cfRule>
  </conditionalFormatting>
  <conditionalFormatting sqref="Z84:AA84">
    <cfRule type="containsText" dxfId="4770" priority="312" operator="containsText" text="FAIL">
      <formula>NOT(ISERROR(SEARCH("FAIL",Z84)))</formula>
    </cfRule>
  </conditionalFormatting>
  <conditionalFormatting sqref="Z84:AA84">
    <cfRule type="containsText" dxfId="4769" priority="311" operator="containsText" text="GOOD">
      <formula>NOT(ISERROR(SEARCH("GOOD",Z84)))</formula>
    </cfRule>
  </conditionalFormatting>
  <conditionalFormatting sqref="L78">
    <cfRule type="containsText" dxfId="4768" priority="310" operator="containsText" text="FAIL">
      <formula>NOT(ISERROR(SEARCH("FAIL",L78)))</formula>
    </cfRule>
  </conditionalFormatting>
  <conditionalFormatting sqref="L78">
    <cfRule type="containsText" dxfId="4767" priority="309" operator="containsText" text="GOOD">
      <formula>NOT(ISERROR(SEARCH("GOOD",L78)))</formula>
    </cfRule>
  </conditionalFormatting>
  <conditionalFormatting sqref="Z78:AA78">
    <cfRule type="containsText" dxfId="4766" priority="308" operator="containsText" text="FAIL">
      <formula>NOT(ISERROR(SEARCH("FAIL",Z78)))</formula>
    </cfRule>
  </conditionalFormatting>
  <conditionalFormatting sqref="Z78:AA78">
    <cfRule type="containsText" dxfId="4765" priority="307" operator="containsText" text="GOOD">
      <formula>NOT(ISERROR(SEARCH("GOOD",Z78)))</formula>
    </cfRule>
  </conditionalFormatting>
  <conditionalFormatting sqref="L77">
    <cfRule type="containsText" dxfId="4764" priority="306" operator="containsText" text="FAIL">
      <formula>NOT(ISERROR(SEARCH("FAIL",L77)))</formula>
    </cfRule>
  </conditionalFormatting>
  <conditionalFormatting sqref="L77">
    <cfRule type="containsText" dxfId="4763" priority="305" operator="containsText" text="GOOD">
      <formula>NOT(ISERROR(SEARCH("GOOD",L77)))</formula>
    </cfRule>
  </conditionalFormatting>
  <conditionalFormatting sqref="Z77:AA77">
    <cfRule type="containsText" dxfId="4762" priority="304" operator="containsText" text="FAIL">
      <formula>NOT(ISERROR(SEARCH("FAIL",Z77)))</formula>
    </cfRule>
  </conditionalFormatting>
  <conditionalFormatting sqref="Z77:AA77">
    <cfRule type="containsText" dxfId="4761" priority="303" operator="containsText" text="GOOD">
      <formula>NOT(ISERROR(SEARCH("GOOD",Z77)))</formula>
    </cfRule>
  </conditionalFormatting>
  <conditionalFormatting sqref="L76">
    <cfRule type="containsText" dxfId="4760" priority="302" operator="containsText" text="FAIL">
      <formula>NOT(ISERROR(SEARCH("FAIL",L76)))</formula>
    </cfRule>
  </conditionalFormatting>
  <conditionalFormatting sqref="L76">
    <cfRule type="containsText" dxfId="4759" priority="301" operator="containsText" text="GOOD">
      <formula>NOT(ISERROR(SEARCH("GOOD",L76)))</formula>
    </cfRule>
  </conditionalFormatting>
  <conditionalFormatting sqref="Z76:AA76">
    <cfRule type="containsText" dxfId="4758" priority="300" operator="containsText" text="FAIL">
      <formula>NOT(ISERROR(SEARCH("FAIL",Z76)))</formula>
    </cfRule>
  </conditionalFormatting>
  <conditionalFormatting sqref="Z76:AA76">
    <cfRule type="containsText" dxfId="4757" priority="299" operator="containsText" text="GOOD">
      <formula>NOT(ISERROR(SEARCH("GOOD",Z76)))</formula>
    </cfRule>
  </conditionalFormatting>
  <conditionalFormatting sqref="L74:L75">
    <cfRule type="containsText" dxfId="4756" priority="298" operator="containsText" text="FAIL">
      <formula>NOT(ISERROR(SEARCH("FAIL",L74)))</formula>
    </cfRule>
  </conditionalFormatting>
  <conditionalFormatting sqref="L74:L75">
    <cfRule type="containsText" dxfId="4755" priority="297" operator="containsText" text="GOOD">
      <formula>NOT(ISERROR(SEARCH("GOOD",L74)))</formula>
    </cfRule>
  </conditionalFormatting>
  <conditionalFormatting sqref="Z74:AA75">
    <cfRule type="containsText" dxfId="4754" priority="296" operator="containsText" text="FAIL">
      <formula>NOT(ISERROR(SEARCH("FAIL",Z74)))</formula>
    </cfRule>
  </conditionalFormatting>
  <conditionalFormatting sqref="Z74:AA75">
    <cfRule type="containsText" dxfId="4753" priority="295" operator="containsText" text="GOOD">
      <formula>NOT(ISERROR(SEARCH("GOOD",Z74)))</formula>
    </cfRule>
  </conditionalFormatting>
  <conditionalFormatting sqref="L72">
    <cfRule type="containsText" dxfId="4752" priority="294" operator="containsText" text="FAIL">
      <formula>NOT(ISERROR(SEARCH("FAIL",L72)))</formula>
    </cfRule>
  </conditionalFormatting>
  <conditionalFormatting sqref="L72">
    <cfRule type="containsText" dxfId="4751" priority="293" operator="containsText" text="GOOD">
      <formula>NOT(ISERROR(SEARCH("GOOD",L72)))</formula>
    </cfRule>
  </conditionalFormatting>
  <conditionalFormatting sqref="Z72:AA72">
    <cfRule type="containsText" dxfId="4750" priority="292" operator="containsText" text="FAIL">
      <formula>NOT(ISERROR(SEARCH("FAIL",Z72)))</formula>
    </cfRule>
  </conditionalFormatting>
  <conditionalFormatting sqref="Z72:AA72">
    <cfRule type="containsText" dxfId="4749" priority="291" operator="containsText" text="GOOD">
      <formula>NOT(ISERROR(SEARCH("GOOD",Z72)))</formula>
    </cfRule>
  </conditionalFormatting>
  <conditionalFormatting sqref="B72">
    <cfRule type="containsText" dxfId="4748" priority="290" operator="containsText" text="FAIL">
      <formula>NOT(ISERROR(SEARCH("FAIL",B72)))</formula>
    </cfRule>
  </conditionalFormatting>
  <conditionalFormatting sqref="B72">
    <cfRule type="containsText" dxfId="4747" priority="289" operator="containsText" text="GOOD">
      <formula>NOT(ISERROR(SEARCH("GOOD",B72)))</formula>
    </cfRule>
  </conditionalFormatting>
  <conditionalFormatting sqref="L71">
    <cfRule type="containsText" dxfId="4746" priority="288" operator="containsText" text="FAIL">
      <formula>NOT(ISERROR(SEARCH("FAIL",L71)))</formula>
    </cfRule>
  </conditionalFormatting>
  <conditionalFormatting sqref="L71">
    <cfRule type="containsText" dxfId="4745" priority="287" operator="containsText" text="GOOD">
      <formula>NOT(ISERROR(SEARCH("GOOD",L71)))</formula>
    </cfRule>
  </conditionalFormatting>
  <conditionalFormatting sqref="Z71:AA71">
    <cfRule type="containsText" dxfId="4744" priority="286" operator="containsText" text="FAIL">
      <formula>NOT(ISERROR(SEARCH("FAIL",Z71)))</formula>
    </cfRule>
  </conditionalFormatting>
  <conditionalFormatting sqref="Z71:AA71">
    <cfRule type="containsText" dxfId="4743" priority="285" operator="containsText" text="GOOD">
      <formula>NOT(ISERROR(SEARCH("GOOD",Z71)))</formula>
    </cfRule>
  </conditionalFormatting>
  <conditionalFormatting sqref="B71">
    <cfRule type="containsText" dxfId="4742" priority="284" operator="containsText" text="FAIL">
      <formula>NOT(ISERROR(SEARCH("FAIL",B71)))</formula>
    </cfRule>
  </conditionalFormatting>
  <conditionalFormatting sqref="B71">
    <cfRule type="containsText" dxfId="4741" priority="283" operator="containsText" text="GOOD">
      <formula>NOT(ISERROR(SEARCH("GOOD",B71)))</formula>
    </cfRule>
  </conditionalFormatting>
  <conditionalFormatting sqref="L68 L70">
    <cfRule type="containsText" dxfId="4740" priority="282" operator="containsText" text="FAIL">
      <formula>NOT(ISERROR(SEARCH("FAIL",L68)))</formula>
    </cfRule>
  </conditionalFormatting>
  <conditionalFormatting sqref="L68 L70">
    <cfRule type="containsText" dxfId="4739" priority="281" operator="containsText" text="GOOD">
      <formula>NOT(ISERROR(SEARCH("GOOD",L68)))</formula>
    </cfRule>
  </conditionalFormatting>
  <conditionalFormatting sqref="Z68:AA68 Z70:AA70">
    <cfRule type="containsText" dxfId="4738" priority="280" operator="containsText" text="FAIL">
      <formula>NOT(ISERROR(SEARCH("FAIL",Z68)))</formula>
    </cfRule>
  </conditionalFormatting>
  <conditionalFormatting sqref="Z68:AA68 Z70:AA70">
    <cfRule type="containsText" dxfId="4737" priority="279" operator="containsText" text="GOOD">
      <formula>NOT(ISERROR(SEARCH("GOOD",Z68)))</formula>
    </cfRule>
  </conditionalFormatting>
  <conditionalFormatting sqref="B68:B70">
    <cfRule type="containsText" dxfId="4736" priority="278" operator="containsText" text="FAIL">
      <formula>NOT(ISERROR(SEARCH("FAIL",B68)))</formula>
    </cfRule>
  </conditionalFormatting>
  <conditionalFormatting sqref="B68:B70">
    <cfRule type="containsText" dxfId="4735" priority="277" operator="containsText" text="GOOD">
      <formula>NOT(ISERROR(SEARCH("GOOD",B68)))</formula>
    </cfRule>
  </conditionalFormatting>
  <conditionalFormatting sqref="AU72">
    <cfRule type="containsText" dxfId="4734" priority="276" operator="containsText" text="FAIL">
      <formula>NOT(ISERROR(SEARCH("FAIL",AU72)))</formula>
    </cfRule>
  </conditionalFormatting>
  <conditionalFormatting sqref="AU72">
    <cfRule type="containsText" dxfId="4733" priority="275" operator="containsText" text="GOOD">
      <formula>NOT(ISERROR(SEARCH("GOOD",AU72)))</formula>
    </cfRule>
  </conditionalFormatting>
  <conditionalFormatting sqref="L67">
    <cfRule type="containsText" dxfId="4732" priority="274" operator="containsText" text="FAIL">
      <formula>NOT(ISERROR(SEARCH("FAIL",L67)))</formula>
    </cfRule>
  </conditionalFormatting>
  <conditionalFormatting sqref="L67">
    <cfRule type="containsText" dxfId="4731" priority="273" operator="containsText" text="GOOD">
      <formula>NOT(ISERROR(SEARCH("GOOD",L67)))</formula>
    </cfRule>
  </conditionalFormatting>
  <conditionalFormatting sqref="Z67:AA67">
    <cfRule type="containsText" dxfId="4730" priority="272" operator="containsText" text="FAIL">
      <formula>NOT(ISERROR(SEARCH("FAIL",Z67)))</formula>
    </cfRule>
  </conditionalFormatting>
  <conditionalFormatting sqref="Z67:AA67">
    <cfRule type="containsText" dxfId="4729" priority="271" operator="containsText" text="GOOD">
      <formula>NOT(ISERROR(SEARCH("GOOD",Z67)))</formula>
    </cfRule>
  </conditionalFormatting>
  <conditionalFormatting sqref="B67">
    <cfRule type="containsText" dxfId="4728" priority="270" operator="containsText" text="FAIL">
      <formula>NOT(ISERROR(SEARCH("FAIL",B67)))</formula>
    </cfRule>
  </conditionalFormatting>
  <conditionalFormatting sqref="B67">
    <cfRule type="containsText" dxfId="4727" priority="269" operator="containsText" text="GOOD">
      <formula>NOT(ISERROR(SEARCH("GOOD",B67)))</formula>
    </cfRule>
  </conditionalFormatting>
  <conditionalFormatting sqref="L66">
    <cfRule type="containsText" dxfId="4726" priority="268" operator="containsText" text="FAIL">
      <formula>NOT(ISERROR(SEARCH("FAIL",L66)))</formula>
    </cfRule>
  </conditionalFormatting>
  <conditionalFormatting sqref="L66">
    <cfRule type="containsText" dxfId="4725" priority="267" operator="containsText" text="GOOD">
      <formula>NOT(ISERROR(SEARCH("GOOD",L66)))</formula>
    </cfRule>
  </conditionalFormatting>
  <conditionalFormatting sqref="Z66:AA66">
    <cfRule type="containsText" dxfId="4724" priority="266" operator="containsText" text="FAIL">
      <formula>NOT(ISERROR(SEARCH("FAIL",Z66)))</formula>
    </cfRule>
  </conditionalFormatting>
  <conditionalFormatting sqref="Z66:AA66">
    <cfRule type="containsText" dxfId="4723" priority="265" operator="containsText" text="GOOD">
      <formula>NOT(ISERROR(SEARCH("GOOD",Z66)))</formula>
    </cfRule>
  </conditionalFormatting>
  <conditionalFormatting sqref="B65:B66">
    <cfRule type="containsText" dxfId="4722" priority="264" operator="containsText" text="FAIL">
      <formula>NOT(ISERROR(SEARCH("FAIL",B65)))</formula>
    </cfRule>
  </conditionalFormatting>
  <conditionalFormatting sqref="B65:B66">
    <cfRule type="containsText" dxfId="4721" priority="263" operator="containsText" text="GOOD">
      <formula>NOT(ISERROR(SEARCH("GOOD",B65)))</formula>
    </cfRule>
  </conditionalFormatting>
  <conditionalFormatting sqref="L63:L64">
    <cfRule type="containsText" dxfId="4720" priority="262" operator="containsText" text="FAIL">
      <formula>NOT(ISERROR(SEARCH("FAIL",L63)))</formula>
    </cfRule>
  </conditionalFormatting>
  <conditionalFormatting sqref="L63:L64">
    <cfRule type="containsText" dxfId="4719" priority="261" operator="containsText" text="GOOD">
      <formula>NOT(ISERROR(SEARCH("GOOD",L63)))</formula>
    </cfRule>
  </conditionalFormatting>
  <conditionalFormatting sqref="Z63:AA64">
    <cfRule type="containsText" dxfId="4718" priority="260" operator="containsText" text="FAIL">
      <formula>NOT(ISERROR(SEARCH("FAIL",Z63)))</formula>
    </cfRule>
  </conditionalFormatting>
  <conditionalFormatting sqref="Z63:AA64">
    <cfRule type="containsText" dxfId="4717" priority="259" operator="containsText" text="GOOD">
      <formula>NOT(ISERROR(SEARCH("GOOD",Z63)))</formula>
    </cfRule>
  </conditionalFormatting>
  <conditionalFormatting sqref="B63:B64">
    <cfRule type="containsText" dxfId="4716" priority="258" operator="containsText" text="FAIL">
      <formula>NOT(ISERROR(SEARCH("FAIL",B63)))</formula>
    </cfRule>
  </conditionalFormatting>
  <conditionalFormatting sqref="B63:B64">
    <cfRule type="containsText" dxfId="4715" priority="257" operator="containsText" text="GOOD">
      <formula>NOT(ISERROR(SEARCH("GOOD",B63)))</formula>
    </cfRule>
  </conditionalFormatting>
  <conditionalFormatting sqref="L62">
    <cfRule type="containsText" dxfId="4714" priority="256" operator="containsText" text="FAIL">
      <formula>NOT(ISERROR(SEARCH("FAIL",L62)))</formula>
    </cfRule>
  </conditionalFormatting>
  <conditionalFormatting sqref="L62">
    <cfRule type="containsText" dxfId="4713" priority="255" operator="containsText" text="GOOD">
      <formula>NOT(ISERROR(SEARCH("GOOD",L62)))</formula>
    </cfRule>
  </conditionalFormatting>
  <conditionalFormatting sqref="Z62:AA62">
    <cfRule type="containsText" dxfId="4712" priority="254" operator="containsText" text="FAIL">
      <formula>NOT(ISERROR(SEARCH("FAIL",Z62)))</formula>
    </cfRule>
  </conditionalFormatting>
  <conditionalFormatting sqref="Z62:AA62">
    <cfRule type="containsText" dxfId="4711" priority="253" operator="containsText" text="GOOD">
      <formula>NOT(ISERROR(SEARCH("GOOD",Z62)))</formula>
    </cfRule>
  </conditionalFormatting>
  <conditionalFormatting sqref="B62">
    <cfRule type="containsText" dxfId="4710" priority="252" operator="containsText" text="FAIL">
      <formula>NOT(ISERROR(SEARCH("FAIL",B62)))</formula>
    </cfRule>
  </conditionalFormatting>
  <conditionalFormatting sqref="B62">
    <cfRule type="containsText" dxfId="4709" priority="251" operator="containsText" text="GOOD">
      <formula>NOT(ISERROR(SEARCH("GOOD",B62)))</formula>
    </cfRule>
  </conditionalFormatting>
  <conditionalFormatting sqref="B61">
    <cfRule type="containsText" dxfId="4708" priority="246" operator="containsText" text="FAIL">
      <formula>NOT(ISERROR(SEARCH("FAIL",B61)))</formula>
    </cfRule>
  </conditionalFormatting>
  <conditionalFormatting sqref="B61">
    <cfRule type="containsText" dxfId="4707" priority="245" operator="containsText" text="GOOD">
      <formula>NOT(ISERROR(SEARCH("GOOD",B61)))</formula>
    </cfRule>
  </conditionalFormatting>
  <conditionalFormatting sqref="L59:L60">
    <cfRule type="containsText" dxfId="4706" priority="244" operator="containsText" text="FAIL">
      <formula>NOT(ISERROR(SEARCH("FAIL",L59)))</formula>
    </cfRule>
  </conditionalFormatting>
  <conditionalFormatting sqref="L59:L60">
    <cfRule type="containsText" dxfId="4705" priority="243" operator="containsText" text="GOOD">
      <formula>NOT(ISERROR(SEARCH("GOOD",L59)))</formula>
    </cfRule>
  </conditionalFormatting>
  <conditionalFormatting sqref="Z59:AA60">
    <cfRule type="containsText" dxfId="4704" priority="242" operator="containsText" text="FAIL">
      <formula>NOT(ISERROR(SEARCH("FAIL",Z59)))</formula>
    </cfRule>
  </conditionalFormatting>
  <conditionalFormatting sqref="Z59:AA60">
    <cfRule type="containsText" dxfId="4703" priority="241" operator="containsText" text="GOOD">
      <formula>NOT(ISERROR(SEARCH("GOOD",Z59)))</formula>
    </cfRule>
  </conditionalFormatting>
  <conditionalFormatting sqref="B59:B60">
    <cfRule type="containsText" dxfId="4702" priority="240" operator="containsText" text="FAIL">
      <formula>NOT(ISERROR(SEARCH("FAIL",B59)))</formula>
    </cfRule>
  </conditionalFormatting>
  <conditionalFormatting sqref="B59:B60">
    <cfRule type="containsText" dxfId="4701" priority="239" operator="containsText" text="GOOD">
      <formula>NOT(ISERROR(SEARCH("GOOD",B59)))</formula>
    </cfRule>
  </conditionalFormatting>
  <conditionalFormatting sqref="L58">
    <cfRule type="containsText" dxfId="4700" priority="238" operator="containsText" text="FAIL">
      <formula>NOT(ISERROR(SEARCH("FAIL",L58)))</formula>
    </cfRule>
  </conditionalFormatting>
  <conditionalFormatting sqref="L58">
    <cfRule type="containsText" dxfId="4699" priority="237" operator="containsText" text="GOOD">
      <formula>NOT(ISERROR(SEARCH("GOOD",L58)))</formula>
    </cfRule>
  </conditionalFormatting>
  <conditionalFormatting sqref="Z58:AA58">
    <cfRule type="containsText" dxfId="4698" priority="236" operator="containsText" text="FAIL">
      <formula>NOT(ISERROR(SEARCH("FAIL",Z58)))</formula>
    </cfRule>
  </conditionalFormatting>
  <conditionalFormatting sqref="Z58:AA58">
    <cfRule type="containsText" dxfId="4697" priority="235" operator="containsText" text="GOOD">
      <formula>NOT(ISERROR(SEARCH("GOOD",Z58)))</formula>
    </cfRule>
  </conditionalFormatting>
  <conditionalFormatting sqref="B58">
    <cfRule type="containsText" dxfId="4696" priority="234" operator="containsText" text="FAIL">
      <formula>NOT(ISERROR(SEARCH("FAIL",B58)))</formula>
    </cfRule>
  </conditionalFormatting>
  <conditionalFormatting sqref="B58">
    <cfRule type="containsText" dxfId="4695" priority="233" operator="containsText" text="GOOD">
      <formula>NOT(ISERROR(SEARCH("GOOD",B58)))</formula>
    </cfRule>
  </conditionalFormatting>
  <conditionalFormatting sqref="L57">
    <cfRule type="containsText" dxfId="4694" priority="232" operator="containsText" text="FAIL">
      <formula>NOT(ISERROR(SEARCH("FAIL",L57)))</formula>
    </cfRule>
  </conditionalFormatting>
  <conditionalFormatting sqref="L57">
    <cfRule type="containsText" dxfId="4693" priority="231" operator="containsText" text="GOOD">
      <formula>NOT(ISERROR(SEARCH("GOOD",L57)))</formula>
    </cfRule>
  </conditionalFormatting>
  <conditionalFormatting sqref="Z57:AA57">
    <cfRule type="containsText" dxfId="4692" priority="230" operator="containsText" text="FAIL">
      <formula>NOT(ISERROR(SEARCH("FAIL",Z57)))</formula>
    </cfRule>
  </conditionalFormatting>
  <conditionalFormatting sqref="Z57:AA57">
    <cfRule type="containsText" dxfId="4691" priority="229" operator="containsText" text="GOOD">
      <formula>NOT(ISERROR(SEARCH("GOOD",Z57)))</formula>
    </cfRule>
  </conditionalFormatting>
  <conditionalFormatting sqref="B57">
    <cfRule type="containsText" dxfId="4690" priority="228" operator="containsText" text="FAIL">
      <formula>NOT(ISERROR(SEARCH("FAIL",B57)))</formula>
    </cfRule>
  </conditionalFormatting>
  <conditionalFormatting sqref="B57">
    <cfRule type="containsText" dxfId="4689" priority="227" operator="containsText" text="GOOD">
      <formula>NOT(ISERROR(SEARCH("GOOD",B57)))</formula>
    </cfRule>
  </conditionalFormatting>
  <conditionalFormatting sqref="L56">
    <cfRule type="containsText" dxfId="4688" priority="226" operator="containsText" text="FAIL">
      <formula>NOT(ISERROR(SEARCH("FAIL",L56)))</formula>
    </cfRule>
  </conditionalFormatting>
  <conditionalFormatting sqref="L56">
    <cfRule type="containsText" dxfId="4687" priority="225" operator="containsText" text="GOOD">
      <formula>NOT(ISERROR(SEARCH("GOOD",L56)))</formula>
    </cfRule>
  </conditionalFormatting>
  <conditionalFormatting sqref="Z56:AA56">
    <cfRule type="containsText" dxfId="4686" priority="224" operator="containsText" text="FAIL">
      <formula>NOT(ISERROR(SEARCH("FAIL",Z56)))</formula>
    </cfRule>
  </conditionalFormatting>
  <conditionalFormatting sqref="Z56:AA56">
    <cfRule type="containsText" dxfId="4685" priority="223" operator="containsText" text="GOOD">
      <formula>NOT(ISERROR(SEARCH("GOOD",Z56)))</formula>
    </cfRule>
  </conditionalFormatting>
  <conditionalFormatting sqref="B56">
    <cfRule type="containsText" dxfId="4684" priority="222" operator="containsText" text="FAIL">
      <formula>NOT(ISERROR(SEARCH("FAIL",B56)))</formula>
    </cfRule>
  </conditionalFormatting>
  <conditionalFormatting sqref="B56">
    <cfRule type="containsText" dxfId="4683" priority="221" operator="containsText" text="GOOD">
      <formula>NOT(ISERROR(SEARCH("GOOD",B56)))</formula>
    </cfRule>
  </conditionalFormatting>
  <conditionalFormatting sqref="L54:L55">
    <cfRule type="containsText" dxfId="4682" priority="220" operator="containsText" text="FAIL">
      <formula>NOT(ISERROR(SEARCH("FAIL",L54)))</formula>
    </cfRule>
  </conditionalFormatting>
  <conditionalFormatting sqref="L54:L55">
    <cfRule type="containsText" dxfId="4681" priority="219" operator="containsText" text="GOOD">
      <formula>NOT(ISERROR(SEARCH("GOOD",L54)))</formula>
    </cfRule>
  </conditionalFormatting>
  <conditionalFormatting sqref="Z54:AA55">
    <cfRule type="containsText" dxfId="4680" priority="218" operator="containsText" text="FAIL">
      <formula>NOT(ISERROR(SEARCH("FAIL",Z54)))</formula>
    </cfRule>
  </conditionalFormatting>
  <conditionalFormatting sqref="Z54:AA55">
    <cfRule type="containsText" dxfId="4679" priority="217" operator="containsText" text="GOOD">
      <formula>NOT(ISERROR(SEARCH("GOOD",Z54)))</formula>
    </cfRule>
  </conditionalFormatting>
  <conditionalFormatting sqref="B54:B55">
    <cfRule type="containsText" dxfId="4678" priority="216" operator="containsText" text="FAIL">
      <formula>NOT(ISERROR(SEARCH("FAIL",B54)))</formula>
    </cfRule>
  </conditionalFormatting>
  <conditionalFormatting sqref="B54:B55">
    <cfRule type="containsText" dxfId="4677" priority="215" operator="containsText" text="GOOD">
      <formula>NOT(ISERROR(SEARCH("GOOD",B54)))</formula>
    </cfRule>
  </conditionalFormatting>
  <conditionalFormatting sqref="L65">
    <cfRule type="containsText" dxfId="4676" priority="214" operator="containsText" text="FAIL">
      <formula>NOT(ISERROR(SEARCH("FAIL",L65)))</formula>
    </cfRule>
  </conditionalFormatting>
  <conditionalFormatting sqref="L65">
    <cfRule type="containsText" dxfId="4675" priority="213" operator="containsText" text="GOOD">
      <formula>NOT(ISERROR(SEARCH("GOOD",L65)))</formula>
    </cfRule>
  </conditionalFormatting>
  <conditionalFormatting sqref="Z65:AA65">
    <cfRule type="containsText" dxfId="4674" priority="212" operator="containsText" text="FAIL">
      <formula>NOT(ISERROR(SEARCH("FAIL",Z65)))</formula>
    </cfRule>
  </conditionalFormatting>
  <conditionalFormatting sqref="Z65:AA65">
    <cfRule type="containsText" dxfId="4673" priority="211" operator="containsText" text="GOOD">
      <formula>NOT(ISERROR(SEARCH("GOOD",Z65)))</formula>
    </cfRule>
  </conditionalFormatting>
  <conditionalFormatting sqref="L53">
    <cfRule type="containsText" dxfId="4672" priority="210" operator="containsText" text="FAIL">
      <formula>NOT(ISERROR(SEARCH("FAIL",L53)))</formula>
    </cfRule>
  </conditionalFormatting>
  <conditionalFormatting sqref="L53">
    <cfRule type="containsText" dxfId="4671" priority="209" operator="containsText" text="GOOD">
      <formula>NOT(ISERROR(SEARCH("GOOD",L53)))</formula>
    </cfRule>
  </conditionalFormatting>
  <conditionalFormatting sqref="Z53:AA53">
    <cfRule type="containsText" dxfId="4670" priority="208" operator="containsText" text="FAIL">
      <formula>NOT(ISERROR(SEARCH("FAIL",Z53)))</formula>
    </cfRule>
  </conditionalFormatting>
  <conditionalFormatting sqref="Z53:AA53">
    <cfRule type="containsText" dxfId="4669" priority="207" operator="containsText" text="GOOD">
      <formula>NOT(ISERROR(SEARCH("GOOD",Z53)))</formula>
    </cfRule>
  </conditionalFormatting>
  <conditionalFormatting sqref="B53">
    <cfRule type="containsText" dxfId="4668" priority="206" operator="containsText" text="FAIL">
      <formula>NOT(ISERROR(SEARCH("FAIL",B53)))</formula>
    </cfRule>
  </conditionalFormatting>
  <conditionalFormatting sqref="B53">
    <cfRule type="containsText" dxfId="4667" priority="205" operator="containsText" text="GOOD">
      <formula>NOT(ISERROR(SEARCH("GOOD",B53)))</formula>
    </cfRule>
  </conditionalFormatting>
  <conditionalFormatting sqref="L52">
    <cfRule type="containsText" dxfId="4666" priority="204" operator="containsText" text="FAIL">
      <formula>NOT(ISERROR(SEARCH("FAIL",L52)))</formula>
    </cfRule>
  </conditionalFormatting>
  <conditionalFormatting sqref="L52">
    <cfRule type="containsText" dxfId="4665" priority="203" operator="containsText" text="GOOD">
      <formula>NOT(ISERROR(SEARCH("GOOD",L52)))</formula>
    </cfRule>
  </conditionalFormatting>
  <conditionalFormatting sqref="Z52:AA52">
    <cfRule type="containsText" dxfId="4664" priority="202" operator="containsText" text="FAIL">
      <formula>NOT(ISERROR(SEARCH("FAIL",Z52)))</formula>
    </cfRule>
  </conditionalFormatting>
  <conditionalFormatting sqref="Z52:AA52">
    <cfRule type="containsText" dxfId="4663" priority="201" operator="containsText" text="GOOD">
      <formula>NOT(ISERROR(SEARCH("GOOD",Z52)))</formula>
    </cfRule>
  </conditionalFormatting>
  <conditionalFormatting sqref="B52">
    <cfRule type="containsText" dxfId="4662" priority="200" operator="containsText" text="FAIL">
      <formula>NOT(ISERROR(SEARCH("FAIL",B52)))</formula>
    </cfRule>
  </conditionalFormatting>
  <conditionalFormatting sqref="B52">
    <cfRule type="containsText" dxfId="4661" priority="199" operator="containsText" text="GOOD">
      <formula>NOT(ISERROR(SEARCH("GOOD",B52)))</formula>
    </cfRule>
  </conditionalFormatting>
  <conditionalFormatting sqref="L61">
    <cfRule type="containsText" dxfId="4660" priority="198" operator="containsText" text="FAIL">
      <formula>NOT(ISERROR(SEARCH("FAIL",L61)))</formula>
    </cfRule>
  </conditionalFormatting>
  <conditionalFormatting sqref="L61">
    <cfRule type="containsText" dxfId="4659" priority="197" operator="containsText" text="GOOD">
      <formula>NOT(ISERROR(SEARCH("GOOD",L61)))</formula>
    </cfRule>
  </conditionalFormatting>
  <conditionalFormatting sqref="Z61:AA61">
    <cfRule type="containsText" dxfId="4658" priority="196" operator="containsText" text="FAIL">
      <formula>NOT(ISERROR(SEARCH("FAIL",Z61)))</formula>
    </cfRule>
  </conditionalFormatting>
  <conditionalFormatting sqref="Z61:AA61">
    <cfRule type="containsText" dxfId="4657" priority="195" operator="containsText" text="GOOD">
      <formula>NOT(ISERROR(SEARCH("GOOD",Z61)))</formula>
    </cfRule>
  </conditionalFormatting>
  <conditionalFormatting sqref="L69">
    <cfRule type="containsText" dxfId="4656" priority="194" operator="containsText" text="FAIL">
      <formula>NOT(ISERROR(SEARCH("FAIL",L69)))</formula>
    </cfRule>
  </conditionalFormatting>
  <conditionalFormatting sqref="L69">
    <cfRule type="containsText" dxfId="4655" priority="193" operator="containsText" text="GOOD">
      <formula>NOT(ISERROR(SEARCH("GOOD",L69)))</formula>
    </cfRule>
  </conditionalFormatting>
  <conditionalFormatting sqref="Z69:AA69">
    <cfRule type="containsText" dxfId="4654" priority="192" operator="containsText" text="FAIL">
      <formula>NOT(ISERROR(SEARCH("FAIL",Z69)))</formula>
    </cfRule>
  </conditionalFormatting>
  <conditionalFormatting sqref="Z69:AA69">
    <cfRule type="containsText" dxfId="4653" priority="191" operator="containsText" text="GOOD">
      <formula>NOT(ISERROR(SEARCH("GOOD",Z69)))</formula>
    </cfRule>
  </conditionalFormatting>
  <conditionalFormatting sqref="L51">
    <cfRule type="containsText" dxfId="4652" priority="190" operator="containsText" text="FAIL">
      <formula>NOT(ISERROR(SEARCH("FAIL",L51)))</formula>
    </cfRule>
  </conditionalFormatting>
  <conditionalFormatting sqref="L51">
    <cfRule type="containsText" dxfId="4651" priority="189" operator="containsText" text="GOOD">
      <formula>NOT(ISERROR(SEARCH("GOOD",L51)))</formula>
    </cfRule>
  </conditionalFormatting>
  <conditionalFormatting sqref="Z51:AA51">
    <cfRule type="containsText" dxfId="4650" priority="188" operator="containsText" text="FAIL">
      <formula>NOT(ISERROR(SEARCH("FAIL",Z51)))</formula>
    </cfRule>
  </conditionalFormatting>
  <conditionalFormatting sqref="Z51:AA51">
    <cfRule type="containsText" dxfId="4649" priority="187" operator="containsText" text="GOOD">
      <formula>NOT(ISERROR(SEARCH("GOOD",Z51)))</formula>
    </cfRule>
  </conditionalFormatting>
  <conditionalFormatting sqref="B51">
    <cfRule type="containsText" dxfId="4648" priority="186" operator="containsText" text="FAIL">
      <formula>NOT(ISERROR(SEARCH("FAIL",B51)))</formula>
    </cfRule>
  </conditionalFormatting>
  <conditionalFormatting sqref="B51">
    <cfRule type="containsText" dxfId="4647" priority="185" operator="containsText" text="GOOD">
      <formula>NOT(ISERROR(SEARCH("GOOD",B51)))</formula>
    </cfRule>
  </conditionalFormatting>
  <conditionalFormatting sqref="B49">
    <cfRule type="containsText" dxfId="4646" priority="170" operator="containsText" text="FAIL">
      <formula>NOT(ISERROR(SEARCH("FAIL",B49)))</formula>
    </cfRule>
  </conditionalFormatting>
  <conditionalFormatting sqref="B49">
    <cfRule type="containsText" dxfId="4645" priority="169" operator="containsText" text="GOOD">
      <formula>NOT(ISERROR(SEARCH("GOOD",B49)))</formula>
    </cfRule>
  </conditionalFormatting>
  <conditionalFormatting sqref="L49">
    <cfRule type="containsText" dxfId="4644" priority="168" operator="containsText" text="FAIL">
      <formula>NOT(ISERROR(SEARCH("FAIL",L49)))</formula>
    </cfRule>
  </conditionalFormatting>
  <conditionalFormatting sqref="L49">
    <cfRule type="containsText" dxfId="4643" priority="167" operator="containsText" text="GOOD">
      <formula>NOT(ISERROR(SEARCH("GOOD",L49)))</formula>
    </cfRule>
  </conditionalFormatting>
  <conditionalFormatting sqref="Z49:AA49">
    <cfRule type="containsText" dxfId="4642" priority="166" operator="containsText" text="FAIL">
      <formula>NOT(ISERROR(SEARCH("FAIL",Z49)))</formula>
    </cfRule>
  </conditionalFormatting>
  <conditionalFormatting sqref="Z49:AA49">
    <cfRule type="containsText" dxfId="4641" priority="165" operator="containsText" text="GOOD">
      <formula>NOT(ISERROR(SEARCH("GOOD",Z49)))</formula>
    </cfRule>
  </conditionalFormatting>
  <conditionalFormatting sqref="L48">
    <cfRule type="containsText" dxfId="4640" priority="164" operator="containsText" text="FAIL">
      <formula>NOT(ISERROR(SEARCH("FAIL",L48)))</formula>
    </cfRule>
  </conditionalFormatting>
  <conditionalFormatting sqref="L48">
    <cfRule type="containsText" dxfId="4639" priority="163" operator="containsText" text="GOOD">
      <formula>NOT(ISERROR(SEARCH("GOOD",L48)))</formula>
    </cfRule>
  </conditionalFormatting>
  <conditionalFormatting sqref="Z48:AA48">
    <cfRule type="containsText" dxfId="4638" priority="162" operator="containsText" text="FAIL">
      <formula>NOT(ISERROR(SEARCH("FAIL",Z48)))</formula>
    </cfRule>
  </conditionalFormatting>
  <conditionalFormatting sqref="Z48:AA48">
    <cfRule type="containsText" dxfId="4637" priority="161" operator="containsText" text="GOOD">
      <formula>NOT(ISERROR(SEARCH("GOOD",Z48)))</formula>
    </cfRule>
  </conditionalFormatting>
  <conditionalFormatting sqref="AU49">
    <cfRule type="containsText" dxfId="4636" priority="160" operator="containsText" text="FAIL">
      <formula>NOT(ISERROR(SEARCH("FAIL",AU49)))</formula>
    </cfRule>
  </conditionalFormatting>
  <conditionalFormatting sqref="AU49">
    <cfRule type="containsText" dxfId="4635" priority="159" operator="containsText" text="GOOD">
      <formula>NOT(ISERROR(SEARCH("GOOD",AU49)))</formula>
    </cfRule>
  </conditionalFormatting>
  <conditionalFormatting sqref="L47">
    <cfRule type="containsText" dxfId="4634" priority="158" operator="containsText" text="FAIL">
      <formula>NOT(ISERROR(SEARCH("FAIL",L47)))</formula>
    </cfRule>
  </conditionalFormatting>
  <conditionalFormatting sqref="L47">
    <cfRule type="containsText" dxfId="4633" priority="157" operator="containsText" text="GOOD">
      <formula>NOT(ISERROR(SEARCH("GOOD",L47)))</formula>
    </cfRule>
  </conditionalFormatting>
  <conditionalFormatting sqref="Z47:AA47">
    <cfRule type="containsText" dxfId="4632" priority="156" operator="containsText" text="FAIL">
      <formula>NOT(ISERROR(SEARCH("FAIL",Z47)))</formula>
    </cfRule>
  </conditionalFormatting>
  <conditionalFormatting sqref="Z47:AA47">
    <cfRule type="containsText" dxfId="4631" priority="155" operator="containsText" text="GOOD">
      <formula>NOT(ISERROR(SEARCH("GOOD",Z47)))</formula>
    </cfRule>
  </conditionalFormatting>
  <conditionalFormatting sqref="L46">
    <cfRule type="containsText" dxfId="4630" priority="154" operator="containsText" text="FAIL">
      <formula>NOT(ISERROR(SEARCH("FAIL",L46)))</formula>
    </cfRule>
  </conditionalFormatting>
  <conditionalFormatting sqref="L46">
    <cfRule type="containsText" dxfId="4629" priority="153" operator="containsText" text="GOOD">
      <formula>NOT(ISERROR(SEARCH("GOOD",L46)))</formula>
    </cfRule>
  </conditionalFormatting>
  <conditionalFormatting sqref="Z46:AA46">
    <cfRule type="containsText" dxfId="4628" priority="152" operator="containsText" text="FAIL">
      <formula>NOT(ISERROR(SEARCH("FAIL",Z46)))</formula>
    </cfRule>
  </conditionalFormatting>
  <conditionalFormatting sqref="Z46:AA46">
    <cfRule type="containsText" dxfId="4627" priority="151" operator="containsText" text="GOOD">
      <formula>NOT(ISERROR(SEARCH("GOOD",Z46)))</formula>
    </cfRule>
  </conditionalFormatting>
  <conditionalFormatting sqref="L45">
    <cfRule type="containsText" dxfId="4626" priority="150" operator="containsText" text="FAIL">
      <formula>NOT(ISERROR(SEARCH("FAIL",L45)))</formula>
    </cfRule>
  </conditionalFormatting>
  <conditionalFormatting sqref="L45">
    <cfRule type="containsText" dxfId="4625" priority="149" operator="containsText" text="GOOD">
      <formula>NOT(ISERROR(SEARCH("GOOD",L45)))</formula>
    </cfRule>
  </conditionalFormatting>
  <conditionalFormatting sqref="Z45:AA45">
    <cfRule type="containsText" dxfId="4624" priority="148" operator="containsText" text="FAIL">
      <formula>NOT(ISERROR(SEARCH("FAIL",Z45)))</formula>
    </cfRule>
  </conditionalFormatting>
  <conditionalFormatting sqref="Z45:AA45">
    <cfRule type="containsText" dxfId="4623" priority="147" operator="containsText" text="GOOD">
      <formula>NOT(ISERROR(SEARCH("GOOD",Z45)))</formula>
    </cfRule>
  </conditionalFormatting>
  <conditionalFormatting sqref="L44">
    <cfRule type="containsText" dxfId="4622" priority="146" operator="containsText" text="FAIL">
      <formula>NOT(ISERROR(SEARCH("FAIL",L44)))</formula>
    </cfRule>
  </conditionalFormatting>
  <conditionalFormatting sqref="L44">
    <cfRule type="containsText" dxfId="4621" priority="145" operator="containsText" text="GOOD">
      <formula>NOT(ISERROR(SEARCH("GOOD",L44)))</formula>
    </cfRule>
  </conditionalFormatting>
  <conditionalFormatting sqref="Z44:AA44">
    <cfRule type="containsText" dxfId="4620" priority="144" operator="containsText" text="FAIL">
      <formula>NOT(ISERROR(SEARCH("FAIL",Z44)))</formula>
    </cfRule>
  </conditionalFormatting>
  <conditionalFormatting sqref="Z44:AA44">
    <cfRule type="containsText" dxfId="4619" priority="143" operator="containsText" text="GOOD">
      <formula>NOT(ISERROR(SEARCH("GOOD",Z44)))</formula>
    </cfRule>
  </conditionalFormatting>
  <conditionalFormatting sqref="L42:L43">
    <cfRule type="containsText" dxfId="4618" priority="142" operator="containsText" text="FAIL">
      <formula>NOT(ISERROR(SEARCH("FAIL",L42)))</formula>
    </cfRule>
  </conditionalFormatting>
  <conditionalFormatting sqref="L42:L43">
    <cfRule type="containsText" dxfId="4617" priority="141" operator="containsText" text="GOOD">
      <formula>NOT(ISERROR(SEARCH("GOOD",L42)))</formula>
    </cfRule>
  </conditionalFormatting>
  <conditionalFormatting sqref="Z42:AA43">
    <cfRule type="containsText" dxfId="4616" priority="140" operator="containsText" text="FAIL">
      <formula>NOT(ISERROR(SEARCH("FAIL",Z42)))</formula>
    </cfRule>
  </conditionalFormatting>
  <conditionalFormatting sqref="Z42:AA43">
    <cfRule type="containsText" dxfId="4615" priority="139" operator="containsText" text="GOOD">
      <formula>NOT(ISERROR(SEARCH("GOOD",Z42)))</formula>
    </cfRule>
  </conditionalFormatting>
  <conditionalFormatting sqref="L39:L41">
    <cfRule type="containsText" dxfId="4614" priority="138" operator="containsText" text="FAIL">
      <formula>NOT(ISERROR(SEARCH("FAIL",L39)))</formula>
    </cfRule>
  </conditionalFormatting>
  <conditionalFormatting sqref="L39:L41">
    <cfRule type="containsText" dxfId="4613" priority="137" operator="containsText" text="GOOD">
      <formula>NOT(ISERROR(SEARCH("GOOD",L39)))</formula>
    </cfRule>
  </conditionalFormatting>
  <conditionalFormatting sqref="Z39:AA41">
    <cfRule type="containsText" dxfId="4612" priority="136" operator="containsText" text="FAIL">
      <formula>NOT(ISERROR(SEARCH("FAIL",Z39)))</formula>
    </cfRule>
  </conditionalFormatting>
  <conditionalFormatting sqref="Z39:AA41">
    <cfRule type="containsText" dxfId="4611" priority="135" operator="containsText" text="GOOD">
      <formula>NOT(ISERROR(SEARCH("GOOD",Z39)))</formula>
    </cfRule>
  </conditionalFormatting>
  <conditionalFormatting sqref="L38">
    <cfRule type="containsText" dxfId="4610" priority="134" operator="containsText" text="FAIL">
      <formula>NOT(ISERROR(SEARCH("FAIL",L38)))</formula>
    </cfRule>
  </conditionalFormatting>
  <conditionalFormatting sqref="L38">
    <cfRule type="containsText" dxfId="4609" priority="133" operator="containsText" text="GOOD">
      <formula>NOT(ISERROR(SEARCH("GOOD",L38)))</formula>
    </cfRule>
  </conditionalFormatting>
  <conditionalFormatting sqref="Z38:AA38">
    <cfRule type="containsText" dxfId="4608" priority="132" operator="containsText" text="FAIL">
      <formula>NOT(ISERROR(SEARCH("FAIL",Z38)))</formula>
    </cfRule>
  </conditionalFormatting>
  <conditionalFormatting sqref="Z38:AA38">
    <cfRule type="containsText" dxfId="4607" priority="131" operator="containsText" text="GOOD">
      <formula>NOT(ISERROR(SEARCH("GOOD",Z38)))</formula>
    </cfRule>
  </conditionalFormatting>
  <conditionalFormatting sqref="L37">
    <cfRule type="containsText" dxfId="4606" priority="130" operator="containsText" text="FAIL">
      <formula>NOT(ISERROR(SEARCH("FAIL",L37)))</formula>
    </cfRule>
  </conditionalFormatting>
  <conditionalFormatting sqref="L37">
    <cfRule type="containsText" dxfId="4605" priority="129" operator="containsText" text="GOOD">
      <formula>NOT(ISERROR(SEARCH("GOOD",L37)))</formula>
    </cfRule>
  </conditionalFormatting>
  <conditionalFormatting sqref="Z37:AA37">
    <cfRule type="containsText" dxfId="4604" priority="128" operator="containsText" text="FAIL">
      <formula>NOT(ISERROR(SEARCH("FAIL",Z37)))</formula>
    </cfRule>
  </conditionalFormatting>
  <conditionalFormatting sqref="Z37:AA37">
    <cfRule type="containsText" dxfId="4603" priority="127" operator="containsText" text="GOOD">
      <formula>NOT(ISERROR(SEARCH("GOOD",Z37)))</formula>
    </cfRule>
  </conditionalFormatting>
  <conditionalFormatting sqref="L36">
    <cfRule type="containsText" dxfId="4602" priority="126" operator="containsText" text="FAIL">
      <formula>NOT(ISERROR(SEARCH("FAIL",L36)))</formula>
    </cfRule>
  </conditionalFormatting>
  <conditionalFormatting sqref="L36">
    <cfRule type="containsText" dxfId="4601" priority="125" operator="containsText" text="GOOD">
      <formula>NOT(ISERROR(SEARCH("GOOD",L36)))</formula>
    </cfRule>
  </conditionalFormatting>
  <conditionalFormatting sqref="Z36:AA36">
    <cfRule type="containsText" dxfId="4600" priority="124" operator="containsText" text="FAIL">
      <formula>NOT(ISERROR(SEARCH("FAIL",Z36)))</formula>
    </cfRule>
  </conditionalFormatting>
  <conditionalFormatting sqref="Z36:AA36">
    <cfRule type="containsText" dxfId="4599" priority="123" operator="containsText" text="GOOD">
      <formula>NOT(ISERROR(SEARCH("GOOD",Z36)))</formula>
    </cfRule>
  </conditionalFormatting>
  <conditionalFormatting sqref="L35">
    <cfRule type="containsText" dxfId="4598" priority="122" operator="containsText" text="FAIL">
      <formula>NOT(ISERROR(SEARCH("FAIL",L35)))</formula>
    </cfRule>
  </conditionalFormatting>
  <conditionalFormatting sqref="L35">
    <cfRule type="containsText" dxfId="4597" priority="121" operator="containsText" text="GOOD">
      <formula>NOT(ISERROR(SEARCH("GOOD",L35)))</formula>
    </cfRule>
  </conditionalFormatting>
  <conditionalFormatting sqref="Z35:AA35">
    <cfRule type="containsText" dxfId="4596" priority="120" operator="containsText" text="FAIL">
      <formula>NOT(ISERROR(SEARCH("FAIL",Z35)))</formula>
    </cfRule>
  </conditionalFormatting>
  <conditionalFormatting sqref="Z35:AA35">
    <cfRule type="containsText" dxfId="4595" priority="119" operator="containsText" text="GOOD">
      <formula>NOT(ISERROR(SEARCH("GOOD",Z35)))</formula>
    </cfRule>
  </conditionalFormatting>
  <conditionalFormatting sqref="B33">
    <cfRule type="containsText" dxfId="4594" priority="118" operator="containsText" text="FAIL">
      <formula>NOT(ISERROR(SEARCH("FAIL",B33)))</formula>
    </cfRule>
  </conditionalFormatting>
  <conditionalFormatting sqref="B33">
    <cfRule type="containsText" dxfId="4593" priority="117" operator="containsText" text="GOOD">
      <formula>NOT(ISERROR(SEARCH("GOOD",B33)))</formula>
    </cfRule>
  </conditionalFormatting>
  <conditionalFormatting sqref="L33">
    <cfRule type="containsText" dxfId="4592" priority="116" operator="containsText" text="FAIL">
      <formula>NOT(ISERROR(SEARCH("FAIL",L33)))</formula>
    </cfRule>
  </conditionalFormatting>
  <conditionalFormatting sqref="L33">
    <cfRule type="containsText" dxfId="4591" priority="115" operator="containsText" text="GOOD">
      <formula>NOT(ISERROR(SEARCH("GOOD",L33)))</formula>
    </cfRule>
  </conditionalFormatting>
  <conditionalFormatting sqref="Z33:AA33">
    <cfRule type="containsText" dxfId="4590" priority="114" operator="containsText" text="FAIL">
      <formula>NOT(ISERROR(SEARCH("FAIL",Z33)))</formula>
    </cfRule>
  </conditionalFormatting>
  <conditionalFormatting sqref="Z33:AA33">
    <cfRule type="containsText" dxfId="4589" priority="113" operator="containsText" text="GOOD">
      <formula>NOT(ISERROR(SEARCH("GOOD",Z33)))</formula>
    </cfRule>
  </conditionalFormatting>
  <conditionalFormatting sqref="AU33">
    <cfRule type="containsText" dxfId="4588" priority="108" operator="containsText" text="FAIL">
      <formula>NOT(ISERROR(SEARCH("FAIL",AU33)))</formula>
    </cfRule>
  </conditionalFormatting>
  <conditionalFormatting sqref="AU33">
    <cfRule type="containsText" dxfId="4587" priority="107" operator="containsText" text="GOOD">
      <formula>NOT(ISERROR(SEARCH("GOOD",AU33)))</formula>
    </cfRule>
  </conditionalFormatting>
  <conditionalFormatting sqref="L32">
    <cfRule type="containsText" dxfId="4586" priority="106" operator="containsText" text="FAIL">
      <formula>NOT(ISERROR(SEARCH("FAIL",L32)))</formula>
    </cfRule>
  </conditionalFormatting>
  <conditionalFormatting sqref="L32">
    <cfRule type="containsText" dxfId="4585" priority="105" operator="containsText" text="GOOD">
      <formula>NOT(ISERROR(SEARCH("GOOD",L32)))</formula>
    </cfRule>
  </conditionalFormatting>
  <conditionalFormatting sqref="Z32:AA32">
    <cfRule type="containsText" dxfId="4584" priority="104" operator="containsText" text="FAIL">
      <formula>NOT(ISERROR(SEARCH("FAIL",Z32)))</formula>
    </cfRule>
  </conditionalFormatting>
  <conditionalFormatting sqref="Z32:AA32">
    <cfRule type="containsText" dxfId="4583" priority="103" operator="containsText" text="GOOD">
      <formula>NOT(ISERROR(SEARCH("GOOD",Z32)))</formula>
    </cfRule>
  </conditionalFormatting>
  <conditionalFormatting sqref="L30:L31">
    <cfRule type="containsText" dxfId="4582" priority="102" operator="containsText" text="FAIL">
      <formula>NOT(ISERROR(SEARCH("FAIL",L30)))</formula>
    </cfRule>
  </conditionalFormatting>
  <conditionalFormatting sqref="L30:L31">
    <cfRule type="containsText" dxfId="4581" priority="101" operator="containsText" text="GOOD">
      <formula>NOT(ISERROR(SEARCH("GOOD",L30)))</formula>
    </cfRule>
  </conditionalFormatting>
  <conditionalFormatting sqref="Z30:AA31">
    <cfRule type="containsText" dxfId="4580" priority="100" operator="containsText" text="FAIL">
      <formula>NOT(ISERROR(SEARCH("FAIL",Z30)))</formula>
    </cfRule>
  </conditionalFormatting>
  <conditionalFormatting sqref="Z30:AA31">
    <cfRule type="containsText" dxfId="4579" priority="99" operator="containsText" text="GOOD">
      <formula>NOT(ISERROR(SEARCH("GOOD",Z30)))</formula>
    </cfRule>
  </conditionalFormatting>
  <conditionalFormatting sqref="L29">
    <cfRule type="containsText" dxfId="4578" priority="98" operator="containsText" text="FAIL">
      <formula>NOT(ISERROR(SEARCH("FAIL",L29)))</formula>
    </cfRule>
  </conditionalFormatting>
  <conditionalFormatting sqref="L29">
    <cfRule type="containsText" dxfId="4577" priority="97" operator="containsText" text="GOOD">
      <formula>NOT(ISERROR(SEARCH("GOOD",L29)))</formula>
    </cfRule>
  </conditionalFormatting>
  <conditionalFormatting sqref="Z29:AA29">
    <cfRule type="containsText" dxfId="4576" priority="96" operator="containsText" text="FAIL">
      <formula>NOT(ISERROR(SEARCH("FAIL",Z29)))</formula>
    </cfRule>
  </conditionalFormatting>
  <conditionalFormatting sqref="Z29:AA29">
    <cfRule type="containsText" dxfId="4575" priority="95" operator="containsText" text="GOOD">
      <formula>NOT(ISERROR(SEARCH("GOOD",Z29)))</formula>
    </cfRule>
  </conditionalFormatting>
  <conditionalFormatting sqref="L28">
    <cfRule type="containsText" dxfId="4574" priority="94" operator="containsText" text="FAIL">
      <formula>NOT(ISERROR(SEARCH("FAIL",L28)))</formula>
    </cfRule>
  </conditionalFormatting>
  <conditionalFormatting sqref="L28">
    <cfRule type="containsText" dxfId="4573" priority="93" operator="containsText" text="GOOD">
      <formula>NOT(ISERROR(SEARCH("GOOD",L28)))</formula>
    </cfRule>
  </conditionalFormatting>
  <conditionalFormatting sqref="Z28:AA28">
    <cfRule type="containsText" dxfId="4572" priority="92" operator="containsText" text="FAIL">
      <formula>NOT(ISERROR(SEARCH("FAIL",Z28)))</formula>
    </cfRule>
  </conditionalFormatting>
  <conditionalFormatting sqref="Z28:AA28">
    <cfRule type="containsText" dxfId="4571" priority="91" operator="containsText" text="GOOD">
      <formula>NOT(ISERROR(SEARCH("GOOD",Z28)))</formula>
    </cfRule>
  </conditionalFormatting>
  <conditionalFormatting sqref="Z27:AA27">
    <cfRule type="containsText" dxfId="4570" priority="84" operator="containsText" text="FAIL">
      <formula>NOT(ISERROR(SEARCH("FAIL",Z27)))</formula>
    </cfRule>
  </conditionalFormatting>
  <conditionalFormatting sqref="Z27:AA27">
    <cfRule type="containsText" dxfId="4569" priority="83" operator="containsText" text="GOOD">
      <formula>NOT(ISERROR(SEARCH("GOOD",Z27)))</formula>
    </cfRule>
  </conditionalFormatting>
  <conditionalFormatting sqref="L27">
    <cfRule type="containsText" dxfId="4568" priority="82" operator="containsText" text="FAIL">
      <formula>NOT(ISERROR(SEARCH("FAIL",L27)))</formula>
    </cfRule>
  </conditionalFormatting>
  <conditionalFormatting sqref="L27">
    <cfRule type="containsText" dxfId="4567" priority="81" operator="containsText" text="GOOD">
      <formula>NOT(ISERROR(SEARCH("GOOD",L27)))</formula>
    </cfRule>
  </conditionalFormatting>
  <conditionalFormatting sqref="Z26:AA26">
    <cfRule type="containsText" dxfId="4566" priority="80" operator="containsText" text="FAIL">
      <formula>NOT(ISERROR(SEARCH("FAIL",Z26)))</formula>
    </cfRule>
  </conditionalFormatting>
  <conditionalFormatting sqref="Z26:AA26">
    <cfRule type="containsText" dxfId="4565" priority="79" operator="containsText" text="GOOD">
      <formula>NOT(ISERROR(SEARCH("GOOD",Z26)))</formula>
    </cfRule>
  </conditionalFormatting>
  <conditionalFormatting sqref="L26">
    <cfRule type="containsText" dxfId="4564" priority="78" operator="containsText" text="FAIL">
      <formula>NOT(ISERROR(SEARCH("FAIL",L26)))</formula>
    </cfRule>
  </conditionalFormatting>
  <conditionalFormatting sqref="L26">
    <cfRule type="containsText" dxfId="4563" priority="77" operator="containsText" text="GOOD">
      <formula>NOT(ISERROR(SEARCH("GOOD",L26)))</formula>
    </cfRule>
  </conditionalFormatting>
  <conditionalFormatting sqref="Z25:AA25">
    <cfRule type="containsText" dxfId="4562" priority="76" operator="containsText" text="FAIL">
      <formula>NOT(ISERROR(SEARCH("FAIL",Z25)))</formula>
    </cfRule>
  </conditionalFormatting>
  <conditionalFormatting sqref="Z25:AA25">
    <cfRule type="containsText" dxfId="4561" priority="75" operator="containsText" text="GOOD">
      <formula>NOT(ISERROR(SEARCH("GOOD",Z25)))</formula>
    </cfRule>
  </conditionalFormatting>
  <conditionalFormatting sqref="L25">
    <cfRule type="containsText" dxfId="4560" priority="74" operator="containsText" text="FAIL">
      <formula>NOT(ISERROR(SEARCH("FAIL",L25)))</formula>
    </cfRule>
  </conditionalFormatting>
  <conditionalFormatting sqref="L25">
    <cfRule type="containsText" dxfId="4559" priority="73" operator="containsText" text="GOOD">
      <formula>NOT(ISERROR(SEARCH("GOOD",L25)))</formula>
    </cfRule>
  </conditionalFormatting>
  <conditionalFormatting sqref="Z24:AA24">
    <cfRule type="containsText" dxfId="4558" priority="72" operator="containsText" text="FAIL">
      <formula>NOT(ISERROR(SEARCH("FAIL",Z24)))</formula>
    </cfRule>
  </conditionalFormatting>
  <conditionalFormatting sqref="Z24:AA24">
    <cfRule type="containsText" dxfId="4557" priority="71" operator="containsText" text="GOOD">
      <formula>NOT(ISERROR(SEARCH("GOOD",Z24)))</formula>
    </cfRule>
  </conditionalFormatting>
  <conditionalFormatting sqref="L24">
    <cfRule type="containsText" dxfId="4556" priority="70" operator="containsText" text="FAIL">
      <formula>NOT(ISERROR(SEARCH("FAIL",L24)))</formula>
    </cfRule>
  </conditionalFormatting>
  <conditionalFormatting sqref="L24">
    <cfRule type="containsText" dxfId="4555" priority="69" operator="containsText" text="GOOD">
      <formula>NOT(ISERROR(SEARCH("GOOD",L24)))</formula>
    </cfRule>
  </conditionalFormatting>
  <conditionalFormatting sqref="Z23:AA23">
    <cfRule type="containsText" dxfId="4554" priority="68" operator="containsText" text="FAIL">
      <formula>NOT(ISERROR(SEARCH("FAIL",Z23)))</formula>
    </cfRule>
  </conditionalFormatting>
  <conditionalFormatting sqref="Z23:AA23">
    <cfRule type="containsText" dxfId="4553" priority="67" operator="containsText" text="GOOD">
      <formula>NOT(ISERROR(SEARCH("GOOD",Z23)))</formula>
    </cfRule>
  </conditionalFormatting>
  <conditionalFormatting sqref="L23">
    <cfRule type="containsText" dxfId="4552" priority="66" operator="containsText" text="FAIL">
      <formula>NOT(ISERROR(SEARCH("FAIL",L23)))</formula>
    </cfRule>
  </conditionalFormatting>
  <conditionalFormatting sqref="L23">
    <cfRule type="containsText" dxfId="4551" priority="65" operator="containsText" text="GOOD">
      <formula>NOT(ISERROR(SEARCH("GOOD",L23)))</formula>
    </cfRule>
  </conditionalFormatting>
  <conditionalFormatting sqref="Z22:AA22">
    <cfRule type="containsText" dxfId="4550" priority="64" operator="containsText" text="FAIL">
      <formula>NOT(ISERROR(SEARCH("FAIL",Z22)))</formula>
    </cfRule>
  </conditionalFormatting>
  <conditionalFormatting sqref="Z22:AA22">
    <cfRule type="containsText" dxfId="4549" priority="63" operator="containsText" text="GOOD">
      <formula>NOT(ISERROR(SEARCH("GOOD",Z22)))</formula>
    </cfRule>
  </conditionalFormatting>
  <conditionalFormatting sqref="L22">
    <cfRule type="containsText" dxfId="4548" priority="62" operator="containsText" text="FAIL">
      <formula>NOT(ISERROR(SEARCH("FAIL",L22)))</formula>
    </cfRule>
  </conditionalFormatting>
  <conditionalFormatting sqref="L22">
    <cfRule type="containsText" dxfId="4547" priority="61" operator="containsText" text="GOOD">
      <formula>NOT(ISERROR(SEARCH("GOOD",L22)))</formula>
    </cfRule>
  </conditionalFormatting>
  <conditionalFormatting sqref="B20">
    <cfRule type="containsText" dxfId="4546" priority="60" operator="containsText" text="FAIL">
      <formula>NOT(ISERROR(SEARCH("FAIL",B20)))</formula>
    </cfRule>
  </conditionalFormatting>
  <conditionalFormatting sqref="B20">
    <cfRule type="containsText" dxfId="4545" priority="59" operator="containsText" text="GOOD">
      <formula>NOT(ISERROR(SEARCH("GOOD",B20)))</formula>
    </cfRule>
  </conditionalFormatting>
  <conditionalFormatting sqref="L20">
    <cfRule type="containsText" dxfId="4544" priority="58" operator="containsText" text="FAIL">
      <formula>NOT(ISERROR(SEARCH("FAIL",L20)))</formula>
    </cfRule>
  </conditionalFormatting>
  <conditionalFormatting sqref="L20">
    <cfRule type="containsText" dxfId="4543" priority="57" operator="containsText" text="GOOD">
      <formula>NOT(ISERROR(SEARCH("GOOD",L20)))</formula>
    </cfRule>
  </conditionalFormatting>
  <conditionalFormatting sqref="Z20:AA20">
    <cfRule type="containsText" dxfId="4542" priority="56" operator="containsText" text="FAIL">
      <formula>NOT(ISERROR(SEARCH("FAIL",Z20)))</formula>
    </cfRule>
  </conditionalFormatting>
  <conditionalFormatting sqref="Z20:AA20">
    <cfRule type="containsText" dxfId="4541" priority="55" operator="containsText" text="GOOD">
      <formula>NOT(ISERROR(SEARCH("GOOD",Z20)))</formula>
    </cfRule>
  </conditionalFormatting>
  <conditionalFormatting sqref="AU20">
    <cfRule type="containsText" dxfId="4540" priority="54" operator="containsText" text="FAIL">
      <formula>NOT(ISERROR(SEARCH("FAIL",AU20)))</formula>
    </cfRule>
  </conditionalFormatting>
  <conditionalFormatting sqref="AU20">
    <cfRule type="containsText" dxfId="4539" priority="53" operator="containsText" text="GOOD">
      <formula>NOT(ISERROR(SEARCH("GOOD",AU20)))</formula>
    </cfRule>
  </conditionalFormatting>
  <conditionalFormatting sqref="Z19:AA19">
    <cfRule type="containsText" dxfId="4538" priority="52" operator="containsText" text="FAIL">
      <formula>NOT(ISERROR(SEARCH("FAIL",Z19)))</formula>
    </cfRule>
  </conditionalFormatting>
  <conditionalFormatting sqref="Z19:AA19">
    <cfRule type="containsText" dxfId="4537" priority="51" operator="containsText" text="GOOD">
      <formula>NOT(ISERROR(SEARCH("GOOD",Z19)))</formula>
    </cfRule>
  </conditionalFormatting>
  <conditionalFormatting sqref="L19">
    <cfRule type="containsText" dxfId="4536" priority="50" operator="containsText" text="FAIL">
      <formula>NOT(ISERROR(SEARCH("FAIL",L19)))</formula>
    </cfRule>
  </conditionalFormatting>
  <conditionalFormatting sqref="L19">
    <cfRule type="containsText" dxfId="4535" priority="49" operator="containsText" text="GOOD">
      <formula>NOT(ISERROR(SEARCH("GOOD",L19)))</formula>
    </cfRule>
  </conditionalFormatting>
  <conditionalFormatting sqref="Z18:AA18">
    <cfRule type="containsText" dxfId="4534" priority="48" operator="containsText" text="FAIL">
      <formula>NOT(ISERROR(SEARCH("FAIL",Z18)))</formula>
    </cfRule>
  </conditionalFormatting>
  <conditionalFormatting sqref="Z18:AA18">
    <cfRule type="containsText" dxfId="4533" priority="47" operator="containsText" text="GOOD">
      <formula>NOT(ISERROR(SEARCH("GOOD",Z18)))</formula>
    </cfRule>
  </conditionalFormatting>
  <conditionalFormatting sqref="L18">
    <cfRule type="containsText" dxfId="4532" priority="46" operator="containsText" text="FAIL">
      <formula>NOT(ISERROR(SEARCH("FAIL",L18)))</formula>
    </cfRule>
  </conditionalFormatting>
  <conditionalFormatting sqref="L18">
    <cfRule type="containsText" dxfId="4531" priority="45" operator="containsText" text="GOOD">
      <formula>NOT(ISERROR(SEARCH("GOOD",L18)))</formula>
    </cfRule>
  </conditionalFormatting>
  <conditionalFormatting sqref="Z17:AA17">
    <cfRule type="containsText" dxfId="4530" priority="44" operator="containsText" text="FAIL">
      <formula>NOT(ISERROR(SEARCH("FAIL",Z17)))</formula>
    </cfRule>
  </conditionalFormatting>
  <conditionalFormatting sqref="Z17:AA17">
    <cfRule type="containsText" dxfId="4529" priority="43" operator="containsText" text="GOOD">
      <formula>NOT(ISERROR(SEARCH("GOOD",Z17)))</formula>
    </cfRule>
  </conditionalFormatting>
  <conditionalFormatting sqref="L17">
    <cfRule type="containsText" dxfId="4528" priority="42" operator="containsText" text="FAIL">
      <formula>NOT(ISERROR(SEARCH("FAIL",L17)))</formula>
    </cfRule>
  </conditionalFormatting>
  <conditionalFormatting sqref="L17">
    <cfRule type="containsText" dxfId="4527" priority="41" operator="containsText" text="GOOD">
      <formula>NOT(ISERROR(SEARCH("GOOD",L17)))</formula>
    </cfRule>
  </conditionalFormatting>
  <conditionalFormatting sqref="Z16:AA16">
    <cfRule type="containsText" dxfId="4526" priority="40" operator="containsText" text="FAIL">
      <formula>NOT(ISERROR(SEARCH("FAIL",Z16)))</formula>
    </cfRule>
  </conditionalFormatting>
  <conditionalFormatting sqref="Z16:AA16">
    <cfRule type="containsText" dxfId="4525" priority="39" operator="containsText" text="GOOD">
      <formula>NOT(ISERROR(SEARCH("GOOD",Z16)))</formula>
    </cfRule>
  </conditionalFormatting>
  <conditionalFormatting sqref="L16">
    <cfRule type="containsText" dxfId="4524" priority="38" operator="containsText" text="FAIL">
      <formula>NOT(ISERROR(SEARCH("FAIL",L16)))</formula>
    </cfRule>
  </conditionalFormatting>
  <conditionalFormatting sqref="L16">
    <cfRule type="containsText" dxfId="4523" priority="37" operator="containsText" text="GOOD">
      <formula>NOT(ISERROR(SEARCH("GOOD",L16)))</formula>
    </cfRule>
  </conditionalFormatting>
  <conditionalFormatting sqref="Z15:AA15">
    <cfRule type="containsText" dxfId="4522" priority="36" operator="containsText" text="FAIL">
      <formula>NOT(ISERROR(SEARCH("FAIL",Z15)))</formula>
    </cfRule>
  </conditionalFormatting>
  <conditionalFormatting sqref="Z15:AA15">
    <cfRule type="containsText" dxfId="4521" priority="35" operator="containsText" text="GOOD">
      <formula>NOT(ISERROR(SEARCH("GOOD",Z15)))</formula>
    </cfRule>
  </conditionalFormatting>
  <conditionalFormatting sqref="L15">
    <cfRule type="containsText" dxfId="4520" priority="34" operator="containsText" text="FAIL">
      <formula>NOT(ISERROR(SEARCH("FAIL",L15)))</formula>
    </cfRule>
  </conditionalFormatting>
  <conditionalFormatting sqref="L15">
    <cfRule type="containsText" dxfId="4519" priority="33" operator="containsText" text="GOOD">
      <formula>NOT(ISERROR(SEARCH("GOOD",L15)))</formula>
    </cfRule>
  </conditionalFormatting>
  <conditionalFormatting sqref="Z13:AA14">
    <cfRule type="containsText" dxfId="4518" priority="32" operator="containsText" text="FAIL">
      <formula>NOT(ISERROR(SEARCH("FAIL",Z13)))</formula>
    </cfRule>
  </conditionalFormatting>
  <conditionalFormatting sqref="Z13:AA14">
    <cfRule type="containsText" dxfId="4517" priority="31" operator="containsText" text="GOOD">
      <formula>NOT(ISERROR(SEARCH("GOOD",Z13)))</formula>
    </cfRule>
  </conditionalFormatting>
  <conditionalFormatting sqref="L13:L14">
    <cfRule type="containsText" dxfId="4516" priority="30" operator="containsText" text="FAIL">
      <formula>NOT(ISERROR(SEARCH("FAIL",L13)))</formula>
    </cfRule>
  </conditionalFormatting>
  <conditionalFormatting sqref="L13:L14">
    <cfRule type="containsText" dxfId="4515" priority="29" operator="containsText" text="GOOD">
      <formula>NOT(ISERROR(SEARCH("GOOD",L13)))</formula>
    </cfRule>
  </conditionalFormatting>
  <conditionalFormatting sqref="Z12:AA12">
    <cfRule type="containsText" dxfId="4514" priority="28" operator="containsText" text="FAIL">
      <formula>NOT(ISERROR(SEARCH("FAIL",Z12)))</formula>
    </cfRule>
  </conditionalFormatting>
  <conditionalFormatting sqref="Z12:AA12">
    <cfRule type="containsText" dxfId="4513" priority="27" operator="containsText" text="GOOD">
      <formula>NOT(ISERROR(SEARCH("GOOD",Z12)))</formula>
    </cfRule>
  </conditionalFormatting>
  <conditionalFormatting sqref="L12">
    <cfRule type="containsText" dxfId="4512" priority="26" operator="containsText" text="FAIL">
      <formula>NOT(ISERROR(SEARCH("FAIL",L12)))</formula>
    </cfRule>
  </conditionalFormatting>
  <conditionalFormatting sqref="L12">
    <cfRule type="containsText" dxfId="4511" priority="25" operator="containsText" text="GOOD">
      <formula>NOT(ISERROR(SEARCH("GOOD",L12)))</formula>
    </cfRule>
  </conditionalFormatting>
  <conditionalFormatting sqref="Z11:AA11">
    <cfRule type="containsText" dxfId="4510" priority="24" operator="containsText" text="FAIL">
      <formula>NOT(ISERROR(SEARCH("FAIL",Z11)))</formula>
    </cfRule>
  </conditionalFormatting>
  <conditionalFormatting sqref="Z11:AA11">
    <cfRule type="containsText" dxfId="4509" priority="23" operator="containsText" text="GOOD">
      <formula>NOT(ISERROR(SEARCH("GOOD",Z11)))</formula>
    </cfRule>
  </conditionalFormatting>
  <conditionalFormatting sqref="L11">
    <cfRule type="containsText" dxfId="4508" priority="22" operator="containsText" text="FAIL">
      <formula>NOT(ISERROR(SEARCH("FAIL",L11)))</formula>
    </cfRule>
  </conditionalFormatting>
  <conditionalFormatting sqref="L11">
    <cfRule type="containsText" dxfId="4507" priority="21" operator="containsText" text="GOOD">
      <formula>NOT(ISERROR(SEARCH("GOOD",L11)))</formula>
    </cfRule>
  </conditionalFormatting>
  <conditionalFormatting sqref="Z10:AA10">
    <cfRule type="containsText" dxfId="4506" priority="20" operator="containsText" text="FAIL">
      <formula>NOT(ISERROR(SEARCH("FAIL",Z10)))</formula>
    </cfRule>
  </conditionalFormatting>
  <conditionalFormatting sqref="Z10:AA10">
    <cfRule type="containsText" dxfId="4505" priority="19" operator="containsText" text="GOOD">
      <formula>NOT(ISERROR(SEARCH("GOOD",Z10)))</formula>
    </cfRule>
  </conditionalFormatting>
  <conditionalFormatting sqref="L10">
    <cfRule type="containsText" dxfId="4504" priority="18" operator="containsText" text="FAIL">
      <formula>NOT(ISERROR(SEARCH("FAIL",L10)))</formula>
    </cfRule>
  </conditionalFormatting>
  <conditionalFormatting sqref="L10">
    <cfRule type="containsText" dxfId="4503" priority="17" operator="containsText" text="GOOD">
      <formula>NOT(ISERROR(SEARCH("GOOD",L10)))</formula>
    </cfRule>
  </conditionalFormatting>
  <conditionalFormatting sqref="Z9:AA9">
    <cfRule type="containsText" dxfId="4502" priority="16" operator="containsText" text="FAIL">
      <formula>NOT(ISERROR(SEARCH("FAIL",Z9)))</formula>
    </cfRule>
  </conditionalFormatting>
  <conditionalFormatting sqref="Z9:AA9">
    <cfRule type="containsText" dxfId="4501" priority="15" operator="containsText" text="GOOD">
      <formula>NOT(ISERROR(SEARCH("GOOD",Z9)))</formula>
    </cfRule>
  </conditionalFormatting>
  <conditionalFormatting sqref="L9">
    <cfRule type="containsText" dxfId="4500" priority="14" operator="containsText" text="FAIL">
      <formula>NOT(ISERROR(SEARCH("FAIL",L9)))</formula>
    </cfRule>
  </conditionalFormatting>
  <conditionalFormatting sqref="L9">
    <cfRule type="containsText" dxfId="4499" priority="13" operator="containsText" text="GOOD">
      <formula>NOT(ISERROR(SEARCH("GOOD",L9)))</formula>
    </cfRule>
  </conditionalFormatting>
  <conditionalFormatting sqref="Z8:AA8">
    <cfRule type="containsText" dxfId="4498" priority="12" operator="containsText" text="FAIL">
      <formula>NOT(ISERROR(SEARCH("FAIL",Z8)))</formula>
    </cfRule>
  </conditionalFormatting>
  <conditionalFormatting sqref="Z8:AA8">
    <cfRule type="containsText" dxfId="4497" priority="11" operator="containsText" text="GOOD">
      <formula>NOT(ISERROR(SEARCH("GOOD",Z8)))</formula>
    </cfRule>
  </conditionalFormatting>
  <conditionalFormatting sqref="L8">
    <cfRule type="containsText" dxfId="4496" priority="10" operator="containsText" text="FAIL">
      <formula>NOT(ISERROR(SEARCH("FAIL",L8)))</formula>
    </cfRule>
  </conditionalFormatting>
  <conditionalFormatting sqref="L8">
    <cfRule type="containsText" dxfId="4495" priority="9" operator="containsText" text="GOOD">
      <formula>NOT(ISERROR(SEARCH("GOOD",L8)))</formula>
    </cfRule>
  </conditionalFormatting>
  <conditionalFormatting sqref="Z7:AA7">
    <cfRule type="containsText" dxfId="4494" priority="8" operator="containsText" text="FAIL">
      <formula>NOT(ISERROR(SEARCH("FAIL",Z7)))</formula>
    </cfRule>
  </conditionalFormatting>
  <conditionalFormatting sqref="Z7:AA7">
    <cfRule type="containsText" dxfId="4493" priority="7" operator="containsText" text="GOOD">
      <formula>NOT(ISERROR(SEARCH("GOOD",Z7)))</formula>
    </cfRule>
  </conditionalFormatting>
  <conditionalFormatting sqref="L7">
    <cfRule type="containsText" dxfId="4492" priority="6" operator="containsText" text="FAIL">
      <formula>NOT(ISERROR(SEARCH("FAIL",L7)))</formula>
    </cfRule>
  </conditionalFormatting>
  <conditionalFormatting sqref="L7">
    <cfRule type="containsText" dxfId="4491" priority="5" operator="containsText" text="GOOD">
      <formula>NOT(ISERROR(SEARCH("GOOD",L7)))</formula>
    </cfRule>
  </conditionalFormatting>
  <conditionalFormatting sqref="AC286:AC287">
    <cfRule type="containsText" dxfId="3" priority="4" operator="containsText" text="FAIL">
      <formula>NOT(ISERROR(SEARCH("FAIL",AC286)))</formula>
    </cfRule>
  </conditionalFormatting>
  <conditionalFormatting sqref="AC286:AC287">
    <cfRule type="containsText" dxfId="2" priority="3" operator="containsText" text="GOOD">
      <formula>NOT(ISERROR(SEARCH("GOOD",AC286)))</formula>
    </cfRule>
  </conditionalFormatting>
  <conditionalFormatting sqref="AD286:AD287">
    <cfRule type="containsText" dxfId="1" priority="2" operator="containsText" text="FAIL">
      <formula>NOT(ISERROR(SEARCH("FAIL",AD286)))</formula>
    </cfRule>
  </conditionalFormatting>
  <conditionalFormatting sqref="AD286:AD287">
    <cfRule type="containsText" dxfId="0" priority="1" operator="containsText" text="GOOD">
      <formula>NOT(ISERROR(SEARCH("GOOD",AD286)))</formula>
    </cfRule>
  </conditionalFormatting>
  <pageMargins left="0.7" right="0.7" top="0.75" bottom="0.75" header="0.3" footer="0.3"/>
  <pageSetup paperSize="17" scale="85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C6B89-94DA-8C40-AE48-6D55E875656D}">
  <sheetPr>
    <tabColor rgb="FF0070C0"/>
  </sheetPr>
  <dimension ref="B1:AB243"/>
  <sheetViews>
    <sheetView showGridLines="0" topLeftCell="H1" workbookViewId="0">
      <selection activeCell="O3" sqref="O3"/>
    </sheetView>
  </sheetViews>
  <sheetFormatPr defaultColWidth="10.85546875" defaultRowHeight="15.75" x14ac:dyDescent="0.25"/>
  <cols>
    <col min="1" max="1" width="4.85546875" style="240" customWidth="1"/>
    <col min="2" max="2" width="10.85546875" style="240"/>
    <col min="3" max="4" width="14.42578125" style="240" customWidth="1"/>
    <col min="5" max="5" width="7.7109375" style="240" customWidth="1"/>
    <col min="6" max="6" width="2.85546875" style="240" customWidth="1"/>
    <col min="7" max="7" width="13.7109375" style="240" bestFit="1" customWidth="1"/>
    <col min="8" max="8" width="13.7109375" style="240" customWidth="1"/>
    <col min="9" max="9" width="3.140625" style="240" customWidth="1"/>
    <col min="10" max="11" width="14.7109375" style="241" bestFit="1" customWidth="1"/>
    <col min="12" max="13" width="14.7109375" style="241" customWidth="1"/>
    <col min="14" max="14" width="4.7109375" style="242" customWidth="1"/>
    <col min="15" max="15" width="13" style="241" customWidth="1"/>
    <col min="16" max="16" width="13" style="240" customWidth="1"/>
    <col min="17" max="17" width="13.28515625" style="240" customWidth="1"/>
    <col min="18" max="19" width="14.7109375" style="241" customWidth="1"/>
    <col min="20" max="20" width="3" style="243" customWidth="1"/>
    <col min="21" max="21" width="14.7109375" style="240" bestFit="1" customWidth="1"/>
    <col min="22" max="22" width="14.28515625" style="240" bestFit="1" customWidth="1"/>
    <col min="23" max="23" width="13.7109375" style="240" bestFit="1" customWidth="1"/>
    <col min="24" max="24" width="3" style="243" customWidth="1"/>
    <col min="25" max="25" width="3.85546875" style="240" customWidth="1"/>
    <col min="26" max="26" width="14.7109375" style="240" bestFit="1" customWidth="1"/>
    <col min="27" max="27" width="15.28515625" style="240" bestFit="1" customWidth="1"/>
    <col min="28" max="28" width="14.7109375" style="240" bestFit="1" customWidth="1"/>
    <col min="29" max="16384" width="10.85546875" style="240"/>
  </cols>
  <sheetData>
    <row r="1" spans="2:28" x14ac:dyDescent="0.25">
      <c r="J1" s="241" t="s">
        <v>1827</v>
      </c>
      <c r="K1" s="241" t="s">
        <v>1823</v>
      </c>
      <c r="L1" s="241" t="s">
        <v>1852</v>
      </c>
      <c r="M1" s="241" t="s">
        <v>1851</v>
      </c>
      <c r="O1" s="241" t="s">
        <v>1855</v>
      </c>
      <c r="P1" s="240" t="s">
        <v>1854</v>
      </c>
      <c r="Q1" s="240" t="s">
        <v>1853</v>
      </c>
      <c r="R1" s="241" t="s">
        <v>1852</v>
      </c>
      <c r="S1" s="241" t="s">
        <v>1851</v>
      </c>
      <c r="U1" s="240" t="s">
        <v>1850</v>
      </c>
      <c r="V1" s="240" t="s">
        <v>1849</v>
      </c>
      <c r="W1" s="240" t="s">
        <v>1848</v>
      </c>
      <c r="Z1" s="264" t="s">
        <v>1866</v>
      </c>
      <c r="AA1" s="240" t="s">
        <v>1849</v>
      </c>
      <c r="AB1" s="240" t="s">
        <v>1848</v>
      </c>
    </row>
    <row r="2" spans="2:28" ht="21" x14ac:dyDescent="0.25">
      <c r="B2" s="253" t="s">
        <v>1860</v>
      </c>
      <c r="C2" s="254"/>
      <c r="D2" s="254"/>
      <c r="J2" s="241">
        <f>ECON_OUTPUT!G2</f>
        <v>25770000</v>
      </c>
      <c r="K2" s="241">
        <f>ECON_OUTPUT!Q2</f>
        <v>29484532</v>
      </c>
      <c r="L2" s="241">
        <f t="shared" ref="L2:L65" si="0">$K2-J2</f>
        <v>3714532</v>
      </c>
      <c r="M2" s="241">
        <f t="shared" ref="M2:M65" si="1">ABS(L2)</f>
        <v>3714532</v>
      </c>
      <c r="O2" s="244">
        <f>IF(ECON_OUTPUT!BG2=5,ECON_OUTPUT!G2*(ECON_ASSUMPT!G$13),0)</f>
        <v>800423.78721159138</v>
      </c>
      <c r="P2" s="244">
        <f>IF(ECON_OUTPUT!BE2="Other",ECON_OUTPUT!G2*ECON_ASSUMPT!G$14,0)</f>
        <v>1500123.5995997521</v>
      </c>
      <c r="Q2" s="241">
        <f>ECON_OUTPUT!G2+O2+P2</f>
        <v>28070547.386811342</v>
      </c>
      <c r="R2" s="241">
        <f>$K2-Q2</f>
        <v>1413984.6131886579</v>
      </c>
      <c r="S2" s="241">
        <f t="shared" ref="S2:S65" si="2">ABS(R2)</f>
        <v>1413984.6131886579</v>
      </c>
      <c r="U2" s="241">
        <f>ECON_ASSUMPT!E$4+(ECON_OUTPUT!G2*ECON_ASSUMPT!E$5)+(ECON_OUTPUT!BJ2*ECON_ASSUMPT!E$6)+(ECON_OUTPUT!BK2*ECON_ASSUMPT!E$7)+(ECON_OUTPUT!BL2*ECON_ASSUMPT!E$8)+(ECON_OUTPUT!BM2*ECON_ASSUMPT!E$9)+(ECON_OUTPUT!BN2*ECON_ASSUMPT!E$10)</f>
        <v>27134579.550994869</v>
      </c>
      <c r="V2" s="241">
        <f>ECON_OUTPUT!Q2-U2</f>
        <v>2349952.4490051307</v>
      </c>
      <c r="W2" s="241">
        <f t="shared" ref="W2:W65" si="3">ABS(V2)</f>
        <v>2349952.4490051307</v>
      </c>
      <c r="Y2" s="241"/>
      <c r="Z2" s="265">
        <v>28796997.571724799</v>
      </c>
      <c r="AA2" s="241">
        <f>$K2-Q2</f>
        <v>1413984.6131886579</v>
      </c>
      <c r="AB2" s="241">
        <f>ABS(AA2)</f>
        <v>1413984.6131886579</v>
      </c>
    </row>
    <row r="3" spans="2:28" x14ac:dyDescent="0.25">
      <c r="B3" s="255" t="s">
        <v>1847</v>
      </c>
      <c r="C3" s="256"/>
      <c r="D3" s="254"/>
      <c r="J3" s="241">
        <f>ECON_OUTPUT!G3</f>
        <v>9700000</v>
      </c>
      <c r="K3" s="241">
        <f>ECON_OUTPUT!Q3</f>
        <v>9825550</v>
      </c>
      <c r="L3" s="241">
        <f t="shared" si="0"/>
        <v>125550</v>
      </c>
      <c r="M3" s="241">
        <f t="shared" si="1"/>
        <v>125550</v>
      </c>
      <c r="O3" s="244">
        <f>IF(ECON_OUTPUT!BG3=5,ECON_OUTPUT!G3*(ECON_ASSUMPT!G$13),0)</f>
        <v>0</v>
      </c>
      <c r="P3" s="244">
        <f>IF(ECON_OUTPUT!BE3="Other",ECON_OUTPUT!G3*ECON_ASSUMPT!G$14,0)</f>
        <v>564656.53535574686</v>
      </c>
      <c r="Q3" s="241">
        <f>ECON_OUTPUT!G3+O3+P3</f>
        <v>10264656.535355747</v>
      </c>
      <c r="R3" s="241">
        <f t="shared" ref="R3:R66" si="4">$K3-Q3</f>
        <v>-439106.53535574675</v>
      </c>
      <c r="S3" s="241">
        <f t="shared" si="2"/>
        <v>439106.53535574675</v>
      </c>
      <c r="U3" s="241">
        <f>ECON_ASSUMPT!E$4+(ECON_OUTPUT!G3*ECON_ASSUMPT!E$5)+(ECON_OUTPUT!BJ3*ECON_ASSUMPT!E$6)+(ECON_OUTPUT!BK3*ECON_ASSUMPT!E$7)+(ECON_OUTPUT!BL3*ECON_ASSUMPT!E$8)+(ECON_OUTPUT!BM3*ECON_ASSUMPT!E$9)+(ECON_OUTPUT!BN3*ECON_ASSUMPT!E$10)</f>
        <v>10770470.054313902</v>
      </c>
      <c r="V3" s="241">
        <f>ECON_OUTPUT!Q3-U3</f>
        <v>-944920.05431390181</v>
      </c>
      <c r="W3" s="241">
        <f t="shared" si="3"/>
        <v>944920.05431390181</v>
      </c>
      <c r="Y3" s="241"/>
      <c r="Z3" s="265">
        <v>11485214.1086489</v>
      </c>
      <c r="AA3" s="241">
        <f t="shared" ref="AA3:AA66" si="5">$K3-Q3</f>
        <v>-439106.53535574675</v>
      </c>
      <c r="AB3" s="241">
        <f t="shared" ref="AB3:AB66" si="6">ABS(AA3)</f>
        <v>439106.53535574675</v>
      </c>
    </row>
    <row r="4" spans="2:28" x14ac:dyDescent="0.25">
      <c r="B4" s="254"/>
      <c r="C4" s="257" t="s">
        <v>1865</v>
      </c>
      <c r="D4" s="257" t="s">
        <v>1846</v>
      </c>
      <c r="E4" s="245"/>
      <c r="G4" s="245" t="s">
        <v>1845</v>
      </c>
      <c r="H4" s="245" t="s">
        <v>1867</v>
      </c>
      <c r="J4" s="241">
        <f>ECON_OUTPUT!G4</f>
        <v>640000</v>
      </c>
      <c r="K4" s="241">
        <f>ECON_OUTPUT!Q4</f>
        <v>610750.86</v>
      </c>
      <c r="L4" s="241">
        <f t="shared" si="0"/>
        <v>-29249.140000000014</v>
      </c>
      <c r="M4" s="241">
        <f t="shared" si="1"/>
        <v>29249.140000000014</v>
      </c>
      <c r="O4" s="244">
        <f>IF(ECON_OUTPUT!BG4=5,ECON_OUTPUT!G4*(ECON_ASSUMPT!G$13),0)</f>
        <v>0</v>
      </c>
      <c r="P4" s="244">
        <f>IF(ECON_OUTPUT!BE4="Other",ECON_OUTPUT!G4*ECON_ASSUMPT!G$14,0)</f>
        <v>37255.688930688448</v>
      </c>
      <c r="Q4" s="241">
        <f>ECON_OUTPUT!G4+O4+P4</f>
        <v>677255.68893068843</v>
      </c>
      <c r="R4" s="241">
        <f t="shared" si="4"/>
        <v>-66504.82893068844</v>
      </c>
      <c r="S4" s="241">
        <f t="shared" si="2"/>
        <v>66504.82893068844</v>
      </c>
      <c r="U4" s="241">
        <f>ECON_ASSUMPT!E$4+(ECON_OUTPUT!G4*ECON_ASSUMPT!E$5)+(ECON_OUTPUT!BJ4*ECON_ASSUMPT!E$6)+(ECON_OUTPUT!BK4*ECON_ASSUMPT!E$7)+(ECON_OUTPUT!BL4*ECON_ASSUMPT!E$8)+(ECON_OUTPUT!BM4*ECON_ASSUMPT!E$9)+(ECON_OUTPUT!BN4*ECON_ASSUMPT!E$10)</f>
        <v>1422218.4938276277</v>
      </c>
      <c r="V4" s="241">
        <f>ECON_OUTPUT!Q4-U4</f>
        <v>-811467.63382762775</v>
      </c>
      <c r="W4" s="241">
        <f t="shared" si="3"/>
        <v>811467.63382762775</v>
      </c>
      <c r="Y4" s="241"/>
      <c r="Z4" s="265">
        <v>3180067.5177577301</v>
      </c>
      <c r="AA4" s="241">
        <f t="shared" si="5"/>
        <v>-66504.82893068844</v>
      </c>
      <c r="AB4" s="241">
        <f t="shared" si="6"/>
        <v>66504.82893068844</v>
      </c>
    </row>
    <row r="5" spans="2:28" x14ac:dyDescent="0.25">
      <c r="B5" s="258" t="s">
        <v>1844</v>
      </c>
      <c r="C5" s="259">
        <f>SUM(M2:M240)</f>
        <v>656100709.97000003</v>
      </c>
      <c r="D5" s="259">
        <f>SUM(ECON_ADJUSTMENT!W2:W240)</f>
        <v>626922729.61941206</v>
      </c>
      <c r="E5" s="241"/>
      <c r="G5" s="246">
        <f>SUM(S2:S240)</f>
        <v>744143758.89578891</v>
      </c>
      <c r="H5" s="246">
        <f>SUM(AB2:AB240)</f>
        <v>744143758.89578891</v>
      </c>
      <c r="J5" s="241">
        <f>ECON_OUTPUT!G5</f>
        <v>9600000</v>
      </c>
      <c r="K5" s="241">
        <f>ECON_OUTPUT!Q5</f>
        <v>7064400</v>
      </c>
      <c r="L5" s="241">
        <f t="shared" si="0"/>
        <v>-2535600</v>
      </c>
      <c r="M5" s="241">
        <f t="shared" si="1"/>
        <v>2535600</v>
      </c>
      <c r="O5" s="244">
        <f>IF(ECON_OUTPUT!BG5=5,ECON_OUTPUT!G5*(ECON_ASSUMPT!G$13),0)</f>
        <v>0</v>
      </c>
      <c r="P5" s="244">
        <f>IF(ECON_OUTPUT!BE5="Other",ECON_OUTPUT!G5*ECON_ASSUMPT!G$14,0)</f>
        <v>0</v>
      </c>
      <c r="Q5" s="241">
        <f>ECON_OUTPUT!G5+O5+P5</f>
        <v>9600000</v>
      </c>
      <c r="R5" s="241">
        <f t="shared" si="4"/>
        <v>-2535600</v>
      </c>
      <c r="S5" s="241">
        <f t="shared" si="2"/>
        <v>2535600</v>
      </c>
      <c r="U5" s="241">
        <f>ECON_ASSUMPT!E$4+(ECON_OUTPUT!G5*ECON_ASSUMPT!E$5)+(ECON_OUTPUT!BJ5*ECON_ASSUMPT!E$6)+(ECON_OUTPUT!BK5*ECON_ASSUMPT!E$7)+(ECON_OUTPUT!BL5*ECON_ASSUMPT!E$8)+(ECON_OUTPUT!BM5*ECON_ASSUMPT!E$9)+(ECON_OUTPUT!BN5*ECON_ASSUMPT!E$10)</f>
        <v>8763746.395410616</v>
      </c>
      <c r="V5" s="241">
        <f>ECON_OUTPUT!Q5-U5</f>
        <v>-1699346.395410616</v>
      </c>
      <c r="W5" s="241">
        <f t="shared" si="3"/>
        <v>1699346.395410616</v>
      </c>
      <c r="Y5" s="241"/>
      <c r="Z5" s="265">
        <v>9927084.3671951201</v>
      </c>
      <c r="AA5" s="241">
        <f t="shared" si="5"/>
        <v>-2535600</v>
      </c>
      <c r="AB5" s="241">
        <f t="shared" si="6"/>
        <v>2535600</v>
      </c>
    </row>
    <row r="6" spans="2:28" x14ac:dyDescent="0.25">
      <c r="B6" s="260" t="s">
        <v>1861</v>
      </c>
      <c r="C6" s="261">
        <f>AVERAGE(M2:M240)</f>
        <v>2745191.2551046028</v>
      </c>
      <c r="D6" s="261">
        <f>AVERAGE(ECON_ADJUSTMENT!W2:W240)</f>
        <v>2623107.6553113475</v>
      </c>
      <c r="E6" s="247">
        <f>(C6-D6)/C6</f>
        <v>4.4471801214667449E-2</v>
      </c>
      <c r="G6" s="248">
        <f>AVERAGE(S2:S240)</f>
        <v>3113572.2129530916</v>
      </c>
      <c r="H6" s="248">
        <f>AVERAGE(AB2:AB240)</f>
        <v>3113572.2129530916</v>
      </c>
      <c r="J6" s="241">
        <f>ECON_OUTPUT!G6</f>
        <v>4450000</v>
      </c>
      <c r="K6" s="241">
        <f>ECON_OUTPUT!Q6</f>
        <v>4298317</v>
      </c>
      <c r="L6" s="241">
        <f t="shared" si="0"/>
        <v>-151683</v>
      </c>
      <c r="M6" s="241">
        <f t="shared" si="1"/>
        <v>151683</v>
      </c>
      <c r="O6" s="244">
        <f>IF(ECON_OUTPUT!BG6=5,ECON_OUTPUT!G6*(ECON_ASSUMPT!G$13),0)</f>
        <v>0</v>
      </c>
      <c r="P6" s="244">
        <f>IF(ECON_OUTPUT!BE6="Other",ECON_OUTPUT!G6*ECON_ASSUMPT!G$14,0)</f>
        <v>259043.46209619314</v>
      </c>
      <c r="Q6" s="241">
        <f>ECON_OUTPUT!G6+O6+P6</f>
        <v>4709043.4620961929</v>
      </c>
      <c r="R6" s="241">
        <f t="shared" si="4"/>
        <v>-410726.46209619287</v>
      </c>
      <c r="S6" s="241">
        <f t="shared" si="2"/>
        <v>410726.46209619287</v>
      </c>
      <c r="U6" s="241">
        <f>ECON_ASSUMPT!E$4+(ECON_OUTPUT!G6*ECON_ASSUMPT!E$5)+(ECON_OUTPUT!BJ6*ECON_ASSUMPT!E$6)+(ECON_OUTPUT!BK6*ECON_ASSUMPT!E$7)+(ECON_OUTPUT!BL6*ECON_ASSUMPT!E$8)+(ECON_OUTPUT!BM6*ECON_ASSUMPT!E$9)+(ECON_OUTPUT!BN6*ECON_ASSUMPT!E$10)</f>
        <v>6110093.7389802914</v>
      </c>
      <c r="V6" s="241">
        <f>ECON_OUTPUT!Q6-U6</f>
        <v>-1811776.7389802914</v>
      </c>
      <c r="W6" s="241">
        <f t="shared" si="3"/>
        <v>1811776.7389802914</v>
      </c>
      <c r="Y6" s="241"/>
      <c r="Z6" s="265">
        <v>7643628.25555423</v>
      </c>
      <c r="AA6" s="241">
        <f t="shared" si="5"/>
        <v>-410726.46209619287</v>
      </c>
      <c r="AB6" s="241">
        <f t="shared" si="6"/>
        <v>410726.46209619287</v>
      </c>
    </row>
    <row r="7" spans="2:28" x14ac:dyDescent="0.25">
      <c r="B7" s="262" t="s">
        <v>1863</v>
      </c>
      <c r="C7" s="263">
        <f>C6/AVERAGE($K2:$K240)</f>
        <v>0.18392605277687149</v>
      </c>
      <c r="D7" s="263">
        <f t="shared" ref="D7" si="7">D6/AVERAGE($K2:$K240)</f>
        <v>0.17574652991958004</v>
      </c>
      <c r="E7" s="252"/>
      <c r="F7" s="252"/>
      <c r="G7" s="251">
        <f>G6/AVERAGE($K2:$K240)</f>
        <v>0.20860734059944031</v>
      </c>
      <c r="H7" s="251">
        <f>H6/AVERAGE($K2:$K240)</f>
        <v>0.20860734059944031</v>
      </c>
      <c r="J7" s="241">
        <f>ECON_OUTPUT!G7</f>
        <v>1300000</v>
      </c>
      <c r="K7" s="241">
        <f>ECON_OUTPUT!Q7</f>
        <v>1321680</v>
      </c>
      <c r="L7" s="241">
        <f t="shared" si="0"/>
        <v>21680</v>
      </c>
      <c r="M7" s="241">
        <f t="shared" si="1"/>
        <v>21680</v>
      </c>
      <c r="O7" s="244">
        <f>IF(ECON_OUTPUT!BG7=5,ECON_OUTPUT!G7*(ECON_ASSUMPT!G$13),0)</f>
        <v>0</v>
      </c>
      <c r="P7" s="244">
        <f>IF(ECON_OUTPUT!BE7="Other",ECON_OUTPUT!G7*ECON_ASSUMPT!G$14,0)</f>
        <v>75675.618140460909</v>
      </c>
      <c r="Q7" s="241">
        <f>ECON_OUTPUT!G7+O7+P7</f>
        <v>1375675.6181404609</v>
      </c>
      <c r="R7" s="241">
        <f t="shared" si="4"/>
        <v>-53995.618140460923</v>
      </c>
      <c r="S7" s="241">
        <f t="shared" si="2"/>
        <v>53995.618140460923</v>
      </c>
      <c r="U7" s="241">
        <f>ECON_ASSUMPT!E$4+(ECON_OUTPUT!G7*ECON_ASSUMPT!E$5)+(ECON_OUTPUT!BJ7*ECON_ASSUMPT!E$6)+(ECON_OUTPUT!BK7*ECON_ASSUMPT!E$7)+(ECON_OUTPUT!BL7*ECON_ASSUMPT!E$8)+(ECON_OUTPUT!BM7*ECON_ASSUMPT!E$9)+(ECON_OUTPUT!BN7*ECON_ASSUMPT!E$10)</f>
        <v>1996457.4672467667</v>
      </c>
      <c r="V7" s="241">
        <f>ECON_OUTPUT!Q7-U7</f>
        <v>-674777.46724676667</v>
      </c>
      <c r="W7" s="241">
        <f t="shared" si="3"/>
        <v>674777.46724676667</v>
      </c>
      <c r="Y7" s="241"/>
      <c r="Z7" s="265">
        <v>2353601.9265393</v>
      </c>
      <c r="AA7" s="241">
        <f t="shared" si="5"/>
        <v>-53995.618140460923</v>
      </c>
      <c r="AB7" s="241">
        <f t="shared" si="6"/>
        <v>53995.618140460923</v>
      </c>
    </row>
    <row r="8" spans="2:28" ht="15.95" customHeight="1" x14ac:dyDescent="0.25">
      <c r="B8" s="254"/>
      <c r="C8" s="254"/>
      <c r="D8" s="254"/>
      <c r="E8" s="249"/>
      <c r="F8" s="249"/>
      <c r="J8" s="241">
        <f>ECON_OUTPUT!G8</f>
        <v>1850000</v>
      </c>
      <c r="K8" s="241">
        <f>ECON_OUTPUT!Q8</f>
        <v>2959000</v>
      </c>
      <c r="L8" s="241">
        <f t="shared" si="0"/>
        <v>1109000</v>
      </c>
      <c r="M8" s="241">
        <f t="shared" si="1"/>
        <v>1109000</v>
      </c>
      <c r="O8" s="244">
        <f>IF(ECON_OUTPUT!BG8=5,ECON_OUTPUT!G8*(ECON_ASSUMPT!G$13),0)</f>
        <v>0</v>
      </c>
      <c r="P8" s="244">
        <f>IF(ECON_OUTPUT!BE8="Other",ECON_OUTPUT!G8*ECON_ASSUMPT!G$14,0)</f>
        <v>0</v>
      </c>
      <c r="Q8" s="241">
        <f>ECON_OUTPUT!G8+O8+P8</f>
        <v>1850000</v>
      </c>
      <c r="R8" s="241">
        <f t="shared" si="4"/>
        <v>1109000</v>
      </c>
      <c r="S8" s="241">
        <f t="shared" si="2"/>
        <v>1109000</v>
      </c>
      <c r="U8" s="241">
        <f>ECON_ASSUMPT!E$4+(ECON_OUTPUT!G8*ECON_ASSUMPT!E$5)+(ECON_OUTPUT!BJ8*ECON_ASSUMPT!E$6)+(ECON_OUTPUT!BK8*ECON_ASSUMPT!E$7)+(ECON_OUTPUT!BL8*ECON_ASSUMPT!E$8)+(ECON_OUTPUT!BM8*ECON_ASSUMPT!E$9)+(ECON_OUTPUT!BN8*ECON_ASSUMPT!E$10)</f>
        <v>1928222.453489359</v>
      </c>
      <c r="V8" s="241">
        <f>ECON_OUTPUT!Q8-U8</f>
        <v>1030777.546510641</v>
      </c>
      <c r="W8" s="241">
        <f t="shared" si="3"/>
        <v>1030777.546510641</v>
      </c>
      <c r="Y8" s="241"/>
      <c r="Z8" s="265">
        <v>3811032.5051424</v>
      </c>
      <c r="AA8" s="241">
        <f t="shared" si="5"/>
        <v>1109000</v>
      </c>
      <c r="AB8" s="241">
        <f t="shared" si="6"/>
        <v>1109000</v>
      </c>
    </row>
    <row r="9" spans="2:28" x14ac:dyDescent="0.25">
      <c r="B9" s="254"/>
      <c r="C9" s="254"/>
      <c r="D9" s="254"/>
      <c r="J9" s="241">
        <f>ECON_OUTPUT!G9</f>
        <v>3760000</v>
      </c>
      <c r="K9" s="241">
        <f>ECON_OUTPUT!Q9</f>
        <v>3023651</v>
      </c>
      <c r="L9" s="241">
        <f t="shared" si="0"/>
        <v>-736349</v>
      </c>
      <c r="M9" s="241">
        <f t="shared" si="1"/>
        <v>736349</v>
      </c>
      <c r="O9" s="244">
        <f>IF(ECON_OUTPUT!BG9=5,ECON_OUTPUT!G9*(ECON_ASSUMPT!G$13),0)</f>
        <v>0</v>
      </c>
      <c r="P9" s="244">
        <f>IF(ECON_OUTPUT!BE9="Other",ECON_OUTPUT!G9*ECON_ASSUMPT!G$14,0)</f>
        <v>0</v>
      </c>
      <c r="Q9" s="241">
        <f>ECON_OUTPUT!G9+O9+P9</f>
        <v>3760000</v>
      </c>
      <c r="R9" s="241">
        <f t="shared" si="4"/>
        <v>-736349</v>
      </c>
      <c r="S9" s="241">
        <f t="shared" si="2"/>
        <v>736349</v>
      </c>
      <c r="U9" s="241">
        <f>ECON_ASSUMPT!E$4+(ECON_OUTPUT!G9*ECON_ASSUMPT!E$5)+(ECON_OUTPUT!BJ9*ECON_ASSUMPT!E$6)+(ECON_OUTPUT!BK9*ECON_ASSUMPT!E$7)+(ECON_OUTPUT!BL9*ECON_ASSUMPT!E$8)+(ECON_OUTPUT!BM9*ECON_ASSUMPT!E$9)+(ECON_OUTPUT!BN9*ECON_ASSUMPT!E$10)</f>
        <v>3590035.2402023217</v>
      </c>
      <c r="V9" s="241">
        <f>ECON_OUTPUT!Q9-U9</f>
        <v>-566384.24020232167</v>
      </c>
      <c r="W9" s="241">
        <f t="shared" si="3"/>
        <v>566384.24020232167</v>
      </c>
      <c r="Y9" s="241"/>
      <c r="Z9" s="265">
        <v>4887018.9344939403</v>
      </c>
      <c r="AA9" s="241">
        <f t="shared" si="5"/>
        <v>-736349</v>
      </c>
      <c r="AB9" s="241">
        <f t="shared" si="6"/>
        <v>736349</v>
      </c>
    </row>
    <row r="10" spans="2:28" ht="15.95" customHeight="1" x14ac:dyDescent="0.25">
      <c r="B10" s="267" t="s">
        <v>1862</v>
      </c>
      <c r="C10" s="267"/>
      <c r="D10" s="267"/>
      <c r="J10" s="241">
        <f>ECON_OUTPUT!G10</f>
        <v>1770000</v>
      </c>
      <c r="K10" s="241">
        <f>ECON_OUTPUT!Q10</f>
        <v>1534115</v>
      </c>
      <c r="L10" s="241">
        <f t="shared" si="0"/>
        <v>-235885</v>
      </c>
      <c r="M10" s="241">
        <f t="shared" si="1"/>
        <v>235885</v>
      </c>
      <c r="O10" s="244">
        <f>IF(ECON_OUTPUT!BG10=5,ECON_OUTPUT!G10*(ECON_ASSUMPT!G$13),0)</f>
        <v>0</v>
      </c>
      <c r="P10" s="244">
        <f>IF(ECON_OUTPUT!BE10="Other",ECON_OUTPUT!G10*ECON_ASSUMPT!G$14,0)</f>
        <v>0</v>
      </c>
      <c r="Q10" s="241">
        <f>ECON_OUTPUT!G10+O10+P10</f>
        <v>1770000</v>
      </c>
      <c r="R10" s="241">
        <f t="shared" si="4"/>
        <v>-235885</v>
      </c>
      <c r="S10" s="241">
        <f t="shared" si="2"/>
        <v>235885</v>
      </c>
      <c r="U10" s="241">
        <f>ECON_ASSUMPT!E$4+(ECON_OUTPUT!G10*ECON_ASSUMPT!E$5)+(ECON_OUTPUT!BJ10*ECON_ASSUMPT!E$6)+(ECON_OUTPUT!BK10*ECON_ASSUMPT!E$7)+(ECON_OUTPUT!BL10*ECON_ASSUMPT!E$8)+(ECON_OUTPUT!BM10*ECON_ASSUMPT!E$9)+(ECON_OUTPUT!BN10*ECON_ASSUMPT!E$10)</f>
        <v>1117034.1781027503</v>
      </c>
      <c r="V10" s="241">
        <f>ECON_OUTPUT!Q10-U10</f>
        <v>417080.82189724967</v>
      </c>
      <c r="W10" s="241">
        <f t="shared" si="3"/>
        <v>417080.82189724967</v>
      </c>
      <c r="Y10" s="241"/>
      <c r="Z10" s="265">
        <v>2610031.2437437298</v>
      </c>
      <c r="AA10" s="241">
        <f t="shared" si="5"/>
        <v>-235885</v>
      </c>
      <c r="AB10" s="241">
        <f t="shared" si="6"/>
        <v>235885</v>
      </c>
    </row>
    <row r="11" spans="2:28" x14ac:dyDescent="0.25">
      <c r="B11" s="267"/>
      <c r="C11" s="267"/>
      <c r="D11" s="267"/>
      <c r="J11" s="241">
        <f>ECON_OUTPUT!G11</f>
        <v>2320000</v>
      </c>
      <c r="K11" s="241">
        <f>ECON_OUTPUT!Q11</f>
        <v>1631620</v>
      </c>
      <c r="L11" s="241">
        <f t="shared" si="0"/>
        <v>-688380</v>
      </c>
      <c r="M11" s="241">
        <f t="shared" si="1"/>
        <v>688380</v>
      </c>
      <c r="O11" s="244">
        <f>IF(ECON_OUTPUT!BG11=5,ECON_OUTPUT!G11*(ECON_ASSUMPT!G$13),0)</f>
        <v>0</v>
      </c>
      <c r="P11" s="244">
        <f>IF(ECON_OUTPUT!BE11="Other",ECON_OUTPUT!G11*ECON_ASSUMPT!G$14,0)</f>
        <v>0</v>
      </c>
      <c r="Q11" s="241">
        <f>ECON_OUTPUT!G11+O11+P11</f>
        <v>2320000</v>
      </c>
      <c r="R11" s="241">
        <f t="shared" si="4"/>
        <v>-688380</v>
      </c>
      <c r="S11" s="241">
        <f t="shared" si="2"/>
        <v>688380</v>
      </c>
      <c r="U11" s="241">
        <f>ECON_ASSUMPT!E$4+(ECON_OUTPUT!G11*ECON_ASSUMPT!E$5)+(ECON_OUTPUT!BJ11*ECON_ASSUMPT!E$6)+(ECON_OUTPUT!BK11*ECON_ASSUMPT!E$7)+(ECON_OUTPUT!BL11*ECON_ASSUMPT!E$8)+(ECON_OUTPUT!BM11*ECON_ASSUMPT!E$9)+(ECON_OUTPUT!BN11*ECON_ASSUMPT!E$10)</f>
        <v>1595566.6559520327</v>
      </c>
      <c r="V11" s="241">
        <f>ECON_OUTPUT!Q11-U11</f>
        <v>36053.344047967345</v>
      </c>
      <c r="W11" s="241">
        <f t="shared" si="3"/>
        <v>36053.344047967345</v>
      </c>
      <c r="Y11" s="241"/>
      <c r="Z11" s="265">
        <v>2209579.9892559201</v>
      </c>
      <c r="AA11" s="241">
        <f t="shared" si="5"/>
        <v>-688380</v>
      </c>
      <c r="AB11" s="241">
        <f t="shared" si="6"/>
        <v>688380</v>
      </c>
    </row>
    <row r="12" spans="2:28" ht="18.95" customHeight="1" x14ac:dyDescent="0.25">
      <c r="B12" s="268" t="s">
        <v>1864</v>
      </c>
      <c r="C12" s="268"/>
      <c r="D12" s="268"/>
      <c r="E12" s="250"/>
      <c r="J12" s="241">
        <f>ECON_OUTPUT!G12</f>
        <v>521000</v>
      </c>
      <c r="K12" s="241">
        <f>ECON_OUTPUT!Q12</f>
        <v>1840000</v>
      </c>
      <c r="L12" s="241">
        <f t="shared" si="0"/>
        <v>1319000</v>
      </c>
      <c r="M12" s="241">
        <f t="shared" si="1"/>
        <v>1319000</v>
      </c>
      <c r="O12" s="244">
        <f>IF(ECON_OUTPUT!BG12=5,ECON_OUTPUT!G12*(ECON_ASSUMPT!G$13),0)</f>
        <v>0</v>
      </c>
      <c r="P12" s="244">
        <f>IF(ECON_OUTPUT!BE12="Other",ECON_OUTPUT!G12*ECON_ASSUMPT!G$14,0)</f>
        <v>30328.459270138566</v>
      </c>
      <c r="Q12" s="241">
        <f>ECON_OUTPUT!G12+O12+P12</f>
        <v>551328.45927013853</v>
      </c>
      <c r="R12" s="241">
        <f t="shared" si="4"/>
        <v>1288671.5407298615</v>
      </c>
      <c r="S12" s="241">
        <f t="shared" si="2"/>
        <v>1288671.5407298615</v>
      </c>
      <c r="U12" s="241">
        <f>ECON_ASSUMPT!E$4+(ECON_OUTPUT!G12*ECON_ASSUMPT!E$5)+(ECON_OUTPUT!BJ12*ECON_ASSUMPT!E$6)+(ECON_OUTPUT!BK12*ECON_ASSUMPT!E$7)+(ECON_OUTPUT!BL12*ECON_ASSUMPT!E$8)+(ECON_OUTPUT!BM12*ECON_ASSUMPT!E$9)+(ECON_OUTPUT!BN12*ECON_ASSUMPT!E$10)</f>
        <v>1950048.1776993417</v>
      </c>
      <c r="V12" s="241">
        <f>ECON_OUTPUT!Q12-U12</f>
        <v>-110048.17769934167</v>
      </c>
      <c r="W12" s="241">
        <f t="shared" si="3"/>
        <v>110048.17769934167</v>
      </c>
      <c r="Y12" s="241"/>
      <c r="Z12" s="265">
        <v>2397275.3124288502</v>
      </c>
      <c r="AA12" s="241">
        <f t="shared" si="5"/>
        <v>1288671.5407298615</v>
      </c>
      <c r="AB12" s="241">
        <f t="shared" si="6"/>
        <v>1288671.5407298615</v>
      </c>
    </row>
    <row r="13" spans="2:28" ht="15.95" customHeight="1" x14ac:dyDescent="0.25">
      <c r="B13" s="268"/>
      <c r="C13" s="268"/>
      <c r="D13" s="268"/>
      <c r="E13" s="250"/>
      <c r="J13" s="241">
        <f>ECON_OUTPUT!G13</f>
        <v>735000</v>
      </c>
      <c r="K13" s="241">
        <f>ECON_OUTPUT!Q13</f>
        <v>537725.67000000004</v>
      </c>
      <c r="L13" s="241">
        <f t="shared" si="0"/>
        <v>-197274.32999999996</v>
      </c>
      <c r="M13" s="241">
        <f t="shared" si="1"/>
        <v>197274.32999999996</v>
      </c>
      <c r="O13" s="244">
        <f>IF(ECON_OUTPUT!BG13=5,ECON_OUTPUT!G13*(ECON_ASSUMPT!G$13),0)</f>
        <v>0</v>
      </c>
      <c r="P13" s="244">
        <f>IF(ECON_OUTPUT!BE13="Other",ECON_OUTPUT!G13*ECON_ASSUMPT!G$14,0)</f>
        <v>0</v>
      </c>
      <c r="Q13" s="241">
        <f>ECON_OUTPUT!G13+O13+P13</f>
        <v>735000</v>
      </c>
      <c r="R13" s="241">
        <f t="shared" si="4"/>
        <v>-197274.32999999996</v>
      </c>
      <c r="S13" s="241">
        <f t="shared" si="2"/>
        <v>197274.32999999996</v>
      </c>
      <c r="U13" s="241">
        <f>ECON_ASSUMPT!E$4+(ECON_OUTPUT!G13*ECON_ASSUMPT!E$5)+(ECON_OUTPUT!BJ13*ECON_ASSUMPT!E$6)+(ECON_OUTPUT!BK13*ECON_ASSUMPT!E$7)+(ECON_OUTPUT!BL13*ECON_ASSUMPT!E$8)+(ECON_OUTPUT!BM13*ECON_ASSUMPT!E$9)+(ECON_OUTPUT!BN13*ECON_ASSUMPT!E$10)</f>
        <v>-414843.6502018217</v>
      </c>
      <c r="V13" s="241">
        <f>ECON_OUTPUT!Q13-U13</f>
        <v>952569.32020182174</v>
      </c>
      <c r="W13" s="241">
        <f t="shared" si="3"/>
        <v>952569.32020182174</v>
      </c>
      <c r="Y13" s="241"/>
      <c r="Z13" s="265">
        <v>562156.34376737103</v>
      </c>
      <c r="AA13" s="241">
        <f t="shared" si="5"/>
        <v>-197274.32999999996</v>
      </c>
      <c r="AB13" s="241">
        <f t="shared" si="6"/>
        <v>197274.32999999996</v>
      </c>
    </row>
    <row r="14" spans="2:28" x14ac:dyDescent="0.25">
      <c r="J14" s="241">
        <f>ECON_OUTPUT!G14</f>
        <v>830000</v>
      </c>
      <c r="K14" s="241">
        <f>ECON_OUTPUT!Q14</f>
        <v>1650000</v>
      </c>
      <c r="L14" s="241">
        <f t="shared" si="0"/>
        <v>820000</v>
      </c>
      <c r="M14" s="241">
        <f t="shared" si="1"/>
        <v>820000</v>
      </c>
      <c r="O14" s="244">
        <f>IF(ECON_OUTPUT!BG14=5,ECON_OUTPUT!G14*(ECON_ASSUMPT!G$13),0)</f>
        <v>0</v>
      </c>
      <c r="P14" s="244">
        <f>IF(ECON_OUTPUT!BE14="Other",ECON_OUTPUT!G14*ECON_ASSUMPT!G$14,0)</f>
        <v>48315.971581986581</v>
      </c>
      <c r="Q14" s="241">
        <f>ECON_OUTPUT!G14+O14+P14</f>
        <v>878315.97158198664</v>
      </c>
      <c r="R14" s="241">
        <f t="shared" si="4"/>
        <v>771684.02841801336</v>
      </c>
      <c r="S14" s="241">
        <f t="shared" si="2"/>
        <v>771684.02841801336</v>
      </c>
      <c r="U14" s="241">
        <f>ECON_ASSUMPT!E$4+(ECON_OUTPUT!G14*ECON_ASSUMPT!E$5)+(ECON_OUTPUT!BJ14*ECON_ASSUMPT!E$6)+(ECON_OUTPUT!BK14*ECON_ASSUMPT!E$7)+(ECON_OUTPUT!BL14*ECON_ASSUMPT!E$8)+(ECON_OUTPUT!BM14*ECON_ASSUMPT!E$9)+(ECON_OUTPUT!BN14*ECON_ASSUMPT!E$10)</f>
        <v>2218896.4243455748</v>
      </c>
      <c r="V14" s="241">
        <f>ECON_OUTPUT!Q14-U14</f>
        <v>-568896.42434557481</v>
      </c>
      <c r="W14" s="241">
        <f t="shared" si="3"/>
        <v>568896.42434557481</v>
      </c>
      <c r="Y14" s="241"/>
      <c r="Z14" s="265">
        <v>2888689.0132245901</v>
      </c>
      <c r="AA14" s="241">
        <f t="shared" si="5"/>
        <v>771684.02841801336</v>
      </c>
      <c r="AB14" s="241">
        <f t="shared" si="6"/>
        <v>771684.02841801336</v>
      </c>
    </row>
    <row r="15" spans="2:28" x14ac:dyDescent="0.25">
      <c r="J15" s="241">
        <f>ECON_OUTPUT!G15</f>
        <v>1263000</v>
      </c>
      <c r="K15" s="241">
        <f>ECON_OUTPUT!Q15</f>
        <v>930000</v>
      </c>
      <c r="L15" s="241">
        <f t="shared" si="0"/>
        <v>-333000</v>
      </c>
      <c r="M15" s="241">
        <f t="shared" si="1"/>
        <v>333000</v>
      </c>
      <c r="O15" s="244">
        <f>IF(ECON_OUTPUT!BG15=5,ECON_OUTPUT!G15*(ECON_ASSUMPT!G$13),0)</f>
        <v>0</v>
      </c>
      <c r="P15" s="244">
        <f>IF(ECON_OUTPUT!BE15="Other",ECON_OUTPUT!G15*ECON_ASSUMPT!G$14,0)</f>
        <v>0</v>
      </c>
      <c r="Q15" s="241">
        <f>ECON_OUTPUT!G15+O15+P15</f>
        <v>1263000</v>
      </c>
      <c r="R15" s="241">
        <f t="shared" si="4"/>
        <v>-333000</v>
      </c>
      <c r="S15" s="241">
        <f t="shared" si="2"/>
        <v>333000</v>
      </c>
      <c r="U15" s="241">
        <f>ECON_ASSUMPT!E$4+(ECON_OUTPUT!G15*ECON_ASSUMPT!E$5)+(ECON_OUTPUT!BJ15*ECON_ASSUMPT!E$6)+(ECON_OUTPUT!BK15*ECON_ASSUMPT!E$7)+(ECON_OUTPUT!BL15*ECON_ASSUMPT!E$8)+(ECON_OUTPUT!BM15*ECON_ASSUMPT!E$9)+(ECON_OUTPUT!BN15*ECON_ASSUMPT!E$10)</f>
        <v>44547.528533489443</v>
      </c>
      <c r="V15" s="241">
        <f>ECON_OUTPUT!Q15-U15</f>
        <v>885452.47146651056</v>
      </c>
      <c r="W15" s="241">
        <f t="shared" si="3"/>
        <v>885452.47146651056</v>
      </c>
      <c r="Y15" s="241"/>
      <c r="Z15" s="265">
        <v>1480059.9383928101</v>
      </c>
      <c r="AA15" s="241">
        <f t="shared" si="5"/>
        <v>-333000</v>
      </c>
      <c r="AB15" s="241">
        <f t="shared" si="6"/>
        <v>333000</v>
      </c>
    </row>
    <row r="16" spans="2:28" x14ac:dyDescent="0.25">
      <c r="J16" s="241">
        <f>ECON_OUTPUT!G16</f>
        <v>3340000</v>
      </c>
      <c r="K16" s="241">
        <f>ECON_OUTPUT!Q16</f>
        <v>5887300</v>
      </c>
      <c r="L16" s="241">
        <f t="shared" si="0"/>
        <v>2547300</v>
      </c>
      <c r="M16" s="241">
        <f t="shared" si="1"/>
        <v>2547300</v>
      </c>
      <c r="O16" s="244">
        <f>IF(ECON_OUTPUT!BG16=5,ECON_OUTPUT!G16*(ECON_ASSUMPT!G$13),0)</f>
        <v>0</v>
      </c>
      <c r="P16" s="244">
        <f>IF(ECON_OUTPUT!BE16="Other",ECON_OUTPUT!G16*ECON_ASSUMPT!G$14,0)</f>
        <v>0</v>
      </c>
      <c r="Q16" s="241">
        <f>ECON_OUTPUT!G16+O16+P16</f>
        <v>3340000</v>
      </c>
      <c r="R16" s="241">
        <f t="shared" si="4"/>
        <v>2547300</v>
      </c>
      <c r="S16" s="241">
        <f t="shared" si="2"/>
        <v>2547300</v>
      </c>
      <c r="U16" s="241">
        <f>ECON_ASSUMPT!E$4+(ECON_OUTPUT!G16*ECON_ASSUMPT!E$5)+(ECON_OUTPUT!BJ16*ECON_ASSUMPT!E$6)+(ECON_OUTPUT!BK16*ECON_ASSUMPT!E$7)+(ECON_OUTPUT!BL16*ECON_ASSUMPT!E$8)+(ECON_OUTPUT!BM16*ECON_ASSUMPT!E$9)+(ECON_OUTPUT!BN16*ECON_ASSUMPT!E$10)</f>
        <v>3317176.7384351469</v>
      </c>
      <c r="V16" s="241">
        <f>ECON_OUTPUT!Q16-U16</f>
        <v>2570123.2615648531</v>
      </c>
      <c r="W16" s="241">
        <f t="shared" si="3"/>
        <v>2570123.2615648531</v>
      </c>
      <c r="Y16" s="241"/>
      <c r="Z16" s="265">
        <v>4214731.3464486301</v>
      </c>
      <c r="AA16" s="241">
        <f t="shared" si="5"/>
        <v>2547300</v>
      </c>
      <c r="AB16" s="241">
        <f t="shared" si="6"/>
        <v>2547300</v>
      </c>
    </row>
    <row r="17" spans="10:28" x14ac:dyDescent="0.25">
      <c r="J17" s="241">
        <f>ECON_OUTPUT!G17</f>
        <v>1550000</v>
      </c>
      <c r="K17" s="241">
        <f>ECON_OUTPUT!Q17</f>
        <v>3640000</v>
      </c>
      <c r="L17" s="241">
        <f t="shared" si="0"/>
        <v>2090000</v>
      </c>
      <c r="M17" s="241">
        <f t="shared" si="1"/>
        <v>2090000</v>
      </c>
      <c r="O17" s="244">
        <f>IF(ECON_OUTPUT!BG17=5,ECON_OUTPUT!G17*(ECON_ASSUMPT!G$13),0)</f>
        <v>0</v>
      </c>
      <c r="P17" s="244">
        <f>IF(ECON_OUTPUT!BE17="Other",ECON_OUTPUT!G17*ECON_ASSUMPT!G$14,0)</f>
        <v>90228.62162901109</v>
      </c>
      <c r="Q17" s="241">
        <f>ECON_OUTPUT!G17+O17+P17</f>
        <v>1640228.6216290111</v>
      </c>
      <c r="R17" s="241">
        <f t="shared" si="4"/>
        <v>1999771.3783709889</v>
      </c>
      <c r="S17" s="241">
        <f t="shared" si="2"/>
        <v>1999771.3783709889</v>
      </c>
      <c r="U17" s="241">
        <f>ECON_ASSUMPT!E$4+(ECON_OUTPUT!G17*ECON_ASSUMPT!E$5)+(ECON_OUTPUT!BJ17*ECON_ASSUMPT!E$6)+(ECON_OUTPUT!BK17*ECON_ASSUMPT!E$7)+(ECON_OUTPUT!BL17*ECON_ASSUMPT!E$8)+(ECON_OUTPUT!BM17*ECON_ASSUMPT!E$9)+(ECON_OUTPUT!BN17*ECON_ASSUMPT!E$10)</f>
        <v>3586922.4921386214</v>
      </c>
      <c r="V17" s="241">
        <f>ECON_OUTPUT!Q17-U17</f>
        <v>53077.507861378603</v>
      </c>
      <c r="W17" s="241">
        <f t="shared" si="3"/>
        <v>53077.507861378603</v>
      </c>
      <c r="Y17" s="241"/>
      <c r="Z17" s="265">
        <v>5266864.3860382903</v>
      </c>
      <c r="AA17" s="241">
        <f t="shared" si="5"/>
        <v>1999771.3783709889</v>
      </c>
      <c r="AB17" s="241">
        <f t="shared" si="6"/>
        <v>1999771.3783709889</v>
      </c>
    </row>
    <row r="18" spans="10:28" x14ac:dyDescent="0.25">
      <c r="J18" s="241">
        <f>ECON_OUTPUT!G18</f>
        <v>6400000</v>
      </c>
      <c r="K18" s="241">
        <f>ECON_OUTPUT!Q18</f>
        <v>6527495</v>
      </c>
      <c r="L18" s="241">
        <f t="shared" si="0"/>
        <v>127495</v>
      </c>
      <c r="M18" s="241">
        <f t="shared" si="1"/>
        <v>127495</v>
      </c>
      <c r="O18" s="244">
        <f>IF(ECON_OUTPUT!BG18=5,ECON_OUTPUT!G18*(ECON_ASSUMPT!G$13),0)</f>
        <v>0</v>
      </c>
      <c r="P18" s="244">
        <f>IF(ECON_OUTPUT!BE18="Other",ECON_OUTPUT!G18*ECON_ASSUMPT!G$14,0)</f>
        <v>0</v>
      </c>
      <c r="Q18" s="241">
        <f>ECON_OUTPUT!G18+O18+P18</f>
        <v>6400000</v>
      </c>
      <c r="R18" s="241">
        <f t="shared" si="4"/>
        <v>127495</v>
      </c>
      <c r="S18" s="241">
        <f t="shared" si="2"/>
        <v>127495</v>
      </c>
      <c r="U18" s="241">
        <f>ECON_ASSUMPT!E$4+(ECON_OUTPUT!G18*ECON_ASSUMPT!E$5)+(ECON_OUTPUT!BJ18*ECON_ASSUMPT!E$6)+(ECON_OUTPUT!BK18*ECON_ASSUMPT!E$7)+(ECON_OUTPUT!BL18*ECON_ASSUMPT!E$8)+(ECON_OUTPUT!BM18*ECON_ASSUMPT!E$9)+(ECON_OUTPUT!BN18*ECON_ASSUMPT!E$10)</f>
        <v>5979557.4333784282</v>
      </c>
      <c r="V18" s="241">
        <f>ECON_OUTPUT!Q18-U18</f>
        <v>547937.56662157178</v>
      </c>
      <c r="W18" s="241">
        <f t="shared" si="3"/>
        <v>547937.56662157178</v>
      </c>
      <c r="Y18" s="241"/>
      <c r="Z18" s="265">
        <v>6902934.2858668901</v>
      </c>
      <c r="AA18" s="241">
        <f t="shared" si="5"/>
        <v>127495</v>
      </c>
      <c r="AB18" s="241">
        <f t="shared" si="6"/>
        <v>127495</v>
      </c>
    </row>
    <row r="19" spans="10:28" x14ac:dyDescent="0.25">
      <c r="J19" s="241">
        <f>ECON_OUTPUT!G19</f>
        <v>29100000</v>
      </c>
      <c r="K19" s="241">
        <f>ECON_OUTPUT!Q19</f>
        <v>31281100</v>
      </c>
      <c r="L19" s="241">
        <f t="shared" si="0"/>
        <v>2181100</v>
      </c>
      <c r="M19" s="241">
        <f t="shared" si="1"/>
        <v>2181100</v>
      </c>
      <c r="O19" s="244">
        <f>IF(ECON_OUTPUT!BG19=5,ECON_OUTPUT!G19*(ECON_ASSUMPT!G$13),0)</f>
        <v>903854.5676312499</v>
      </c>
      <c r="P19" s="244">
        <f>IF(ECON_OUTPUT!BE19="Other",ECON_OUTPUT!G19*ECON_ASSUMPT!G$14,0)</f>
        <v>0</v>
      </c>
      <c r="Q19" s="241">
        <f>ECON_OUTPUT!G19+O19+P19</f>
        <v>30003854.567631248</v>
      </c>
      <c r="R19" s="241">
        <f t="shared" si="4"/>
        <v>1277245.4323687516</v>
      </c>
      <c r="S19" s="241">
        <f t="shared" si="2"/>
        <v>1277245.4323687516</v>
      </c>
      <c r="U19" s="241">
        <f>ECON_ASSUMPT!E$4+(ECON_OUTPUT!G19*ECON_ASSUMPT!E$5)+(ECON_OUTPUT!BJ19*ECON_ASSUMPT!E$6)+(ECON_OUTPUT!BK19*ECON_ASSUMPT!E$7)+(ECON_OUTPUT!BL19*ECON_ASSUMPT!E$8)+(ECON_OUTPUT!BM19*ECON_ASSUMPT!E$9)+(ECON_OUTPUT!BN19*ECON_ASSUMPT!E$10)</f>
        <v>28112158.435769837</v>
      </c>
      <c r="V19" s="241">
        <f>ECON_OUTPUT!Q19-U19</f>
        <v>3168941.5642301627</v>
      </c>
      <c r="W19" s="241">
        <f t="shared" si="3"/>
        <v>3168941.5642301627</v>
      </c>
      <c r="Y19" s="241"/>
      <c r="Z19" s="265">
        <v>29874765.503283098</v>
      </c>
      <c r="AA19" s="241">
        <f t="shared" si="5"/>
        <v>1277245.4323687516</v>
      </c>
      <c r="AB19" s="241">
        <f t="shared" si="6"/>
        <v>1277245.4323687516</v>
      </c>
    </row>
    <row r="20" spans="10:28" x14ac:dyDescent="0.25">
      <c r="J20" s="241">
        <f>ECON_OUTPUT!G20</f>
        <v>1600000</v>
      </c>
      <c r="K20" s="241">
        <f>ECON_OUTPUT!Q20</f>
        <v>1346150</v>
      </c>
      <c r="L20" s="241">
        <f t="shared" si="0"/>
        <v>-253850</v>
      </c>
      <c r="M20" s="241">
        <f t="shared" si="1"/>
        <v>253850</v>
      </c>
      <c r="O20" s="244">
        <f>IF(ECON_OUTPUT!BG20=5,ECON_OUTPUT!G20*(ECON_ASSUMPT!G$13),0)</f>
        <v>0</v>
      </c>
      <c r="P20" s="244">
        <f>IF(ECON_OUTPUT!BE20="Other",ECON_OUTPUT!G20*ECON_ASSUMPT!G$14,0)</f>
        <v>0</v>
      </c>
      <c r="Q20" s="241">
        <f>ECON_OUTPUT!G20+O20+P20</f>
        <v>1600000</v>
      </c>
      <c r="R20" s="241">
        <f t="shared" si="4"/>
        <v>-253850</v>
      </c>
      <c r="S20" s="241">
        <f t="shared" si="2"/>
        <v>253850</v>
      </c>
      <c r="U20" s="241">
        <f>ECON_ASSUMPT!E$4+(ECON_OUTPUT!G20*ECON_ASSUMPT!E$5)+(ECON_OUTPUT!BJ20*ECON_ASSUMPT!E$6)+(ECON_OUTPUT!BK20*ECON_ASSUMPT!E$7)+(ECON_OUTPUT!BL20*ECON_ASSUMPT!E$8)+(ECON_OUTPUT!BM20*ECON_ASSUMPT!E$9)+(ECON_OUTPUT!BN20*ECON_ASSUMPT!E$10)</f>
        <v>337757.42859750427</v>
      </c>
      <c r="V20" s="241">
        <f>ECON_OUTPUT!Q20-U20</f>
        <v>1008392.5714024957</v>
      </c>
      <c r="W20" s="241">
        <f t="shared" si="3"/>
        <v>1008392.5714024957</v>
      </c>
      <c r="Y20" s="241"/>
      <c r="Z20" s="265">
        <v>1364918.7059865</v>
      </c>
      <c r="AA20" s="241">
        <f t="shared" si="5"/>
        <v>-253850</v>
      </c>
      <c r="AB20" s="241">
        <f t="shared" si="6"/>
        <v>253850</v>
      </c>
    </row>
    <row r="21" spans="10:28" x14ac:dyDescent="0.25">
      <c r="J21" s="241">
        <f>ECON_OUTPUT!G21</f>
        <v>6500000</v>
      </c>
      <c r="K21" s="241">
        <f>ECON_OUTPUT!Q21</f>
        <v>7497000</v>
      </c>
      <c r="L21" s="241">
        <f t="shared" si="0"/>
        <v>997000</v>
      </c>
      <c r="M21" s="241">
        <f t="shared" si="1"/>
        <v>997000</v>
      </c>
      <c r="O21" s="244">
        <f>IF(ECON_OUTPUT!BG21=5,ECON_OUTPUT!G21*(ECON_ASSUMPT!G$13),0)</f>
        <v>0</v>
      </c>
      <c r="P21" s="244">
        <f>IF(ECON_OUTPUT!BE21="Other",ECON_OUTPUT!G21*ECON_ASSUMPT!G$14,0)</f>
        <v>0</v>
      </c>
      <c r="Q21" s="241">
        <f>ECON_OUTPUT!G21+O21+P21</f>
        <v>6500000</v>
      </c>
      <c r="R21" s="241">
        <f t="shared" si="4"/>
        <v>997000</v>
      </c>
      <c r="S21" s="241">
        <f t="shared" si="2"/>
        <v>997000</v>
      </c>
      <c r="U21" s="241">
        <f>ECON_ASSUMPT!E$4+(ECON_OUTPUT!G21*ECON_ASSUMPT!E$5)+(ECON_OUTPUT!BJ21*ECON_ASSUMPT!E$6)+(ECON_OUTPUT!BK21*ECON_ASSUMPT!E$7)+(ECON_OUTPUT!BL21*ECON_ASSUMPT!E$8)+(ECON_OUTPUT!BM21*ECON_ASSUMPT!E$9)+(ECON_OUTPUT!BN21*ECON_ASSUMPT!E$10)</f>
        <v>6066563.3384419344</v>
      </c>
      <c r="V21" s="241">
        <f>ECON_OUTPUT!Q21-U21</f>
        <v>1430436.6615580656</v>
      </c>
      <c r="W21" s="241">
        <f t="shared" si="3"/>
        <v>1430436.6615580656</v>
      </c>
      <c r="Y21" s="241"/>
      <c r="Z21" s="265">
        <v>6672902.2915202696</v>
      </c>
      <c r="AA21" s="241">
        <f t="shared" si="5"/>
        <v>997000</v>
      </c>
      <c r="AB21" s="241">
        <f t="shared" si="6"/>
        <v>997000</v>
      </c>
    </row>
    <row r="22" spans="10:28" x14ac:dyDescent="0.25">
      <c r="J22" s="241">
        <f>ECON_OUTPUT!G22</f>
        <v>1800000</v>
      </c>
      <c r="K22" s="241">
        <f>ECON_OUTPUT!Q22</f>
        <v>2698000</v>
      </c>
      <c r="L22" s="241">
        <f t="shared" si="0"/>
        <v>898000</v>
      </c>
      <c r="M22" s="241">
        <f t="shared" si="1"/>
        <v>898000</v>
      </c>
      <c r="O22" s="244">
        <f>IF(ECON_OUTPUT!BG22=5,ECON_OUTPUT!G22*(ECON_ASSUMPT!G$13),0)</f>
        <v>0</v>
      </c>
      <c r="P22" s="244">
        <f>IF(ECON_OUTPUT!BE22="Other",ECON_OUTPUT!G22*ECON_ASSUMPT!G$14,0)</f>
        <v>0</v>
      </c>
      <c r="Q22" s="241">
        <f>ECON_OUTPUT!G22+O22+P22</f>
        <v>1800000</v>
      </c>
      <c r="R22" s="241">
        <f t="shared" si="4"/>
        <v>898000</v>
      </c>
      <c r="S22" s="241">
        <f t="shared" si="2"/>
        <v>898000</v>
      </c>
      <c r="U22" s="241">
        <f>ECON_ASSUMPT!E$4+(ECON_OUTPUT!G22*ECON_ASSUMPT!E$5)+(ECON_OUTPUT!BJ22*ECON_ASSUMPT!E$6)+(ECON_OUTPUT!BK22*ECON_ASSUMPT!E$7)+(ECON_OUTPUT!BL22*ECON_ASSUMPT!E$8)+(ECON_OUTPUT!BM22*ECON_ASSUMPT!E$9)+(ECON_OUTPUT!BN22*ECON_ASSUMPT!E$10)</f>
        <v>1884719.5009576059</v>
      </c>
      <c r="V22" s="241">
        <f>ECON_OUTPUT!Q22-U22</f>
        <v>813280.49904239411</v>
      </c>
      <c r="W22" s="241">
        <f t="shared" si="3"/>
        <v>813280.49904239411</v>
      </c>
      <c r="Y22" s="241"/>
      <c r="Z22" s="265">
        <v>2582957.4873731202</v>
      </c>
      <c r="AA22" s="241">
        <f t="shared" si="5"/>
        <v>898000</v>
      </c>
      <c r="AB22" s="241">
        <f t="shared" si="6"/>
        <v>898000</v>
      </c>
    </row>
    <row r="23" spans="10:28" x14ac:dyDescent="0.25">
      <c r="J23" s="241">
        <f>ECON_OUTPUT!G23</f>
        <v>1918000</v>
      </c>
      <c r="K23" s="241">
        <f>ECON_OUTPUT!Q23</f>
        <v>1737000</v>
      </c>
      <c r="L23" s="241">
        <f t="shared" si="0"/>
        <v>-181000</v>
      </c>
      <c r="M23" s="241">
        <f t="shared" si="1"/>
        <v>181000</v>
      </c>
      <c r="O23" s="244">
        <f>IF(ECON_OUTPUT!BG23=5,ECON_OUTPUT!G23*(ECON_ASSUMPT!G$13),0)</f>
        <v>0</v>
      </c>
      <c r="P23" s="244">
        <f>IF(ECON_OUTPUT!BE23="Other",ECON_OUTPUT!G23*ECON_ASSUMPT!G$14,0)</f>
        <v>0</v>
      </c>
      <c r="Q23" s="241">
        <f>ECON_OUTPUT!G23+O23+P23</f>
        <v>1918000</v>
      </c>
      <c r="R23" s="241">
        <f t="shared" si="4"/>
        <v>-181000</v>
      </c>
      <c r="S23" s="241">
        <f t="shared" si="2"/>
        <v>181000</v>
      </c>
      <c r="U23" s="241">
        <f>ECON_ASSUMPT!E$4+(ECON_OUTPUT!G23*ECON_ASSUMPT!E$5)+(ECON_OUTPUT!BJ23*ECON_ASSUMPT!E$6)+(ECON_OUTPUT!BK23*ECON_ASSUMPT!E$7)+(ECON_OUTPUT!BL23*ECON_ASSUMPT!E$8)+(ECON_OUTPUT!BM23*ECON_ASSUMPT!E$9)+(ECON_OUTPUT!BN23*ECON_ASSUMPT!E$10)</f>
        <v>1245802.917596739</v>
      </c>
      <c r="V23" s="241">
        <f>ECON_OUTPUT!Q23-U23</f>
        <v>491197.08240326098</v>
      </c>
      <c r="W23" s="241">
        <f t="shared" si="3"/>
        <v>491197.08240326098</v>
      </c>
      <c r="Y23" s="241"/>
      <c r="Z23" s="265">
        <v>1051206.70592253</v>
      </c>
      <c r="AA23" s="241">
        <f t="shared" si="5"/>
        <v>-181000</v>
      </c>
      <c r="AB23" s="241">
        <f t="shared" si="6"/>
        <v>181000</v>
      </c>
    </row>
    <row r="24" spans="10:28" x14ac:dyDescent="0.25">
      <c r="J24" s="241">
        <f>ECON_OUTPUT!G24</f>
        <v>354000</v>
      </c>
      <c r="K24" s="241">
        <f>ECON_OUTPUT!Q24</f>
        <v>607000</v>
      </c>
      <c r="L24" s="241">
        <f t="shared" si="0"/>
        <v>253000</v>
      </c>
      <c r="M24" s="241">
        <f t="shared" si="1"/>
        <v>253000</v>
      </c>
      <c r="O24" s="244">
        <f>IF(ECON_OUTPUT!BG24=5,ECON_OUTPUT!G24*(ECON_ASSUMPT!G$13),0)</f>
        <v>0</v>
      </c>
      <c r="P24" s="244">
        <f>IF(ECON_OUTPUT!BE24="Other",ECON_OUTPUT!G24*ECON_ASSUMPT!G$14,0)</f>
        <v>20607.052939787049</v>
      </c>
      <c r="Q24" s="241">
        <f>ECON_OUTPUT!G24+O24+P24</f>
        <v>374607.05293978704</v>
      </c>
      <c r="R24" s="241">
        <f t="shared" si="4"/>
        <v>232392.94706021296</v>
      </c>
      <c r="S24" s="241">
        <f t="shared" si="2"/>
        <v>232392.94706021296</v>
      </c>
      <c r="U24" s="241">
        <f>ECON_ASSUMPT!E$4+(ECON_OUTPUT!G24*ECON_ASSUMPT!E$5)+(ECON_OUTPUT!BJ24*ECON_ASSUMPT!E$6)+(ECON_OUTPUT!BK24*ECON_ASSUMPT!E$7)+(ECON_OUTPUT!BL24*ECON_ASSUMPT!E$8)+(ECON_OUTPUT!BM24*ECON_ASSUMPT!E$9)+(ECON_OUTPUT!BN24*ECON_ASSUMPT!E$10)</f>
        <v>1173381.605346001</v>
      </c>
      <c r="V24" s="241">
        <f>ECON_OUTPUT!Q24-U24</f>
        <v>-566381.60534600099</v>
      </c>
      <c r="W24" s="241">
        <f t="shared" si="3"/>
        <v>566381.60534600099</v>
      </c>
      <c r="Y24" s="241"/>
      <c r="Z24" s="265">
        <v>1285399.8658044599</v>
      </c>
      <c r="AA24" s="241">
        <f t="shared" si="5"/>
        <v>232392.94706021296</v>
      </c>
      <c r="AB24" s="241">
        <f t="shared" si="6"/>
        <v>232392.94706021296</v>
      </c>
    </row>
    <row r="25" spans="10:28" x14ac:dyDescent="0.25">
      <c r="J25" s="241">
        <f>ECON_OUTPUT!G25</f>
        <v>1650000</v>
      </c>
      <c r="K25" s="241">
        <f>ECON_OUTPUT!Q25</f>
        <v>2440000</v>
      </c>
      <c r="L25" s="241">
        <f t="shared" si="0"/>
        <v>790000</v>
      </c>
      <c r="M25" s="241">
        <f t="shared" si="1"/>
        <v>790000</v>
      </c>
      <c r="O25" s="244">
        <f>IF(ECON_OUTPUT!BG25=5,ECON_OUTPUT!G25*(ECON_ASSUMPT!G$13),0)</f>
        <v>0</v>
      </c>
      <c r="P25" s="244">
        <f>IF(ECON_OUTPUT!BE25="Other",ECON_OUTPUT!G25*ECON_ASSUMPT!G$14,0)</f>
        <v>0</v>
      </c>
      <c r="Q25" s="241">
        <f>ECON_OUTPUT!G25+O25+P25</f>
        <v>1650000</v>
      </c>
      <c r="R25" s="241">
        <f t="shared" si="4"/>
        <v>790000</v>
      </c>
      <c r="S25" s="241">
        <f t="shared" si="2"/>
        <v>790000</v>
      </c>
      <c r="U25" s="241">
        <f>ECON_ASSUMPT!E$4+(ECON_OUTPUT!G25*ECON_ASSUMPT!E$5)+(ECON_OUTPUT!BJ25*ECON_ASSUMPT!E$6)+(ECON_OUTPUT!BK25*ECON_ASSUMPT!E$7)+(ECON_OUTPUT!BL25*ECON_ASSUMPT!E$8)+(ECON_OUTPUT!BM25*ECON_ASSUMPT!E$9)+(ECON_OUTPUT!BN25*ECON_ASSUMPT!E$10)</f>
        <v>1012627.0920265431</v>
      </c>
      <c r="V25" s="241">
        <f>ECON_OUTPUT!Q25-U25</f>
        <v>1427372.9079734569</v>
      </c>
      <c r="W25" s="241">
        <f t="shared" si="3"/>
        <v>1427372.9079734569</v>
      </c>
      <c r="Y25" s="241"/>
      <c r="Z25" s="265">
        <v>1289563.0890163099</v>
      </c>
      <c r="AA25" s="241">
        <f t="shared" si="5"/>
        <v>790000</v>
      </c>
      <c r="AB25" s="241">
        <f t="shared" si="6"/>
        <v>790000</v>
      </c>
    </row>
    <row r="26" spans="10:28" x14ac:dyDescent="0.25">
      <c r="J26" s="241">
        <f>ECON_OUTPUT!G26</f>
        <v>325000</v>
      </c>
      <c r="K26" s="241">
        <f>ECON_OUTPUT!Q26</f>
        <v>415415</v>
      </c>
      <c r="L26" s="241">
        <f t="shared" si="0"/>
        <v>90415</v>
      </c>
      <c r="M26" s="241">
        <f t="shared" si="1"/>
        <v>90415</v>
      </c>
      <c r="O26" s="244">
        <f>IF(ECON_OUTPUT!BG26=5,ECON_OUTPUT!G26*(ECON_ASSUMPT!G$13),0)</f>
        <v>0</v>
      </c>
      <c r="P26" s="244">
        <f>IF(ECON_OUTPUT!BE26="Other",ECON_OUTPUT!G26*ECON_ASSUMPT!G$14,0)</f>
        <v>18918.904535115227</v>
      </c>
      <c r="Q26" s="241">
        <f>ECON_OUTPUT!G26+O26+P26</f>
        <v>343918.90453511523</v>
      </c>
      <c r="R26" s="241">
        <f t="shared" si="4"/>
        <v>71496.095464884769</v>
      </c>
      <c r="S26" s="241">
        <f t="shared" si="2"/>
        <v>71496.095464884769</v>
      </c>
      <c r="U26" s="241">
        <f>ECON_ASSUMPT!E$4+(ECON_OUTPUT!G26*ECON_ASSUMPT!E$5)+(ECON_OUTPUT!BJ26*ECON_ASSUMPT!E$6)+(ECON_OUTPUT!BK26*ECON_ASSUMPT!E$7)+(ECON_OUTPUT!BL26*ECON_ASSUMPT!E$8)+(ECON_OUTPUT!BM26*ECON_ASSUMPT!E$9)+(ECON_OUTPUT!BN26*ECON_ASSUMPT!E$10)</f>
        <v>1148149.8928775843</v>
      </c>
      <c r="V26" s="241">
        <f>ECON_OUTPUT!Q26-U26</f>
        <v>-732734.89287758432</v>
      </c>
      <c r="W26" s="241">
        <f t="shared" si="3"/>
        <v>732734.89287758432</v>
      </c>
      <c r="Y26" s="241"/>
      <c r="Z26" s="265">
        <v>1260642.4925200001</v>
      </c>
      <c r="AA26" s="241">
        <f t="shared" si="5"/>
        <v>71496.095464884769</v>
      </c>
      <c r="AB26" s="241">
        <f t="shared" si="6"/>
        <v>71496.095464884769</v>
      </c>
    </row>
    <row r="27" spans="10:28" x14ac:dyDescent="0.25">
      <c r="J27" s="241">
        <f>ECON_OUTPUT!G27</f>
        <v>7900000</v>
      </c>
      <c r="K27" s="241">
        <f>ECON_OUTPUT!Q27</f>
        <v>8850000</v>
      </c>
      <c r="L27" s="241">
        <f t="shared" si="0"/>
        <v>950000</v>
      </c>
      <c r="M27" s="241">
        <f t="shared" si="1"/>
        <v>950000</v>
      </c>
      <c r="O27" s="244">
        <f>IF(ECON_OUTPUT!BG27=5,ECON_OUTPUT!G27*(ECON_ASSUMPT!G$13),0)</f>
        <v>0</v>
      </c>
      <c r="P27" s="244">
        <f>IF(ECON_OUTPUT!BE27="Other",ECON_OUTPUT!G27*ECON_ASSUMPT!G$14,0)</f>
        <v>0</v>
      </c>
      <c r="Q27" s="241">
        <f>ECON_OUTPUT!G27+O27+P27</f>
        <v>7900000</v>
      </c>
      <c r="R27" s="241">
        <f t="shared" si="4"/>
        <v>950000</v>
      </c>
      <c r="S27" s="241">
        <f t="shared" si="2"/>
        <v>950000</v>
      </c>
      <c r="U27" s="241">
        <f>ECON_ASSUMPT!E$4+(ECON_OUTPUT!G27*ECON_ASSUMPT!E$5)+(ECON_OUTPUT!BJ27*ECON_ASSUMPT!E$6)+(ECON_OUTPUT!BK27*ECON_ASSUMPT!E$7)+(ECON_OUTPUT!BL27*ECON_ASSUMPT!E$8)+(ECON_OUTPUT!BM27*ECON_ASSUMPT!E$9)+(ECON_OUTPUT!BN27*ECON_ASSUMPT!E$10)</f>
        <v>7284646.0093310159</v>
      </c>
      <c r="V27" s="241">
        <f>ECON_OUTPUT!Q27-U27</f>
        <v>1565353.9906689841</v>
      </c>
      <c r="W27" s="241">
        <f t="shared" si="3"/>
        <v>1565353.9906689841</v>
      </c>
      <c r="Y27" s="241"/>
      <c r="Z27" s="265">
        <v>7835451.8693254003</v>
      </c>
      <c r="AA27" s="241">
        <f t="shared" si="5"/>
        <v>950000</v>
      </c>
      <c r="AB27" s="241">
        <f t="shared" si="6"/>
        <v>950000</v>
      </c>
    </row>
    <row r="28" spans="10:28" x14ac:dyDescent="0.25">
      <c r="J28" s="241">
        <f>ECON_OUTPUT!G28</f>
        <v>7000000</v>
      </c>
      <c r="K28" s="241">
        <f>ECON_OUTPUT!Q28</f>
        <v>6789000</v>
      </c>
      <c r="L28" s="241">
        <f t="shared" si="0"/>
        <v>-211000</v>
      </c>
      <c r="M28" s="241">
        <f t="shared" si="1"/>
        <v>211000</v>
      </c>
      <c r="O28" s="244">
        <f>IF(ECON_OUTPUT!BG28=5,ECON_OUTPUT!G28*(ECON_ASSUMPT!G$13),0)</f>
        <v>0</v>
      </c>
      <c r="P28" s="244">
        <f>IF(ECON_OUTPUT!BE28="Other",ECON_OUTPUT!G28*ECON_ASSUMPT!G$14,0)</f>
        <v>0</v>
      </c>
      <c r="Q28" s="241">
        <f>ECON_OUTPUT!G28+O28+P28</f>
        <v>7000000</v>
      </c>
      <c r="R28" s="241">
        <f t="shared" si="4"/>
        <v>-211000</v>
      </c>
      <c r="S28" s="241">
        <f t="shared" si="2"/>
        <v>211000</v>
      </c>
      <c r="U28" s="241">
        <f>ECON_ASSUMPT!E$4+(ECON_OUTPUT!G28*ECON_ASSUMPT!E$5)+(ECON_OUTPUT!BJ28*ECON_ASSUMPT!E$6)+(ECON_OUTPUT!BK28*ECON_ASSUMPT!E$7)+(ECON_OUTPUT!BL28*ECON_ASSUMPT!E$8)+(ECON_OUTPUT!BM28*ECON_ASSUMPT!E$9)+(ECON_OUTPUT!BN28*ECON_ASSUMPT!E$10)</f>
        <v>6501592.8637594637</v>
      </c>
      <c r="V28" s="241">
        <f>ECON_OUTPUT!Q28-U28</f>
        <v>287407.13624053635</v>
      </c>
      <c r="W28" s="241">
        <f t="shared" si="3"/>
        <v>287407.13624053635</v>
      </c>
      <c r="Y28" s="241"/>
      <c r="Z28" s="265">
        <v>6197131.9506153502</v>
      </c>
      <c r="AA28" s="241">
        <f t="shared" si="5"/>
        <v>-211000</v>
      </c>
      <c r="AB28" s="241">
        <f t="shared" si="6"/>
        <v>211000</v>
      </c>
    </row>
    <row r="29" spans="10:28" x14ac:dyDescent="0.25">
      <c r="J29" s="241">
        <f>ECON_OUTPUT!G29</f>
        <v>7400000</v>
      </c>
      <c r="K29" s="241">
        <f>ECON_OUTPUT!Q29</f>
        <v>5169777</v>
      </c>
      <c r="L29" s="241">
        <f t="shared" si="0"/>
        <v>-2230223</v>
      </c>
      <c r="M29" s="241">
        <f t="shared" si="1"/>
        <v>2230223</v>
      </c>
      <c r="O29" s="244">
        <f>IF(ECON_OUTPUT!BG29=5,ECON_OUTPUT!G29*(ECON_ASSUMPT!G$13),0)</f>
        <v>0</v>
      </c>
      <c r="P29" s="244">
        <f>IF(ECON_OUTPUT!BE29="Other",ECON_OUTPUT!G29*ECON_ASSUMPT!G$14,0)</f>
        <v>430768.90326108522</v>
      </c>
      <c r="Q29" s="241">
        <f>ECON_OUTPUT!G29+O29+P29</f>
        <v>7830768.903261085</v>
      </c>
      <c r="R29" s="241">
        <f t="shared" si="4"/>
        <v>-2660991.903261085</v>
      </c>
      <c r="S29" s="241">
        <f t="shared" si="2"/>
        <v>2660991.903261085</v>
      </c>
      <c r="U29" s="241">
        <f>ECON_ASSUMPT!E$4+(ECON_OUTPUT!G29*ECON_ASSUMPT!E$5)+(ECON_OUTPUT!BJ29*ECON_ASSUMPT!E$6)+(ECON_OUTPUT!BK29*ECON_ASSUMPT!E$7)+(ECON_OUTPUT!BL29*ECON_ASSUMPT!E$8)+(ECON_OUTPUT!BM29*ECON_ASSUMPT!E$9)+(ECON_OUTPUT!BN29*ECON_ASSUMPT!E$10)</f>
        <v>8769334.2378532663</v>
      </c>
      <c r="V29" s="241">
        <f>ECON_OUTPUT!Q29-U29</f>
        <v>-3599557.2378532663</v>
      </c>
      <c r="W29" s="241">
        <f t="shared" si="3"/>
        <v>3599557.2378532663</v>
      </c>
      <c r="Y29" s="241"/>
      <c r="Z29" s="265">
        <v>7663447.14715927</v>
      </c>
      <c r="AA29" s="241">
        <f t="shared" si="5"/>
        <v>-2660991.903261085</v>
      </c>
      <c r="AB29" s="241">
        <f t="shared" si="6"/>
        <v>2660991.903261085</v>
      </c>
    </row>
    <row r="30" spans="10:28" x14ac:dyDescent="0.25">
      <c r="J30" s="241">
        <f>ECON_OUTPUT!G30</f>
        <v>3650000</v>
      </c>
      <c r="K30" s="241">
        <f>ECON_OUTPUT!Q30</f>
        <v>3654000</v>
      </c>
      <c r="L30" s="241">
        <f t="shared" si="0"/>
        <v>4000</v>
      </c>
      <c r="M30" s="241">
        <f t="shared" si="1"/>
        <v>4000</v>
      </c>
      <c r="O30" s="244">
        <f>IF(ECON_OUTPUT!BG30=5,ECON_OUTPUT!G30*(ECON_ASSUMPT!G$13),0)</f>
        <v>0</v>
      </c>
      <c r="P30" s="244">
        <f>IF(ECON_OUTPUT!BE30="Other",ECON_OUTPUT!G30*ECON_ASSUMPT!G$14,0)</f>
        <v>0</v>
      </c>
      <c r="Q30" s="241">
        <f>ECON_OUTPUT!G30+O30+P30</f>
        <v>3650000</v>
      </c>
      <c r="R30" s="241">
        <f t="shared" si="4"/>
        <v>4000</v>
      </c>
      <c r="S30" s="241">
        <f t="shared" si="2"/>
        <v>4000</v>
      </c>
      <c r="U30" s="241">
        <f>ECON_ASSUMPT!E$4+(ECON_OUTPUT!G30*ECON_ASSUMPT!E$5)+(ECON_OUTPUT!BJ30*ECON_ASSUMPT!E$6)+(ECON_OUTPUT!BK30*ECON_ASSUMPT!E$7)+(ECON_OUTPUT!BL30*ECON_ASSUMPT!E$8)+(ECON_OUTPUT!BM30*ECON_ASSUMPT!E$9)+(ECON_OUTPUT!BN30*ECON_ASSUMPT!E$10)</f>
        <v>3494328.7446324648</v>
      </c>
      <c r="V30" s="241">
        <f>ECON_OUTPUT!Q30-U30</f>
        <v>159671.25536753517</v>
      </c>
      <c r="W30" s="241">
        <f t="shared" si="3"/>
        <v>159671.25536753517</v>
      </c>
      <c r="Y30" s="241"/>
      <c r="Z30" s="265">
        <v>3390818.3357722699</v>
      </c>
      <c r="AA30" s="241">
        <f t="shared" si="5"/>
        <v>4000</v>
      </c>
      <c r="AB30" s="241">
        <f t="shared" si="6"/>
        <v>4000</v>
      </c>
    </row>
    <row r="31" spans="10:28" x14ac:dyDescent="0.25">
      <c r="J31" s="241">
        <f>ECON_OUTPUT!G31</f>
        <v>1290000</v>
      </c>
      <c r="K31" s="241">
        <f>ECON_OUTPUT!Q31</f>
        <v>1557557.5</v>
      </c>
      <c r="L31" s="241">
        <f t="shared" si="0"/>
        <v>267557.5</v>
      </c>
      <c r="M31" s="241">
        <f t="shared" si="1"/>
        <v>267557.5</v>
      </c>
      <c r="O31" s="244">
        <f>IF(ECON_OUTPUT!BG31=5,ECON_OUTPUT!G31*(ECON_ASSUMPT!G$13),0)</f>
        <v>0</v>
      </c>
      <c r="P31" s="244">
        <f>IF(ECON_OUTPUT!BE31="Other",ECON_OUTPUT!G31*ECON_ASSUMPT!G$14,0)</f>
        <v>0</v>
      </c>
      <c r="Q31" s="241">
        <f>ECON_OUTPUT!G31+O31+P31</f>
        <v>1290000</v>
      </c>
      <c r="R31" s="241">
        <f t="shared" si="4"/>
        <v>267557.5</v>
      </c>
      <c r="S31" s="241">
        <f t="shared" si="2"/>
        <v>267557.5</v>
      </c>
      <c r="U31" s="241">
        <f>ECON_ASSUMPT!E$4+(ECON_OUTPUT!G31*ECON_ASSUMPT!E$5)+(ECON_OUTPUT!BJ31*ECON_ASSUMPT!E$6)+(ECON_OUTPUT!BK31*ECON_ASSUMPT!E$7)+(ECON_OUTPUT!BL31*ECON_ASSUMPT!E$8)+(ECON_OUTPUT!BM31*ECON_ASSUMPT!E$9)+(ECON_OUTPUT!BN31*ECON_ASSUMPT!E$10)</f>
        <v>699405.83379792189</v>
      </c>
      <c r="V31" s="241">
        <f>ECON_OUTPUT!Q31-U31</f>
        <v>858151.66620207811</v>
      </c>
      <c r="W31" s="241">
        <f t="shared" si="3"/>
        <v>858151.66620207811</v>
      </c>
      <c r="Y31" s="241"/>
      <c r="Z31" s="265">
        <v>546868.13928309502</v>
      </c>
      <c r="AA31" s="241">
        <f t="shared" si="5"/>
        <v>267557.5</v>
      </c>
      <c r="AB31" s="241">
        <f t="shared" si="6"/>
        <v>267557.5</v>
      </c>
    </row>
    <row r="32" spans="10:28" x14ac:dyDescent="0.25">
      <c r="J32" s="241">
        <f>ECON_OUTPUT!G32</f>
        <v>1340000</v>
      </c>
      <c r="K32" s="241">
        <f>ECON_OUTPUT!Q32</f>
        <v>2174000</v>
      </c>
      <c r="L32" s="241">
        <f t="shared" si="0"/>
        <v>834000</v>
      </c>
      <c r="M32" s="241">
        <f t="shared" si="1"/>
        <v>834000</v>
      </c>
      <c r="O32" s="244">
        <f>IF(ECON_OUTPUT!BG32=5,ECON_OUTPUT!G32*(ECON_ASSUMPT!G$13),0)</f>
        <v>0</v>
      </c>
      <c r="P32" s="244">
        <f>IF(ECON_OUTPUT!BE32="Other",ECON_OUTPUT!G32*ECON_ASSUMPT!G$14,0)</f>
        <v>0</v>
      </c>
      <c r="Q32" s="241">
        <f>ECON_OUTPUT!G32+O32+P32</f>
        <v>1340000</v>
      </c>
      <c r="R32" s="241">
        <f t="shared" si="4"/>
        <v>834000</v>
      </c>
      <c r="S32" s="241">
        <f t="shared" si="2"/>
        <v>834000</v>
      </c>
      <c r="U32" s="241">
        <f>ECON_ASSUMPT!E$4+(ECON_OUTPUT!G32*ECON_ASSUMPT!E$5)+(ECON_OUTPUT!BJ32*ECON_ASSUMPT!E$6)+(ECON_OUTPUT!BK32*ECON_ASSUMPT!E$7)+(ECON_OUTPUT!BL32*ECON_ASSUMPT!E$8)+(ECON_OUTPUT!BM32*ECON_ASSUMPT!E$9)+(ECON_OUTPUT!BN32*ECON_ASSUMPT!E$10)</f>
        <v>742908.786329675</v>
      </c>
      <c r="V32" s="241">
        <f>ECON_OUTPUT!Q32-U32</f>
        <v>1431091.213670325</v>
      </c>
      <c r="W32" s="241">
        <f t="shared" si="3"/>
        <v>1431091.213670325</v>
      </c>
      <c r="Y32" s="241"/>
      <c r="Z32" s="265">
        <v>1144138.6629492401</v>
      </c>
      <c r="AA32" s="241">
        <f t="shared" si="5"/>
        <v>834000</v>
      </c>
      <c r="AB32" s="241">
        <f t="shared" si="6"/>
        <v>834000</v>
      </c>
    </row>
    <row r="33" spans="10:28" x14ac:dyDescent="0.25">
      <c r="J33" s="241">
        <f>ECON_OUTPUT!G33</f>
        <v>7100000</v>
      </c>
      <c r="K33" s="241">
        <f>ECON_OUTPUT!Q33</f>
        <v>8765900</v>
      </c>
      <c r="L33" s="241">
        <f t="shared" si="0"/>
        <v>1665900</v>
      </c>
      <c r="M33" s="241">
        <f t="shared" si="1"/>
        <v>1665900</v>
      </c>
      <c r="O33" s="244">
        <f>IF(ECON_OUTPUT!BG33=5,ECON_OUTPUT!G33*(ECON_ASSUMPT!G$13),0)</f>
        <v>0</v>
      </c>
      <c r="P33" s="244">
        <f>IF(ECON_OUTPUT!BE33="Other",ECON_OUTPUT!G33*ECON_ASSUMPT!G$14,0)</f>
        <v>0</v>
      </c>
      <c r="Q33" s="241">
        <f>ECON_OUTPUT!G33+O33+P33</f>
        <v>7100000</v>
      </c>
      <c r="R33" s="241">
        <f t="shared" si="4"/>
        <v>1665900</v>
      </c>
      <c r="S33" s="241">
        <f t="shared" si="2"/>
        <v>1665900</v>
      </c>
      <c r="U33" s="241">
        <f>ECON_ASSUMPT!E$4+(ECON_OUTPUT!G33*ECON_ASSUMPT!E$5)+(ECON_OUTPUT!BJ33*ECON_ASSUMPT!E$6)+(ECON_OUTPUT!BK33*ECON_ASSUMPT!E$7)+(ECON_OUTPUT!BL33*ECON_ASSUMPT!E$8)+(ECON_OUTPUT!BM33*ECON_ASSUMPT!E$9)+(ECON_OUTPUT!BN33*ECON_ASSUMPT!E$10)</f>
        <v>6588598.7688229699</v>
      </c>
      <c r="V33" s="241">
        <f>ECON_OUTPUT!Q33-U33</f>
        <v>2177301.2311770301</v>
      </c>
      <c r="W33" s="241">
        <f t="shared" si="3"/>
        <v>2177301.2311770301</v>
      </c>
      <c r="Y33" s="241"/>
      <c r="Z33" s="265">
        <v>6249979.1473471401</v>
      </c>
      <c r="AA33" s="241">
        <f t="shared" si="5"/>
        <v>1665900</v>
      </c>
      <c r="AB33" s="241">
        <f t="shared" si="6"/>
        <v>1665900</v>
      </c>
    </row>
    <row r="34" spans="10:28" x14ac:dyDescent="0.25">
      <c r="J34" s="241">
        <f>ECON_OUTPUT!G34</f>
        <v>7055100</v>
      </c>
      <c r="K34" s="241">
        <f>ECON_OUTPUT!Q34</f>
        <v>6387950</v>
      </c>
      <c r="L34" s="241">
        <f t="shared" si="0"/>
        <v>-667150</v>
      </c>
      <c r="M34" s="241">
        <f t="shared" si="1"/>
        <v>667150</v>
      </c>
      <c r="O34" s="244">
        <f>IF(ECON_OUTPUT!BG34=5,ECON_OUTPUT!G34*(ECON_ASSUMPT!G$13),0)</f>
        <v>0</v>
      </c>
      <c r="P34" s="244">
        <f>IF(ECON_OUTPUT!BE34="Other",ECON_OUTPUT!G34*ECON_ASSUMPT!G$14,0)</f>
        <v>410691.57964828139</v>
      </c>
      <c r="Q34" s="241">
        <f>ECON_OUTPUT!G34+O34+P34</f>
        <v>7465791.5796482814</v>
      </c>
      <c r="R34" s="241">
        <f t="shared" si="4"/>
        <v>-1077841.5796482814</v>
      </c>
      <c r="S34" s="241">
        <f t="shared" si="2"/>
        <v>1077841.5796482814</v>
      </c>
      <c r="U34" s="241">
        <f>ECON_ASSUMPT!E$4+(ECON_OUTPUT!G34*ECON_ASSUMPT!E$5)+(ECON_OUTPUT!BJ34*ECON_ASSUMPT!E$6)+(ECON_OUTPUT!BK34*ECON_ASSUMPT!E$7)+(ECON_OUTPUT!BL34*ECON_ASSUMPT!E$8)+(ECON_OUTPUT!BM34*ECON_ASSUMPT!E$9)+(ECON_OUTPUT!BN34*ECON_ASSUMPT!E$10)</f>
        <v>8469250.8712892346</v>
      </c>
      <c r="V34" s="241">
        <f>ECON_OUTPUT!Q34-U34</f>
        <v>-2081300.8712892346</v>
      </c>
      <c r="W34" s="241">
        <f t="shared" si="3"/>
        <v>2081300.8712892346</v>
      </c>
      <c r="Y34" s="241"/>
      <c r="Z34" s="265">
        <v>7532660.9793398296</v>
      </c>
      <c r="AA34" s="241">
        <f t="shared" si="5"/>
        <v>-1077841.5796482814</v>
      </c>
      <c r="AB34" s="241">
        <f t="shared" si="6"/>
        <v>1077841.5796482814</v>
      </c>
    </row>
    <row r="35" spans="10:28" x14ac:dyDescent="0.25">
      <c r="J35" s="241">
        <f>ECON_OUTPUT!G35</f>
        <v>8700000</v>
      </c>
      <c r="K35" s="241">
        <f>ECON_OUTPUT!Q35</f>
        <v>10760000</v>
      </c>
      <c r="L35" s="241">
        <f t="shared" si="0"/>
        <v>2060000</v>
      </c>
      <c r="M35" s="241">
        <f t="shared" si="1"/>
        <v>2060000</v>
      </c>
      <c r="O35" s="244">
        <f>IF(ECON_OUTPUT!BG35=5,ECON_OUTPUT!G35*(ECON_ASSUMPT!G$13),0)</f>
        <v>0</v>
      </c>
      <c r="P35" s="244">
        <f>IF(ECON_OUTPUT!BE35="Other",ECON_OUTPUT!G35*ECON_ASSUMPT!G$14,0)</f>
        <v>0</v>
      </c>
      <c r="Q35" s="241">
        <f>ECON_OUTPUT!G35+O35+P35</f>
        <v>8700000</v>
      </c>
      <c r="R35" s="241">
        <f t="shared" si="4"/>
        <v>2060000</v>
      </c>
      <c r="S35" s="241">
        <f t="shared" si="2"/>
        <v>2060000</v>
      </c>
      <c r="U35" s="241">
        <f>ECON_ASSUMPT!E$4+(ECON_OUTPUT!G35*ECON_ASSUMPT!E$5)+(ECON_OUTPUT!BJ35*ECON_ASSUMPT!E$6)+(ECON_OUTPUT!BK35*ECON_ASSUMPT!E$7)+(ECON_OUTPUT!BL35*ECON_ASSUMPT!E$8)+(ECON_OUTPUT!BM35*ECON_ASSUMPT!E$9)+(ECON_OUTPUT!BN35*ECON_ASSUMPT!E$10)</f>
        <v>7980693.2498390637</v>
      </c>
      <c r="V35" s="241">
        <f>ECON_OUTPUT!Q35-U35</f>
        <v>2779306.7501609363</v>
      </c>
      <c r="W35" s="241">
        <f t="shared" si="3"/>
        <v>2779306.7501609363</v>
      </c>
      <c r="Y35" s="241"/>
      <c r="Z35" s="265">
        <v>7615903.1906268504</v>
      </c>
      <c r="AA35" s="241">
        <f t="shared" si="5"/>
        <v>2060000</v>
      </c>
      <c r="AB35" s="241">
        <f t="shared" si="6"/>
        <v>2060000</v>
      </c>
    </row>
    <row r="36" spans="10:28" x14ac:dyDescent="0.25">
      <c r="J36" s="241">
        <f>ECON_OUTPUT!G36</f>
        <v>1200000</v>
      </c>
      <c r="K36" s="241">
        <f>ECON_OUTPUT!Q36</f>
        <v>1488000</v>
      </c>
      <c r="L36" s="241">
        <f t="shared" si="0"/>
        <v>288000</v>
      </c>
      <c r="M36" s="241">
        <f t="shared" si="1"/>
        <v>288000</v>
      </c>
      <c r="O36" s="244">
        <f>IF(ECON_OUTPUT!BG36=5,ECON_OUTPUT!G36*(ECON_ASSUMPT!G$13),0)</f>
        <v>0</v>
      </c>
      <c r="P36" s="244">
        <f>IF(ECON_OUTPUT!BE36="Other",ECON_OUTPUT!G36*ECON_ASSUMPT!G$14,0)</f>
        <v>0</v>
      </c>
      <c r="Q36" s="241">
        <f>ECON_OUTPUT!G36+O36+P36</f>
        <v>1200000</v>
      </c>
      <c r="R36" s="241">
        <f t="shared" si="4"/>
        <v>288000</v>
      </c>
      <c r="S36" s="241">
        <f t="shared" si="2"/>
        <v>288000</v>
      </c>
      <c r="U36" s="241">
        <f>ECON_ASSUMPT!E$4+(ECON_OUTPUT!G36*ECON_ASSUMPT!E$5)+(ECON_OUTPUT!BJ36*ECON_ASSUMPT!E$6)+(ECON_OUTPUT!BK36*ECON_ASSUMPT!E$7)+(ECON_OUTPUT!BL36*ECON_ASSUMPT!E$8)+(ECON_OUTPUT!BM36*ECON_ASSUMPT!E$9)+(ECON_OUTPUT!BN36*ECON_ASSUMPT!E$10)</f>
        <v>621100.51924076665</v>
      </c>
      <c r="V36" s="241">
        <f>ECON_OUTPUT!Q36-U36</f>
        <v>866899.48075923335</v>
      </c>
      <c r="W36" s="241">
        <f t="shared" si="3"/>
        <v>866899.48075923335</v>
      </c>
      <c r="Y36" s="241"/>
      <c r="Z36" s="265">
        <v>1188276.1429222601</v>
      </c>
      <c r="AA36" s="241">
        <f t="shared" si="5"/>
        <v>288000</v>
      </c>
      <c r="AB36" s="241">
        <f t="shared" si="6"/>
        <v>288000</v>
      </c>
    </row>
    <row r="37" spans="10:28" x14ac:dyDescent="0.25">
      <c r="J37" s="241">
        <f>ECON_OUTPUT!G37</f>
        <v>2000000</v>
      </c>
      <c r="K37" s="241">
        <f>ECON_OUTPUT!Q37</f>
        <v>2196300</v>
      </c>
      <c r="L37" s="241">
        <f t="shared" si="0"/>
        <v>196300</v>
      </c>
      <c r="M37" s="241">
        <f t="shared" si="1"/>
        <v>196300</v>
      </c>
      <c r="O37" s="244">
        <f>IF(ECON_OUTPUT!BG37=5,ECON_OUTPUT!G37*(ECON_ASSUMPT!G$13),0)</f>
        <v>0</v>
      </c>
      <c r="P37" s="244">
        <f>IF(ECON_OUTPUT!BE37="Other",ECON_OUTPUT!G37*ECON_ASSUMPT!G$14,0)</f>
        <v>116424.0279084014</v>
      </c>
      <c r="Q37" s="241">
        <f>ECON_OUTPUT!G37+O37+P37</f>
        <v>2116424.0279084016</v>
      </c>
      <c r="R37" s="241">
        <f t="shared" si="4"/>
        <v>79875.972091598436</v>
      </c>
      <c r="S37" s="241">
        <f t="shared" si="2"/>
        <v>79875.972091598436</v>
      </c>
      <c r="U37" s="241">
        <f>ECON_ASSUMPT!E$4+(ECON_OUTPUT!G37*ECON_ASSUMPT!E$5)+(ECON_OUTPUT!BJ37*ECON_ASSUMPT!E$6)+(ECON_OUTPUT!BK37*ECON_ASSUMPT!E$7)+(ECON_OUTPUT!BL37*ECON_ASSUMPT!E$8)+(ECON_OUTPUT!BM37*ECON_ASSUMPT!E$9)+(ECON_OUTPUT!BN37*ECON_ASSUMPT!E$10)</f>
        <v>3236865.5135885938</v>
      </c>
      <c r="V37" s="241">
        <f>ECON_OUTPUT!Q37-U37</f>
        <v>-1040565.5135885938</v>
      </c>
      <c r="W37" s="241">
        <f t="shared" si="3"/>
        <v>1040565.5135885938</v>
      </c>
      <c r="Y37" s="241"/>
      <c r="Z37" s="265">
        <v>3332088.23284245</v>
      </c>
      <c r="AA37" s="241">
        <f t="shared" si="5"/>
        <v>79875.972091598436</v>
      </c>
      <c r="AB37" s="241">
        <f t="shared" si="6"/>
        <v>79875.972091598436</v>
      </c>
    </row>
    <row r="38" spans="10:28" x14ac:dyDescent="0.25">
      <c r="J38" s="241">
        <f>ECON_OUTPUT!G38</f>
        <v>1200000</v>
      </c>
      <c r="K38" s="241">
        <f>ECON_OUTPUT!Q38</f>
        <v>1083107</v>
      </c>
      <c r="L38" s="241">
        <f t="shared" si="0"/>
        <v>-116893</v>
      </c>
      <c r="M38" s="241">
        <f t="shared" si="1"/>
        <v>116893</v>
      </c>
      <c r="O38" s="244">
        <f>IF(ECON_OUTPUT!BG38=5,ECON_OUTPUT!G38*(ECON_ASSUMPT!G$13),0)</f>
        <v>0</v>
      </c>
      <c r="P38" s="244">
        <f>IF(ECON_OUTPUT!BE38="Other",ECON_OUTPUT!G38*ECON_ASSUMPT!G$14,0)</f>
        <v>69854.416745040842</v>
      </c>
      <c r="Q38" s="241">
        <f>ECON_OUTPUT!G38+O38+P38</f>
        <v>1269854.4167450408</v>
      </c>
      <c r="R38" s="241">
        <f t="shared" si="4"/>
        <v>-186747.4167450408</v>
      </c>
      <c r="S38" s="241">
        <f t="shared" si="2"/>
        <v>186747.4167450408</v>
      </c>
      <c r="U38" s="241">
        <f>ECON_ASSUMPT!E$4+(ECON_OUTPUT!G38*ECON_ASSUMPT!E$5)+(ECON_OUTPUT!BJ38*ECON_ASSUMPT!E$6)+(ECON_OUTPUT!BK38*ECON_ASSUMPT!E$7)+(ECON_OUTPUT!BL38*ECON_ASSUMPT!E$8)+(ECON_OUTPUT!BM38*ECON_ASSUMPT!E$9)+(ECON_OUTPUT!BN38*ECON_ASSUMPT!E$10)</f>
        <v>1909451.5621832609</v>
      </c>
      <c r="V38" s="241">
        <f>ECON_OUTPUT!Q38-U38</f>
        <v>-826344.56218326092</v>
      </c>
      <c r="W38" s="241">
        <f t="shared" si="3"/>
        <v>826344.56218326092</v>
      </c>
      <c r="Y38" s="241"/>
      <c r="Z38" s="265">
        <v>571629.33036302403</v>
      </c>
      <c r="AA38" s="241">
        <f t="shared" si="5"/>
        <v>-186747.4167450408</v>
      </c>
      <c r="AB38" s="241">
        <f t="shared" si="6"/>
        <v>186747.4167450408</v>
      </c>
    </row>
    <row r="39" spans="10:28" x14ac:dyDescent="0.25">
      <c r="J39" s="241">
        <f>ECON_OUTPUT!G39</f>
        <v>9000000</v>
      </c>
      <c r="K39" s="241">
        <f>ECON_OUTPUT!Q39</f>
        <v>9201691</v>
      </c>
      <c r="L39" s="241">
        <f t="shared" si="0"/>
        <v>201691</v>
      </c>
      <c r="M39" s="241">
        <f t="shared" si="1"/>
        <v>201691</v>
      </c>
      <c r="O39" s="244">
        <f>IF(ECON_OUTPUT!BG39=5,ECON_OUTPUT!G39*(ECON_ASSUMPT!G$13),0)</f>
        <v>0</v>
      </c>
      <c r="P39" s="244">
        <f>IF(ECON_OUTPUT!BE39="Other",ECON_OUTPUT!G39*ECON_ASSUMPT!G$14,0)</f>
        <v>523908.12558780634</v>
      </c>
      <c r="Q39" s="241">
        <f>ECON_OUTPUT!G39+O39+P39</f>
        <v>9523908.1255878061</v>
      </c>
      <c r="R39" s="241">
        <f t="shared" si="4"/>
        <v>-322217.12558780611</v>
      </c>
      <c r="S39" s="241">
        <f t="shared" si="2"/>
        <v>322217.12558780611</v>
      </c>
      <c r="U39" s="241">
        <f>ECON_ASSUMPT!E$4+(ECON_OUTPUT!G39*ECON_ASSUMPT!E$5)+(ECON_OUTPUT!BJ39*ECON_ASSUMPT!E$6)+(ECON_OUTPUT!BK39*ECON_ASSUMPT!E$7)+(ECON_OUTPUT!BL39*ECON_ASSUMPT!E$8)+(ECON_OUTPUT!BM39*ECON_ASSUMPT!E$9)+(ECON_OUTPUT!BN39*ECON_ASSUMPT!E$10)</f>
        <v>10161428.71886936</v>
      </c>
      <c r="V39" s="241">
        <f>ECON_OUTPUT!Q39-U39</f>
        <v>-959737.71886936016</v>
      </c>
      <c r="W39" s="241">
        <f t="shared" si="3"/>
        <v>959737.71886936016</v>
      </c>
      <c r="Y39" s="241"/>
      <c r="Z39" s="265">
        <v>10235508.416038601</v>
      </c>
      <c r="AA39" s="241">
        <f t="shared" si="5"/>
        <v>-322217.12558780611</v>
      </c>
      <c r="AB39" s="241">
        <f t="shared" si="6"/>
        <v>322217.12558780611</v>
      </c>
    </row>
    <row r="40" spans="10:28" x14ac:dyDescent="0.25">
      <c r="J40" s="241">
        <f>ECON_OUTPUT!G40</f>
        <v>10000000</v>
      </c>
      <c r="K40" s="241">
        <f>ECON_OUTPUT!Q40</f>
        <v>7138000</v>
      </c>
      <c r="L40" s="241">
        <f t="shared" si="0"/>
        <v>-2862000</v>
      </c>
      <c r="M40" s="241">
        <f t="shared" si="1"/>
        <v>2862000</v>
      </c>
      <c r="O40" s="244">
        <f>IF(ECON_OUTPUT!BG40=5,ECON_OUTPUT!G40*(ECON_ASSUMPT!G$13),0)</f>
        <v>0</v>
      </c>
      <c r="P40" s="244">
        <f>IF(ECON_OUTPUT!BE40="Other",ECON_OUTPUT!G40*ECON_ASSUMPT!G$14,0)</f>
        <v>0</v>
      </c>
      <c r="Q40" s="241">
        <f>ECON_OUTPUT!G40+O40+P40</f>
        <v>10000000</v>
      </c>
      <c r="R40" s="241">
        <f t="shared" si="4"/>
        <v>-2862000</v>
      </c>
      <c r="S40" s="241">
        <f t="shared" si="2"/>
        <v>2862000</v>
      </c>
      <c r="U40" s="241">
        <f>ECON_ASSUMPT!E$4+(ECON_OUTPUT!G40*ECON_ASSUMPT!E$5)+(ECON_OUTPUT!BJ40*ECON_ASSUMPT!E$6)+(ECON_OUTPUT!BK40*ECON_ASSUMPT!E$7)+(ECON_OUTPUT!BL40*ECON_ASSUMPT!E$8)+(ECON_OUTPUT!BM40*ECON_ASSUMPT!E$9)+(ECON_OUTPUT!BN40*ECON_ASSUMPT!E$10)</f>
        <v>9111770.0156646408</v>
      </c>
      <c r="V40" s="241">
        <f>ECON_OUTPUT!Q40-U40</f>
        <v>-1973770.0156646408</v>
      </c>
      <c r="W40" s="241">
        <f t="shared" si="3"/>
        <v>1973770.0156646408</v>
      </c>
      <c r="Y40" s="241"/>
      <c r="Z40" s="265">
        <v>8279661.0397749804</v>
      </c>
      <c r="AA40" s="241">
        <f t="shared" si="5"/>
        <v>-2862000</v>
      </c>
      <c r="AB40" s="241">
        <f t="shared" si="6"/>
        <v>2862000</v>
      </c>
    </row>
    <row r="41" spans="10:28" x14ac:dyDescent="0.25">
      <c r="J41" s="241">
        <f>ECON_OUTPUT!G41</f>
        <v>4574000</v>
      </c>
      <c r="K41" s="241">
        <f>ECON_OUTPUT!Q41</f>
        <v>4055000</v>
      </c>
      <c r="L41" s="241">
        <f t="shared" si="0"/>
        <v>-519000</v>
      </c>
      <c r="M41" s="241">
        <f t="shared" si="1"/>
        <v>519000</v>
      </c>
      <c r="O41" s="244">
        <f>IF(ECON_OUTPUT!BG41=5,ECON_OUTPUT!G41*(ECON_ASSUMPT!G$13),0)</f>
        <v>0</v>
      </c>
      <c r="P41" s="244">
        <f>IF(ECON_OUTPUT!BE41="Other",ECON_OUTPUT!G41*ECON_ASSUMPT!G$14,0)</f>
        <v>0</v>
      </c>
      <c r="Q41" s="241">
        <f>ECON_OUTPUT!G41+O41+P41</f>
        <v>4574000</v>
      </c>
      <c r="R41" s="241">
        <f t="shared" si="4"/>
        <v>-519000</v>
      </c>
      <c r="S41" s="241">
        <f t="shared" si="2"/>
        <v>519000</v>
      </c>
      <c r="U41" s="241">
        <f>ECON_ASSUMPT!E$4+(ECON_OUTPUT!G41*ECON_ASSUMPT!E$5)+(ECON_OUTPUT!BJ41*ECON_ASSUMPT!E$6)+(ECON_OUTPUT!BK41*ECON_ASSUMPT!E$7)+(ECON_OUTPUT!BL41*ECON_ASSUMPT!E$8)+(ECON_OUTPUT!BM41*ECON_ASSUMPT!E$9)+(ECON_OUTPUT!BN41*ECON_ASSUMPT!E$10)</f>
        <v>4298263.3074192591</v>
      </c>
      <c r="V41" s="241">
        <f>ECON_OUTPUT!Q41-U41</f>
        <v>-243263.3074192591</v>
      </c>
      <c r="W41" s="241">
        <f t="shared" si="3"/>
        <v>243263.3074192591</v>
      </c>
      <c r="Y41" s="241"/>
      <c r="Z41" s="265">
        <v>3494054.9943438801</v>
      </c>
      <c r="AA41" s="241">
        <f t="shared" si="5"/>
        <v>-519000</v>
      </c>
      <c r="AB41" s="241">
        <f t="shared" si="6"/>
        <v>519000</v>
      </c>
    </row>
    <row r="42" spans="10:28" x14ac:dyDescent="0.25">
      <c r="J42" s="241">
        <f>ECON_OUTPUT!G42</f>
        <v>2530000</v>
      </c>
      <c r="K42" s="241">
        <f>ECON_OUTPUT!Q42</f>
        <v>2495500</v>
      </c>
      <c r="L42" s="241">
        <f t="shared" si="0"/>
        <v>-34500</v>
      </c>
      <c r="M42" s="241">
        <f t="shared" si="1"/>
        <v>34500</v>
      </c>
      <c r="O42" s="244">
        <f>IF(ECON_OUTPUT!BG42=5,ECON_OUTPUT!G42*(ECON_ASSUMPT!G$13),0)</f>
        <v>0</v>
      </c>
      <c r="P42" s="244">
        <f>IF(ECON_OUTPUT!BE42="Other",ECON_OUTPUT!G42*ECON_ASSUMPT!G$14,0)</f>
        <v>0</v>
      </c>
      <c r="Q42" s="241">
        <f>ECON_OUTPUT!G42+O42+P42</f>
        <v>2530000</v>
      </c>
      <c r="R42" s="241">
        <f t="shared" si="4"/>
        <v>-34500</v>
      </c>
      <c r="S42" s="241">
        <f t="shared" si="2"/>
        <v>34500</v>
      </c>
      <c r="U42" s="241">
        <f>ECON_ASSUMPT!E$4+(ECON_OUTPUT!G42*ECON_ASSUMPT!E$5)+(ECON_OUTPUT!BJ42*ECON_ASSUMPT!E$6)+(ECON_OUTPUT!BK42*ECON_ASSUMPT!E$7)+(ECON_OUTPUT!BL42*ECON_ASSUMPT!E$8)+(ECON_OUTPUT!BM42*ECON_ASSUMPT!E$9)+(ECON_OUTPUT!BN42*ECON_ASSUMPT!E$10)</f>
        <v>2519862.6079211989</v>
      </c>
      <c r="V42" s="241">
        <f>ECON_OUTPUT!Q42-U42</f>
        <v>-24362.607921198942</v>
      </c>
      <c r="W42" s="241">
        <f t="shared" si="3"/>
        <v>24362.607921198942</v>
      </c>
      <c r="Y42" s="241"/>
      <c r="Z42" s="265">
        <v>2140362.4827513699</v>
      </c>
      <c r="AA42" s="241">
        <f t="shared" si="5"/>
        <v>-34500</v>
      </c>
      <c r="AB42" s="241">
        <f t="shared" si="6"/>
        <v>34500</v>
      </c>
    </row>
    <row r="43" spans="10:28" x14ac:dyDescent="0.25">
      <c r="J43" s="241">
        <f>ECON_OUTPUT!G43</f>
        <v>4072000</v>
      </c>
      <c r="K43" s="241">
        <f>ECON_OUTPUT!Q43</f>
        <v>3147496</v>
      </c>
      <c r="L43" s="241">
        <f t="shared" si="0"/>
        <v>-924504</v>
      </c>
      <c r="M43" s="241">
        <f t="shared" si="1"/>
        <v>924504</v>
      </c>
      <c r="O43" s="244">
        <f>IF(ECON_OUTPUT!BG43=5,ECON_OUTPUT!G43*(ECON_ASSUMPT!G$13),0)</f>
        <v>0</v>
      </c>
      <c r="P43" s="244">
        <f>IF(ECON_OUTPUT!BE43="Other",ECON_OUTPUT!G43*ECON_ASSUMPT!G$14,0)</f>
        <v>0</v>
      </c>
      <c r="Q43" s="241">
        <f>ECON_OUTPUT!G43+O43+P43</f>
        <v>4072000</v>
      </c>
      <c r="R43" s="241">
        <f t="shared" si="4"/>
        <v>-924504</v>
      </c>
      <c r="S43" s="241">
        <f t="shared" si="2"/>
        <v>924504</v>
      </c>
      <c r="U43" s="241">
        <f>ECON_ASSUMPT!E$4+(ECON_OUTPUT!G43*ECON_ASSUMPT!E$5)+(ECON_OUTPUT!BJ43*ECON_ASSUMPT!E$6)+(ECON_OUTPUT!BK43*ECON_ASSUMPT!E$7)+(ECON_OUTPUT!BL43*ECON_ASSUMPT!E$8)+(ECON_OUTPUT!BM43*ECON_ASSUMPT!E$9)+(ECON_OUTPUT!BN43*ECON_ASSUMPT!E$10)</f>
        <v>3861493.6640004599</v>
      </c>
      <c r="V43" s="241">
        <f>ECON_OUTPUT!Q43-U43</f>
        <v>-713997.66400045995</v>
      </c>
      <c r="W43" s="241">
        <f t="shared" si="3"/>
        <v>713997.66400045995</v>
      </c>
      <c r="Y43" s="241"/>
      <c r="Z43" s="265">
        <v>2902186.3821485601</v>
      </c>
      <c r="AA43" s="241">
        <f t="shared" si="5"/>
        <v>-924504</v>
      </c>
      <c r="AB43" s="241">
        <f t="shared" si="6"/>
        <v>924504</v>
      </c>
    </row>
    <row r="44" spans="10:28" x14ac:dyDescent="0.25">
      <c r="J44" s="241">
        <f>ECON_OUTPUT!G44</f>
        <v>69865000</v>
      </c>
      <c r="K44" s="241">
        <f>ECON_OUTPUT!Q44</f>
        <v>58617000</v>
      </c>
      <c r="L44" s="241">
        <f t="shared" si="0"/>
        <v>-11248000</v>
      </c>
      <c r="M44" s="241">
        <f t="shared" si="1"/>
        <v>11248000</v>
      </c>
      <c r="O44" s="244">
        <f>IF(ECON_OUTPUT!BG44=5,ECON_OUTPUT!G44*(ECON_ASSUMPT!G$13),0)</f>
        <v>2170027.4696755079</v>
      </c>
      <c r="P44" s="244">
        <f>IF(ECON_OUTPUT!BE44="Other",ECON_OUTPUT!G44*ECON_ASSUMPT!G$14,0)</f>
        <v>0</v>
      </c>
      <c r="Q44" s="241">
        <f>ECON_OUTPUT!G44+O44+P44</f>
        <v>72035027.469675511</v>
      </c>
      <c r="R44" s="241">
        <f t="shared" si="4"/>
        <v>-13418027.469675511</v>
      </c>
      <c r="S44" s="241">
        <f t="shared" si="2"/>
        <v>13418027.469675511</v>
      </c>
      <c r="U44" s="241">
        <f>ECON_ASSUMPT!E$4+(ECON_OUTPUT!G44*ECON_ASSUMPT!E$5)+(ECON_OUTPUT!BJ44*ECON_ASSUMPT!E$6)+(ECON_OUTPUT!BK44*ECON_ASSUMPT!E$7)+(ECON_OUTPUT!BL44*ECON_ASSUMPT!E$8)+(ECON_OUTPUT!BM44*ECON_ASSUMPT!E$9)+(ECON_OUTPUT!BN44*ECON_ASSUMPT!E$10)</f>
        <v>63580115.634908013</v>
      </c>
      <c r="V44" s="241">
        <f>ECON_OUTPUT!Q44-U44</f>
        <v>-4963115.634908013</v>
      </c>
      <c r="W44" s="241">
        <f t="shared" si="3"/>
        <v>4963115.634908013</v>
      </c>
      <c r="Y44" s="241"/>
      <c r="Z44" s="265">
        <v>63131093.0882897</v>
      </c>
      <c r="AA44" s="241">
        <f t="shared" si="5"/>
        <v>-13418027.469675511</v>
      </c>
      <c r="AB44" s="241">
        <f t="shared" si="6"/>
        <v>13418027.469675511</v>
      </c>
    </row>
    <row r="45" spans="10:28" x14ac:dyDescent="0.25">
      <c r="J45" s="241">
        <f>ECON_OUTPUT!G45</f>
        <v>3250000</v>
      </c>
      <c r="K45" s="241">
        <f>ECON_OUTPUT!Q45</f>
        <v>3167185</v>
      </c>
      <c r="L45" s="241">
        <f t="shared" si="0"/>
        <v>-82815</v>
      </c>
      <c r="M45" s="241">
        <f t="shared" si="1"/>
        <v>82815</v>
      </c>
      <c r="O45" s="244">
        <f>IF(ECON_OUTPUT!BG45=5,ECON_OUTPUT!G45*(ECON_ASSUMPT!G$13),0)</f>
        <v>0</v>
      </c>
      <c r="P45" s="244">
        <f>IF(ECON_OUTPUT!BE45="Other",ECON_OUTPUT!G45*ECON_ASSUMPT!G$14,0)</f>
        <v>0</v>
      </c>
      <c r="Q45" s="241">
        <f>ECON_OUTPUT!G45+O45+P45</f>
        <v>3250000</v>
      </c>
      <c r="R45" s="241">
        <f t="shared" si="4"/>
        <v>-82815</v>
      </c>
      <c r="S45" s="241">
        <f t="shared" si="2"/>
        <v>82815</v>
      </c>
      <c r="U45" s="241">
        <f>ECON_ASSUMPT!E$4+(ECON_OUTPUT!G45*ECON_ASSUMPT!E$5)+(ECON_OUTPUT!BJ45*ECON_ASSUMPT!E$6)+(ECON_OUTPUT!BK45*ECON_ASSUMPT!E$7)+(ECON_OUTPUT!BL45*ECON_ASSUMPT!E$8)+(ECON_OUTPUT!BM45*ECON_ASSUMPT!E$9)+(ECON_OUTPUT!BN45*ECON_ASSUMPT!E$10)</f>
        <v>3146305.1243784418</v>
      </c>
      <c r="V45" s="241">
        <f>ECON_OUTPUT!Q45-U45</f>
        <v>20879.875621558167</v>
      </c>
      <c r="W45" s="241">
        <f t="shared" si="3"/>
        <v>20879.875621558167</v>
      </c>
      <c r="Y45" s="241"/>
      <c r="Z45" s="265">
        <v>2755028.3022272298</v>
      </c>
      <c r="AA45" s="241">
        <f t="shared" si="5"/>
        <v>-82815</v>
      </c>
      <c r="AB45" s="241">
        <f t="shared" si="6"/>
        <v>82815</v>
      </c>
    </row>
    <row r="46" spans="10:28" x14ac:dyDescent="0.25">
      <c r="J46" s="241">
        <f>ECON_OUTPUT!G46</f>
        <v>25210000</v>
      </c>
      <c r="K46" s="241">
        <f>ECON_OUTPUT!Q46</f>
        <v>18662460</v>
      </c>
      <c r="L46" s="241">
        <f t="shared" si="0"/>
        <v>-6547540</v>
      </c>
      <c r="M46" s="241">
        <f t="shared" si="1"/>
        <v>6547540</v>
      </c>
      <c r="O46" s="244">
        <f>IF(ECON_OUTPUT!BG46=5,ECON_OUTPUT!G46*(ECON_ASSUMPT!G$13),0)</f>
        <v>783030.02233621338</v>
      </c>
      <c r="P46" s="244">
        <f>IF(ECON_OUTPUT!BE46="Other",ECON_OUTPUT!G46*ECON_ASSUMPT!G$14,0)</f>
        <v>0</v>
      </c>
      <c r="Q46" s="241">
        <f>ECON_OUTPUT!G46+O46+P46</f>
        <v>25993030.022336215</v>
      </c>
      <c r="R46" s="241">
        <f t="shared" si="4"/>
        <v>-7330570.0223362148</v>
      </c>
      <c r="S46" s="241">
        <f t="shared" si="2"/>
        <v>7330570.0223362148</v>
      </c>
      <c r="U46" s="241">
        <f>ECON_ASSUMPT!E$4+(ECON_OUTPUT!G46*ECON_ASSUMPT!E$5)+(ECON_OUTPUT!BJ46*ECON_ASSUMPT!E$6)+(ECON_OUTPUT!BK46*ECON_ASSUMPT!E$7)+(ECON_OUTPUT!BL46*ECON_ASSUMPT!E$8)+(ECON_OUTPUT!BM46*ECON_ASSUMPT!E$9)+(ECON_OUTPUT!BN46*ECON_ASSUMPT!E$10)</f>
        <v>24727628.728799459</v>
      </c>
      <c r="V46" s="241">
        <f>ECON_OUTPUT!Q46-U46</f>
        <v>-6065168.7287994586</v>
      </c>
      <c r="W46" s="241">
        <f t="shared" si="3"/>
        <v>6065168.7287994586</v>
      </c>
      <c r="Y46" s="241"/>
      <c r="Z46" s="265">
        <v>24705513.916296501</v>
      </c>
      <c r="AA46" s="241">
        <f t="shared" si="5"/>
        <v>-7330570.0223362148</v>
      </c>
      <c r="AB46" s="241">
        <f t="shared" si="6"/>
        <v>7330570.0223362148</v>
      </c>
    </row>
    <row r="47" spans="10:28" x14ac:dyDescent="0.25">
      <c r="J47" s="241">
        <f>ECON_OUTPUT!G47</f>
        <v>13100000</v>
      </c>
      <c r="K47" s="241">
        <f>ECON_OUTPUT!Q47</f>
        <v>15521750</v>
      </c>
      <c r="L47" s="241">
        <f t="shared" si="0"/>
        <v>2421750</v>
      </c>
      <c r="M47" s="241">
        <f t="shared" si="1"/>
        <v>2421750</v>
      </c>
      <c r="O47" s="244">
        <f>IF(ECON_OUTPUT!BG47=5,ECON_OUTPUT!G47*(ECON_ASSUMPT!G$13),0)</f>
        <v>406889.85690616403</v>
      </c>
      <c r="P47" s="244">
        <f>IF(ECON_OUTPUT!BE47="Other",ECON_OUTPUT!G47*ECON_ASSUMPT!G$14,0)</f>
        <v>762577.38280002924</v>
      </c>
      <c r="Q47" s="241">
        <f>ECON_OUTPUT!G47+O47+P47</f>
        <v>14269467.239706194</v>
      </c>
      <c r="R47" s="241">
        <f t="shared" si="4"/>
        <v>1252282.760293806</v>
      </c>
      <c r="S47" s="241">
        <f t="shared" si="2"/>
        <v>1252282.760293806</v>
      </c>
      <c r="U47" s="241">
        <f>ECON_ASSUMPT!E$4+(ECON_OUTPUT!G47*ECON_ASSUMPT!E$5)+(ECON_OUTPUT!BJ47*ECON_ASSUMPT!E$6)+(ECON_OUTPUT!BK47*ECON_ASSUMPT!E$7)+(ECON_OUTPUT!BL47*ECON_ASSUMPT!E$8)+(ECON_OUTPUT!BM47*ECON_ASSUMPT!E$9)+(ECON_OUTPUT!BN47*ECON_ASSUMPT!E$10)</f>
        <v>16110931.379448671</v>
      </c>
      <c r="V47" s="241">
        <f>ECON_OUTPUT!Q47-U47</f>
        <v>-589181.37944867089</v>
      </c>
      <c r="W47" s="241">
        <f t="shared" si="3"/>
        <v>589181.37944867089</v>
      </c>
      <c r="Y47" s="241"/>
      <c r="Z47" s="265">
        <v>16230865.3660255</v>
      </c>
      <c r="AA47" s="241">
        <f t="shared" si="5"/>
        <v>1252282.760293806</v>
      </c>
      <c r="AB47" s="241">
        <f t="shared" si="6"/>
        <v>1252282.760293806</v>
      </c>
    </row>
    <row r="48" spans="10:28" x14ac:dyDescent="0.25">
      <c r="J48" s="241">
        <f>ECON_OUTPUT!G48</f>
        <v>1300000</v>
      </c>
      <c r="K48" s="241">
        <f>ECON_OUTPUT!Q48</f>
        <v>1444444</v>
      </c>
      <c r="L48" s="241">
        <f t="shared" si="0"/>
        <v>144444</v>
      </c>
      <c r="M48" s="241">
        <f t="shared" si="1"/>
        <v>144444</v>
      </c>
      <c r="O48" s="244">
        <f>IF(ECON_OUTPUT!BG48=5,ECON_OUTPUT!G48*(ECON_ASSUMPT!G$13),0)</f>
        <v>0</v>
      </c>
      <c r="P48" s="244">
        <f>IF(ECON_OUTPUT!BE48="Other",ECON_OUTPUT!G48*ECON_ASSUMPT!G$14,0)</f>
        <v>0</v>
      </c>
      <c r="Q48" s="241">
        <f>ECON_OUTPUT!G48+O48+P48</f>
        <v>1300000</v>
      </c>
      <c r="R48" s="241">
        <f t="shared" si="4"/>
        <v>144444</v>
      </c>
      <c r="S48" s="241">
        <f t="shared" si="2"/>
        <v>144444</v>
      </c>
      <c r="U48" s="241">
        <f>ECON_ASSUMPT!E$4+(ECON_OUTPUT!G48*ECON_ASSUMPT!E$5)+(ECON_OUTPUT!BJ48*ECON_ASSUMPT!E$6)+(ECON_OUTPUT!BK48*ECON_ASSUMPT!E$7)+(ECON_OUTPUT!BL48*ECON_ASSUMPT!E$8)+(ECON_OUTPUT!BM48*ECON_ASSUMPT!E$9)+(ECON_OUTPUT!BN48*ECON_ASSUMPT!E$10)</f>
        <v>76739.713406986557</v>
      </c>
      <c r="V48" s="241">
        <f>ECON_OUTPUT!Q48-U48</f>
        <v>1367704.2865930134</v>
      </c>
      <c r="W48" s="241">
        <f t="shared" si="3"/>
        <v>1367704.2865930134</v>
      </c>
      <c r="Y48" s="241"/>
      <c r="Z48" s="265">
        <v>1593820.0378125799</v>
      </c>
      <c r="AA48" s="241">
        <f t="shared" si="5"/>
        <v>144444</v>
      </c>
      <c r="AB48" s="241">
        <f t="shared" si="6"/>
        <v>144444</v>
      </c>
    </row>
    <row r="49" spans="10:28" x14ac:dyDescent="0.25">
      <c r="J49" s="241">
        <f>ECON_OUTPUT!G49</f>
        <v>1900000</v>
      </c>
      <c r="K49" s="241">
        <f>ECON_OUTPUT!Q49</f>
        <v>1840100</v>
      </c>
      <c r="L49" s="241">
        <f t="shared" si="0"/>
        <v>-59900</v>
      </c>
      <c r="M49" s="241">
        <f t="shared" si="1"/>
        <v>59900</v>
      </c>
      <c r="O49" s="244">
        <f>IF(ECON_OUTPUT!BG49=5,ECON_OUTPUT!G49*(ECON_ASSUMPT!G$13),0)</f>
        <v>0</v>
      </c>
      <c r="P49" s="244">
        <f>IF(ECON_OUTPUT!BE49="Other",ECON_OUTPUT!G49*ECON_ASSUMPT!G$14,0)</f>
        <v>0</v>
      </c>
      <c r="Q49" s="241">
        <f>ECON_OUTPUT!G49+O49+P49</f>
        <v>1900000</v>
      </c>
      <c r="R49" s="241">
        <f t="shared" si="4"/>
        <v>-59900</v>
      </c>
      <c r="S49" s="241">
        <f t="shared" si="2"/>
        <v>59900</v>
      </c>
      <c r="U49" s="241">
        <f>ECON_ASSUMPT!E$4+(ECON_OUTPUT!G49*ECON_ASSUMPT!E$5)+(ECON_OUTPUT!BJ49*ECON_ASSUMPT!E$6)+(ECON_OUTPUT!BK49*ECON_ASSUMPT!E$7)+(ECON_OUTPUT!BL49*ECON_ASSUMPT!E$8)+(ECON_OUTPUT!BM49*ECON_ASSUMPT!E$9)+(ECON_OUTPUT!BN49*ECON_ASSUMPT!E$10)</f>
        <v>1230141.8546853079</v>
      </c>
      <c r="V49" s="241">
        <f>ECON_OUTPUT!Q49-U49</f>
        <v>609958.14531469205</v>
      </c>
      <c r="W49" s="241">
        <f t="shared" si="3"/>
        <v>609958.14531469205</v>
      </c>
      <c r="Y49" s="241"/>
      <c r="Z49" s="265">
        <v>1857324.8271681201</v>
      </c>
      <c r="AA49" s="241">
        <f t="shared" si="5"/>
        <v>-59900</v>
      </c>
      <c r="AB49" s="241">
        <f t="shared" si="6"/>
        <v>59900</v>
      </c>
    </row>
    <row r="50" spans="10:28" x14ac:dyDescent="0.25">
      <c r="J50" s="241">
        <f>ECON_OUTPUT!G50</f>
        <v>700000</v>
      </c>
      <c r="K50" s="241">
        <f>ECON_OUTPUT!Q50</f>
        <v>518920</v>
      </c>
      <c r="L50" s="241">
        <f t="shared" si="0"/>
        <v>-181080</v>
      </c>
      <c r="M50" s="241">
        <f t="shared" si="1"/>
        <v>181080</v>
      </c>
      <c r="O50" s="244">
        <f>IF(ECON_OUTPUT!BG50=5,ECON_OUTPUT!G50*(ECON_ASSUMPT!G$13),0)</f>
        <v>0</v>
      </c>
      <c r="P50" s="244">
        <f>IF(ECON_OUTPUT!BE50="Other",ECON_OUTPUT!G50*ECON_ASSUMPT!G$14,0)</f>
        <v>0</v>
      </c>
      <c r="Q50" s="241">
        <f>ECON_OUTPUT!G50+O50+P50</f>
        <v>700000</v>
      </c>
      <c r="R50" s="241">
        <f t="shared" si="4"/>
        <v>-181080</v>
      </c>
      <c r="S50" s="241">
        <f t="shared" si="2"/>
        <v>181080</v>
      </c>
      <c r="U50" s="241">
        <f>ECON_ASSUMPT!E$4+(ECON_OUTPUT!G50*ECON_ASSUMPT!E$5)+(ECON_OUTPUT!BJ50*ECON_ASSUMPT!E$6)+(ECON_OUTPUT!BK50*ECON_ASSUMPT!E$7)+(ECON_OUTPUT!BL50*ECON_ASSUMPT!E$8)+(ECON_OUTPUT!BM50*ECON_ASSUMPT!E$9)+(ECON_OUTPUT!BN50*ECON_ASSUMPT!E$10)</f>
        <v>-445295.71697404876</v>
      </c>
      <c r="V50" s="241">
        <f>ECON_OUTPUT!Q50-U50</f>
        <v>964215.71697404876</v>
      </c>
      <c r="W50" s="241">
        <f t="shared" si="3"/>
        <v>964215.71697404876</v>
      </c>
      <c r="Y50" s="241"/>
      <c r="Z50" s="265">
        <v>766196.27453111601</v>
      </c>
      <c r="AA50" s="241">
        <f t="shared" si="5"/>
        <v>-181080</v>
      </c>
      <c r="AB50" s="241">
        <f t="shared" si="6"/>
        <v>181080</v>
      </c>
    </row>
    <row r="51" spans="10:28" x14ac:dyDescent="0.25">
      <c r="J51" s="241">
        <f>ECON_OUTPUT!G51</f>
        <v>670000</v>
      </c>
      <c r="K51" s="241">
        <f>ECON_OUTPUT!Q51</f>
        <v>914310</v>
      </c>
      <c r="L51" s="241">
        <f t="shared" si="0"/>
        <v>244310</v>
      </c>
      <c r="M51" s="241">
        <f t="shared" si="1"/>
        <v>244310</v>
      </c>
      <c r="O51" s="244">
        <f>IF(ECON_OUTPUT!BG51=5,ECON_OUTPUT!G51*(ECON_ASSUMPT!G$13),0)</f>
        <v>0</v>
      </c>
      <c r="P51" s="244">
        <f>IF(ECON_OUTPUT!BE51="Other",ECON_OUTPUT!G51*ECON_ASSUMPT!G$14,0)</f>
        <v>0</v>
      </c>
      <c r="Q51" s="241">
        <f>ECON_OUTPUT!G51+O51+P51</f>
        <v>670000</v>
      </c>
      <c r="R51" s="241">
        <f t="shared" si="4"/>
        <v>244310</v>
      </c>
      <c r="S51" s="241">
        <f t="shared" si="2"/>
        <v>244310</v>
      </c>
      <c r="U51" s="241">
        <f>ECON_ASSUMPT!E$4+(ECON_OUTPUT!G51*ECON_ASSUMPT!E$5)+(ECON_OUTPUT!BJ51*ECON_ASSUMPT!E$6)+(ECON_OUTPUT!BK51*ECON_ASSUMPT!E$7)+(ECON_OUTPUT!BL51*ECON_ASSUMPT!E$8)+(ECON_OUTPUT!BM51*ECON_ASSUMPT!E$9)+(ECON_OUTPUT!BN51*ECON_ASSUMPT!E$10)</f>
        <v>-471397.48849310051</v>
      </c>
      <c r="V51" s="241">
        <f>ECON_OUTPUT!Q51-U51</f>
        <v>1385707.4884931005</v>
      </c>
      <c r="W51" s="241">
        <f t="shared" si="3"/>
        <v>1385707.4884931005</v>
      </c>
      <c r="Y51" s="241"/>
      <c r="Z51" s="265">
        <v>34253.388114412999</v>
      </c>
      <c r="AA51" s="241">
        <f t="shared" si="5"/>
        <v>244310</v>
      </c>
      <c r="AB51" s="241">
        <f t="shared" si="6"/>
        <v>244310</v>
      </c>
    </row>
    <row r="52" spans="10:28" x14ac:dyDescent="0.25">
      <c r="J52" s="241">
        <f>ECON_OUTPUT!G52</f>
        <v>600000</v>
      </c>
      <c r="K52" s="241">
        <f>ECON_OUTPUT!Q52</f>
        <v>686000</v>
      </c>
      <c r="L52" s="241">
        <f t="shared" si="0"/>
        <v>86000</v>
      </c>
      <c r="M52" s="241">
        <f t="shared" si="1"/>
        <v>86000</v>
      </c>
      <c r="O52" s="244">
        <f>IF(ECON_OUTPUT!BG52=5,ECON_OUTPUT!G52*(ECON_ASSUMPT!G$13),0)</f>
        <v>0</v>
      </c>
      <c r="P52" s="244">
        <f>IF(ECON_OUTPUT!BE52="Other",ECON_OUTPUT!G52*ECON_ASSUMPT!G$14,0)</f>
        <v>0</v>
      </c>
      <c r="Q52" s="241">
        <f>ECON_OUTPUT!G52+O52+P52</f>
        <v>600000</v>
      </c>
      <c r="R52" s="241">
        <f t="shared" si="4"/>
        <v>86000</v>
      </c>
      <c r="S52" s="241">
        <f t="shared" si="2"/>
        <v>86000</v>
      </c>
      <c r="U52" s="241">
        <f>ECON_ASSUMPT!E$4+(ECON_OUTPUT!G52*ECON_ASSUMPT!E$5)+(ECON_OUTPUT!BJ52*ECON_ASSUMPT!E$6)+(ECON_OUTPUT!BK52*ECON_ASSUMPT!E$7)+(ECON_OUTPUT!BL52*ECON_ASSUMPT!E$8)+(ECON_OUTPUT!BM52*ECON_ASSUMPT!E$9)+(ECON_OUTPUT!BN52*ECON_ASSUMPT!E$10)</f>
        <v>-532301.62203755463</v>
      </c>
      <c r="V52" s="241">
        <f>ECON_OUTPUT!Q52-U52</f>
        <v>1218301.6220375546</v>
      </c>
      <c r="W52" s="241">
        <f t="shared" si="3"/>
        <v>1218301.6220375546</v>
      </c>
      <c r="Y52" s="241"/>
      <c r="Z52" s="265">
        <v>745135.69814716803</v>
      </c>
      <c r="AA52" s="241">
        <f t="shared" si="5"/>
        <v>86000</v>
      </c>
      <c r="AB52" s="241">
        <f t="shared" si="6"/>
        <v>86000</v>
      </c>
    </row>
    <row r="53" spans="10:28" x14ac:dyDescent="0.25">
      <c r="J53" s="241">
        <f>ECON_OUTPUT!G53</f>
        <v>1700000</v>
      </c>
      <c r="K53" s="241">
        <f>ECON_OUTPUT!Q53</f>
        <v>967120</v>
      </c>
      <c r="L53" s="241">
        <f t="shared" si="0"/>
        <v>-732880</v>
      </c>
      <c r="M53" s="241">
        <f t="shared" si="1"/>
        <v>732880</v>
      </c>
      <c r="O53" s="244">
        <f>IF(ECON_OUTPUT!BG53=5,ECON_OUTPUT!G53*(ECON_ASSUMPT!G$13),0)</f>
        <v>0</v>
      </c>
      <c r="P53" s="244">
        <f>IF(ECON_OUTPUT!BE53="Other",ECON_OUTPUT!G53*ECON_ASSUMPT!G$14,0)</f>
        <v>98960.423722141204</v>
      </c>
      <c r="Q53" s="241">
        <f>ECON_OUTPUT!G53+O53+P53</f>
        <v>1798960.4237221412</v>
      </c>
      <c r="R53" s="241">
        <f t="shared" si="4"/>
        <v>-831840.42372214119</v>
      </c>
      <c r="S53" s="241">
        <f t="shared" si="2"/>
        <v>831840.42372214119</v>
      </c>
      <c r="U53" s="241">
        <f>ECON_ASSUMPT!E$4+(ECON_OUTPUT!G53*ECON_ASSUMPT!E$5)+(ECON_OUTPUT!BJ53*ECON_ASSUMPT!E$6)+(ECON_OUTPUT!BK53*ECON_ASSUMPT!E$7)+(ECON_OUTPUT!BL53*ECON_ASSUMPT!E$8)+(ECON_OUTPUT!BM53*ECON_ASSUMPT!E$9)+(ECON_OUTPUT!BN53*ECON_ASSUMPT!E$10)</f>
        <v>2344481.0875007901</v>
      </c>
      <c r="V53" s="241">
        <f>ECON_OUTPUT!Q53-U53</f>
        <v>-1377361.0875007901</v>
      </c>
      <c r="W53" s="241">
        <f t="shared" si="3"/>
        <v>1377361.0875007901</v>
      </c>
      <c r="Y53" s="241"/>
      <c r="Z53" s="265">
        <v>2929002.4565696898</v>
      </c>
      <c r="AA53" s="241">
        <f t="shared" si="5"/>
        <v>-831840.42372214119</v>
      </c>
      <c r="AB53" s="241">
        <f t="shared" si="6"/>
        <v>831840.42372214119</v>
      </c>
    </row>
    <row r="54" spans="10:28" x14ac:dyDescent="0.25">
      <c r="J54" s="241">
        <f>ECON_OUTPUT!G54</f>
        <v>2000000</v>
      </c>
      <c r="K54" s="241">
        <f>ECON_OUTPUT!Q54</f>
        <v>4352800</v>
      </c>
      <c r="L54" s="241">
        <f t="shared" si="0"/>
        <v>2352800</v>
      </c>
      <c r="M54" s="241">
        <f t="shared" si="1"/>
        <v>2352800</v>
      </c>
      <c r="O54" s="244">
        <f>IF(ECON_OUTPUT!BG54=5,ECON_OUTPUT!G54*(ECON_ASSUMPT!G$13),0)</f>
        <v>0</v>
      </c>
      <c r="P54" s="244">
        <f>IF(ECON_OUTPUT!BE54="Other",ECON_OUTPUT!G54*ECON_ASSUMPT!G$14,0)</f>
        <v>0</v>
      </c>
      <c r="Q54" s="241">
        <f>ECON_OUTPUT!G54+O54+P54</f>
        <v>2000000</v>
      </c>
      <c r="R54" s="241">
        <f t="shared" si="4"/>
        <v>2352800</v>
      </c>
      <c r="S54" s="241">
        <f t="shared" si="2"/>
        <v>2352800</v>
      </c>
      <c r="U54" s="241">
        <f>ECON_ASSUMPT!E$4+(ECON_OUTPUT!G54*ECON_ASSUMPT!E$5)+(ECON_OUTPUT!BJ54*ECON_ASSUMPT!E$6)+(ECON_OUTPUT!BK54*ECON_ASSUMPT!E$7)+(ECON_OUTPUT!BL54*ECON_ASSUMPT!E$8)+(ECON_OUTPUT!BM54*ECON_ASSUMPT!E$9)+(ECON_OUTPUT!BN54*ECON_ASSUMPT!E$10)</f>
        <v>2058731.3110846176</v>
      </c>
      <c r="V54" s="241">
        <f>ECON_OUTPUT!Q54-U54</f>
        <v>2294068.6889153821</v>
      </c>
      <c r="W54" s="241">
        <f t="shared" si="3"/>
        <v>2294068.6889153821</v>
      </c>
      <c r="Y54" s="241"/>
      <c r="Z54" s="265">
        <v>2748434.3617314999</v>
      </c>
      <c r="AA54" s="241">
        <f t="shared" si="5"/>
        <v>2352800</v>
      </c>
      <c r="AB54" s="241">
        <f t="shared" si="6"/>
        <v>2352800</v>
      </c>
    </row>
    <row r="55" spans="10:28" x14ac:dyDescent="0.25">
      <c r="J55" s="241">
        <f>ECON_OUTPUT!G55</f>
        <v>4000000</v>
      </c>
      <c r="K55" s="241">
        <f>ECON_OUTPUT!Q55</f>
        <v>4691500</v>
      </c>
      <c r="L55" s="241">
        <f t="shared" si="0"/>
        <v>691500</v>
      </c>
      <c r="M55" s="241">
        <f t="shared" si="1"/>
        <v>691500</v>
      </c>
      <c r="O55" s="244">
        <f>IF(ECON_OUTPUT!BG55=5,ECON_OUTPUT!G55*(ECON_ASSUMPT!G$13),0)</f>
        <v>0</v>
      </c>
      <c r="P55" s="244">
        <f>IF(ECON_OUTPUT!BE55="Other",ECON_OUTPUT!G55*ECON_ASSUMPT!G$14,0)</f>
        <v>0</v>
      </c>
      <c r="Q55" s="241">
        <f>ECON_OUTPUT!G55+O55+P55</f>
        <v>4000000</v>
      </c>
      <c r="R55" s="241">
        <f t="shared" si="4"/>
        <v>691500</v>
      </c>
      <c r="S55" s="241">
        <f t="shared" si="2"/>
        <v>691500</v>
      </c>
      <c r="U55" s="241">
        <f>ECON_ASSUMPT!E$4+(ECON_OUTPUT!G55*ECON_ASSUMPT!E$5)+(ECON_OUTPUT!BJ55*ECON_ASSUMPT!E$6)+(ECON_OUTPUT!BK55*ECON_ASSUMPT!E$7)+(ECON_OUTPUT!BL55*ECON_ASSUMPT!E$8)+(ECON_OUTPUT!BM55*ECON_ASSUMPT!E$9)+(ECON_OUTPUT!BN55*ECON_ASSUMPT!E$10)</f>
        <v>3891415.7118542856</v>
      </c>
      <c r="V55" s="241">
        <f>ECON_OUTPUT!Q55-U55</f>
        <v>800084.28814571444</v>
      </c>
      <c r="W55" s="241">
        <f t="shared" si="3"/>
        <v>800084.28814571444</v>
      </c>
      <c r="Y55" s="241"/>
      <c r="Z55" s="265">
        <v>4381635.9295525802</v>
      </c>
      <c r="AA55" s="241">
        <f t="shared" si="5"/>
        <v>691500</v>
      </c>
      <c r="AB55" s="241">
        <f t="shared" si="6"/>
        <v>691500</v>
      </c>
    </row>
    <row r="56" spans="10:28" x14ac:dyDescent="0.25">
      <c r="J56" s="241">
        <f>ECON_OUTPUT!G56</f>
        <v>1930000</v>
      </c>
      <c r="K56" s="241">
        <f>ECON_OUTPUT!Q56</f>
        <v>2587000</v>
      </c>
      <c r="L56" s="241">
        <f t="shared" si="0"/>
        <v>657000</v>
      </c>
      <c r="M56" s="241">
        <f t="shared" si="1"/>
        <v>657000</v>
      </c>
      <c r="O56" s="244">
        <f>IF(ECON_OUTPUT!BG56=5,ECON_OUTPUT!G56*(ECON_ASSUMPT!G$13),0)</f>
        <v>0</v>
      </c>
      <c r="P56" s="244">
        <f>IF(ECON_OUTPUT!BE56="Other",ECON_OUTPUT!G56*ECON_ASSUMPT!G$14,0)</f>
        <v>112349.18693160736</v>
      </c>
      <c r="Q56" s="241">
        <f>ECON_OUTPUT!G56+O56+P56</f>
        <v>2042349.1869316073</v>
      </c>
      <c r="R56" s="241">
        <f t="shared" si="4"/>
        <v>544650.81306839269</v>
      </c>
      <c r="S56" s="241">
        <f t="shared" si="2"/>
        <v>544650.81306839269</v>
      </c>
      <c r="U56" s="241">
        <f>ECON_ASSUMPT!E$4+(ECON_OUTPUT!G56*ECON_ASSUMPT!E$5)+(ECON_OUTPUT!BJ56*ECON_ASSUMPT!E$6)+(ECON_OUTPUT!BK56*ECON_ASSUMPT!E$7)+(ECON_OUTPUT!BL56*ECON_ASSUMPT!E$8)+(ECON_OUTPUT!BM56*ECON_ASSUMPT!E$9)+(ECON_OUTPUT!BN56*ECON_ASSUMPT!E$10)</f>
        <v>3917544.9313799436</v>
      </c>
      <c r="V56" s="241">
        <f>ECON_OUTPUT!Q56-U56</f>
        <v>-1330544.9313799436</v>
      </c>
      <c r="W56" s="241">
        <f t="shared" si="3"/>
        <v>1330544.9313799436</v>
      </c>
      <c r="Y56" s="241"/>
      <c r="Z56" s="265">
        <v>4009688.2602952202</v>
      </c>
      <c r="AA56" s="241">
        <f t="shared" si="5"/>
        <v>544650.81306839269</v>
      </c>
      <c r="AB56" s="241">
        <f t="shared" si="6"/>
        <v>544650.81306839269</v>
      </c>
    </row>
    <row r="57" spans="10:28" x14ac:dyDescent="0.25">
      <c r="J57" s="241">
        <f>ECON_OUTPUT!G57</f>
        <v>2800000</v>
      </c>
      <c r="K57" s="241">
        <f>ECON_OUTPUT!Q57</f>
        <v>4199650</v>
      </c>
      <c r="L57" s="241">
        <f t="shared" si="0"/>
        <v>1399650</v>
      </c>
      <c r="M57" s="241">
        <f t="shared" si="1"/>
        <v>1399650</v>
      </c>
      <c r="O57" s="244">
        <f>IF(ECON_OUTPUT!BG57=5,ECON_OUTPUT!G57*(ECON_ASSUMPT!G$13),0)</f>
        <v>0</v>
      </c>
      <c r="P57" s="244">
        <f>IF(ECON_OUTPUT!BE57="Other",ECON_OUTPUT!G57*ECON_ASSUMPT!G$14,0)</f>
        <v>0</v>
      </c>
      <c r="Q57" s="241">
        <f>ECON_OUTPUT!G57+O57+P57</f>
        <v>2800000</v>
      </c>
      <c r="R57" s="241">
        <f t="shared" si="4"/>
        <v>1399650</v>
      </c>
      <c r="S57" s="241">
        <f t="shared" si="2"/>
        <v>1399650</v>
      </c>
      <c r="U57" s="241">
        <f>ECON_ASSUMPT!E$4+(ECON_OUTPUT!G57*ECON_ASSUMPT!E$5)+(ECON_OUTPUT!BJ57*ECON_ASSUMPT!E$6)+(ECON_OUTPUT!BK57*ECON_ASSUMPT!E$7)+(ECON_OUTPUT!BL57*ECON_ASSUMPT!E$8)+(ECON_OUTPUT!BM57*ECON_ASSUMPT!E$9)+(ECON_OUTPUT!BN57*ECON_ASSUMPT!E$10)</f>
        <v>2754778.5515926648</v>
      </c>
      <c r="V57" s="241">
        <f>ECON_OUTPUT!Q57-U57</f>
        <v>1444871.4484073352</v>
      </c>
      <c r="W57" s="241">
        <f t="shared" si="3"/>
        <v>1444871.4484073352</v>
      </c>
      <c r="Y57" s="241"/>
      <c r="Z57" s="265">
        <v>2964247.7230282198</v>
      </c>
      <c r="AA57" s="241">
        <f t="shared" si="5"/>
        <v>1399650</v>
      </c>
      <c r="AB57" s="241">
        <f t="shared" si="6"/>
        <v>1399650</v>
      </c>
    </row>
    <row r="58" spans="10:28" x14ac:dyDescent="0.25">
      <c r="J58" s="241">
        <f>ECON_OUTPUT!G58</f>
        <v>2253000</v>
      </c>
      <c r="K58" s="241">
        <f>ECON_OUTPUT!Q58</f>
        <v>2702598</v>
      </c>
      <c r="L58" s="241">
        <f t="shared" si="0"/>
        <v>449598</v>
      </c>
      <c r="M58" s="241">
        <f t="shared" si="1"/>
        <v>449598</v>
      </c>
      <c r="O58" s="244">
        <f>IF(ECON_OUTPUT!BG58=5,ECON_OUTPUT!G58*(ECON_ASSUMPT!G$13),0)</f>
        <v>0</v>
      </c>
      <c r="P58" s="244">
        <f>IF(ECON_OUTPUT!BE58="Other",ECON_OUTPUT!G58*ECON_ASSUMPT!G$14,0)</f>
        <v>131151.66743881418</v>
      </c>
      <c r="Q58" s="241">
        <f>ECON_OUTPUT!G58+O58+P58</f>
        <v>2384151.6674388144</v>
      </c>
      <c r="R58" s="241">
        <f t="shared" si="4"/>
        <v>318446.33256118558</v>
      </c>
      <c r="S58" s="241">
        <f t="shared" si="2"/>
        <v>318446.33256118558</v>
      </c>
      <c r="U58" s="241">
        <f>ECON_ASSUMPT!E$4+(ECON_OUTPUT!G58*ECON_ASSUMPT!E$5)+(ECON_OUTPUT!BJ58*ECON_ASSUMPT!E$6)+(ECON_OUTPUT!BK58*ECON_ASSUMPT!E$7)+(ECON_OUTPUT!BL58*ECON_ASSUMPT!E$8)+(ECON_OUTPUT!BM58*ECON_ASSUMPT!E$9)+(ECON_OUTPUT!BN58*ECON_ASSUMPT!E$10)</f>
        <v>4198574.0047350675</v>
      </c>
      <c r="V58" s="241">
        <f>ECON_OUTPUT!Q58-U58</f>
        <v>-1495976.0047350675</v>
      </c>
      <c r="W58" s="241">
        <f t="shared" si="3"/>
        <v>1495976.0047350675</v>
      </c>
      <c r="Y58" s="241"/>
      <c r="Z58" s="265">
        <v>5079202.7241080496</v>
      </c>
      <c r="AA58" s="241">
        <f t="shared" si="5"/>
        <v>318446.33256118558</v>
      </c>
      <c r="AB58" s="241">
        <f t="shared" si="6"/>
        <v>318446.33256118558</v>
      </c>
    </row>
    <row r="59" spans="10:28" x14ac:dyDescent="0.25">
      <c r="J59" s="241">
        <f>ECON_OUTPUT!G59</f>
        <v>1800000</v>
      </c>
      <c r="K59" s="241">
        <f>ECON_OUTPUT!Q59</f>
        <v>1992121</v>
      </c>
      <c r="L59" s="241">
        <f t="shared" si="0"/>
        <v>192121</v>
      </c>
      <c r="M59" s="241">
        <f t="shared" si="1"/>
        <v>192121</v>
      </c>
      <c r="O59" s="244">
        <f>IF(ECON_OUTPUT!BG59=5,ECON_OUTPUT!G59*(ECON_ASSUMPT!G$13),0)</f>
        <v>0</v>
      </c>
      <c r="P59" s="244">
        <f>IF(ECON_OUTPUT!BE59="Other",ECON_OUTPUT!G59*ECON_ASSUMPT!G$14,0)</f>
        <v>0</v>
      </c>
      <c r="Q59" s="241">
        <f>ECON_OUTPUT!G59+O59+P59</f>
        <v>1800000</v>
      </c>
      <c r="R59" s="241">
        <f t="shared" si="4"/>
        <v>192121</v>
      </c>
      <c r="S59" s="241">
        <f t="shared" si="2"/>
        <v>192121</v>
      </c>
      <c r="U59" s="241">
        <f>ECON_ASSUMPT!E$4+(ECON_OUTPUT!G59*ECON_ASSUMPT!E$5)+(ECON_OUTPUT!BJ59*ECON_ASSUMPT!E$6)+(ECON_OUTPUT!BK59*ECON_ASSUMPT!E$7)+(ECON_OUTPUT!BL59*ECON_ASSUMPT!E$8)+(ECON_OUTPUT!BM59*ECON_ASSUMPT!E$9)+(ECON_OUTPUT!BN59*ECON_ASSUMPT!E$10)</f>
        <v>1143135.949621802</v>
      </c>
      <c r="V59" s="241">
        <f>ECON_OUTPUT!Q59-U59</f>
        <v>848985.05037819804</v>
      </c>
      <c r="W59" s="241">
        <f t="shared" si="3"/>
        <v>848985.05037819804</v>
      </c>
      <c r="Y59" s="241"/>
      <c r="Z59" s="265">
        <v>2466722.8547436101</v>
      </c>
      <c r="AA59" s="241">
        <f t="shared" si="5"/>
        <v>192121</v>
      </c>
      <c r="AB59" s="241">
        <f t="shared" si="6"/>
        <v>192121</v>
      </c>
    </row>
    <row r="60" spans="10:28" x14ac:dyDescent="0.25">
      <c r="J60" s="241">
        <f>ECON_OUTPUT!G60</f>
        <v>1636000</v>
      </c>
      <c r="K60" s="241">
        <f>ECON_OUTPUT!Q60</f>
        <v>1555556</v>
      </c>
      <c r="L60" s="241">
        <f t="shared" si="0"/>
        <v>-80444</v>
      </c>
      <c r="M60" s="241">
        <f t="shared" si="1"/>
        <v>80444</v>
      </c>
      <c r="O60" s="244">
        <f>IF(ECON_OUTPUT!BG60=5,ECON_OUTPUT!G60*(ECON_ASSUMPT!G$13),0)</f>
        <v>0</v>
      </c>
      <c r="P60" s="244">
        <f>IF(ECON_OUTPUT!BE60="Other",ECON_OUTPUT!G60*ECON_ASSUMPT!G$14,0)</f>
        <v>95234.854829072356</v>
      </c>
      <c r="Q60" s="241">
        <f>ECON_OUTPUT!G60+O60+P60</f>
        <v>1731234.8548290723</v>
      </c>
      <c r="R60" s="241">
        <f t="shared" si="4"/>
        <v>-175678.85482907225</v>
      </c>
      <c r="S60" s="241">
        <f t="shared" si="2"/>
        <v>175678.85482907225</v>
      </c>
      <c r="U60" s="241">
        <f>ECON_ASSUMPT!E$4+(ECON_OUTPUT!G60*ECON_ASSUMPT!E$5)+(ECON_OUTPUT!BJ60*ECON_ASSUMPT!E$6)+(ECON_OUTPUT!BK60*ECON_ASSUMPT!E$7)+(ECON_OUTPUT!BL60*ECON_ASSUMPT!E$8)+(ECON_OUTPUT!BM60*ECON_ASSUMPT!E$9)+(ECON_OUTPUT!BN60*ECON_ASSUMPT!E$10)</f>
        <v>2920164.0191574325</v>
      </c>
      <c r="V60" s="241">
        <f>ECON_OUTPUT!Q60-U60</f>
        <v>-1364608.0191574325</v>
      </c>
      <c r="W60" s="241">
        <f t="shared" si="3"/>
        <v>1364608.0191574325</v>
      </c>
      <c r="Y60" s="241"/>
      <c r="Z60" s="265">
        <v>4894591.4208973199</v>
      </c>
      <c r="AA60" s="241">
        <f t="shared" si="5"/>
        <v>-175678.85482907225</v>
      </c>
      <c r="AB60" s="241">
        <f t="shared" si="6"/>
        <v>175678.85482907225</v>
      </c>
    </row>
    <row r="61" spans="10:28" x14ac:dyDescent="0.25">
      <c r="J61" s="241">
        <f>ECON_OUTPUT!G61</f>
        <v>1750000</v>
      </c>
      <c r="K61" s="241">
        <f>ECON_OUTPUT!Q61</f>
        <v>1978000</v>
      </c>
      <c r="L61" s="241">
        <f t="shared" si="0"/>
        <v>228000</v>
      </c>
      <c r="M61" s="241">
        <f t="shared" si="1"/>
        <v>228000</v>
      </c>
      <c r="O61" s="244">
        <f>IF(ECON_OUTPUT!BG61=5,ECON_OUTPUT!G61*(ECON_ASSUMPT!G$13),0)</f>
        <v>0</v>
      </c>
      <c r="P61" s="244">
        <f>IF(ECON_OUTPUT!BE61="Other",ECON_OUTPUT!G61*ECON_ASSUMPT!G$14,0)</f>
        <v>0</v>
      </c>
      <c r="Q61" s="241">
        <f>ECON_OUTPUT!G61+O61+P61</f>
        <v>1750000</v>
      </c>
      <c r="R61" s="241">
        <f t="shared" si="4"/>
        <v>228000</v>
      </c>
      <c r="S61" s="241">
        <f t="shared" si="2"/>
        <v>228000</v>
      </c>
      <c r="U61" s="241">
        <f>ECON_ASSUMPT!E$4+(ECON_OUTPUT!G61*ECON_ASSUMPT!E$5)+(ECON_OUTPUT!BJ61*ECON_ASSUMPT!E$6)+(ECON_OUTPUT!BK61*ECON_ASSUMPT!E$7)+(ECON_OUTPUT!BL61*ECON_ASSUMPT!E$8)+(ECON_OUTPUT!BM61*ECON_ASSUMPT!E$9)+(ECON_OUTPUT!BN61*ECON_ASSUMPT!E$10)</f>
        <v>1099632.9970900491</v>
      </c>
      <c r="V61" s="241">
        <f>ECON_OUTPUT!Q61-U61</f>
        <v>878367.00290995091</v>
      </c>
      <c r="W61" s="241">
        <f t="shared" si="3"/>
        <v>878367.00290995091</v>
      </c>
      <c r="Y61" s="241"/>
      <c r="Z61" s="265">
        <v>2976478.0433870102</v>
      </c>
      <c r="AA61" s="241">
        <f t="shared" si="5"/>
        <v>228000</v>
      </c>
      <c r="AB61" s="241">
        <f t="shared" si="6"/>
        <v>228000</v>
      </c>
    </row>
    <row r="62" spans="10:28" x14ac:dyDescent="0.25">
      <c r="J62" s="241">
        <f>ECON_OUTPUT!G62</f>
        <v>800000</v>
      </c>
      <c r="K62" s="241">
        <f>ECON_OUTPUT!Q62</f>
        <v>685749</v>
      </c>
      <c r="L62" s="241">
        <f t="shared" si="0"/>
        <v>-114251</v>
      </c>
      <c r="M62" s="241">
        <f t="shared" si="1"/>
        <v>114251</v>
      </c>
      <c r="O62" s="244">
        <f>IF(ECON_OUTPUT!BG62=5,ECON_OUTPUT!G62*(ECON_ASSUMPT!G$13),0)</f>
        <v>0</v>
      </c>
      <c r="P62" s="244">
        <f>IF(ECON_OUTPUT!BE62="Other",ECON_OUTPUT!G62*ECON_ASSUMPT!G$14,0)</f>
        <v>46569.611163360561</v>
      </c>
      <c r="Q62" s="241">
        <f>ECON_OUTPUT!G62+O62+P62</f>
        <v>846569.61116336053</v>
      </c>
      <c r="R62" s="241">
        <f t="shared" si="4"/>
        <v>-160820.61116336053</v>
      </c>
      <c r="S62" s="241">
        <f t="shared" si="2"/>
        <v>160820.61116336053</v>
      </c>
      <c r="U62" s="241">
        <f>ECON_ASSUMPT!E$4+(ECON_OUTPUT!G62*ECON_ASSUMPT!E$5)+(ECON_OUTPUT!BJ62*ECON_ASSUMPT!E$6)+(ECON_OUTPUT!BK62*ECON_ASSUMPT!E$7)+(ECON_OUTPUT!BL62*ECON_ASSUMPT!E$8)+(ECON_OUTPUT!BM62*ECON_ASSUMPT!E$9)+(ECON_OUTPUT!BN62*ECON_ASSUMPT!E$10)</f>
        <v>1561427.9419292372</v>
      </c>
      <c r="V62" s="241">
        <f>ECON_OUTPUT!Q62-U62</f>
        <v>-875678.94192923722</v>
      </c>
      <c r="W62" s="241">
        <f t="shared" si="3"/>
        <v>875678.94192923722</v>
      </c>
      <c r="Y62" s="241"/>
      <c r="Z62" s="265">
        <v>3571188.72111755</v>
      </c>
      <c r="AA62" s="241">
        <f t="shared" si="5"/>
        <v>-160820.61116336053</v>
      </c>
      <c r="AB62" s="241">
        <f t="shared" si="6"/>
        <v>160820.61116336053</v>
      </c>
    </row>
    <row r="63" spans="10:28" x14ac:dyDescent="0.25">
      <c r="J63" s="241">
        <f>ECON_OUTPUT!G63</f>
        <v>1450000</v>
      </c>
      <c r="K63" s="241">
        <f>ECON_OUTPUT!Q63</f>
        <v>1291760</v>
      </c>
      <c r="L63" s="241">
        <f t="shared" si="0"/>
        <v>-158240</v>
      </c>
      <c r="M63" s="241">
        <f t="shared" si="1"/>
        <v>158240</v>
      </c>
      <c r="O63" s="244">
        <f>IF(ECON_OUTPUT!BG63=5,ECON_OUTPUT!G63*(ECON_ASSUMPT!G$13),0)</f>
        <v>0</v>
      </c>
      <c r="P63" s="244">
        <f>IF(ECON_OUTPUT!BE63="Other",ECON_OUTPUT!G63*ECON_ASSUMPT!G$14,0)</f>
        <v>0</v>
      </c>
      <c r="Q63" s="241">
        <f>ECON_OUTPUT!G63+O63+P63</f>
        <v>1450000</v>
      </c>
      <c r="R63" s="241">
        <f t="shared" si="4"/>
        <v>-158240</v>
      </c>
      <c r="S63" s="241">
        <f t="shared" si="2"/>
        <v>158240</v>
      </c>
      <c r="U63" s="241">
        <f>ECON_ASSUMPT!E$4+(ECON_OUTPUT!G63*ECON_ASSUMPT!E$5)+(ECON_OUTPUT!BJ63*ECON_ASSUMPT!E$6)+(ECON_OUTPUT!BK63*ECON_ASSUMPT!E$7)+(ECON_OUTPUT!BL63*ECON_ASSUMPT!E$8)+(ECON_OUTPUT!BM63*ECON_ASSUMPT!E$9)+(ECON_OUTPUT!BN63*ECON_ASSUMPT!E$10)</f>
        <v>207248.57100224542</v>
      </c>
      <c r="V63" s="241">
        <f>ECON_OUTPUT!Q63-U63</f>
        <v>1084511.4289977546</v>
      </c>
      <c r="W63" s="241">
        <f t="shared" si="3"/>
        <v>1084511.4289977546</v>
      </c>
      <c r="Y63" s="241"/>
      <c r="Z63" s="265">
        <v>1772130.59040492</v>
      </c>
      <c r="AA63" s="241">
        <f t="shared" si="5"/>
        <v>-158240</v>
      </c>
      <c r="AB63" s="241">
        <f t="shared" si="6"/>
        <v>158240</v>
      </c>
    </row>
    <row r="64" spans="10:28" x14ac:dyDescent="0.25">
      <c r="J64" s="241">
        <f>ECON_OUTPUT!G64</f>
        <v>6120000</v>
      </c>
      <c r="K64" s="241">
        <f>ECON_OUTPUT!Q64</f>
        <v>4753054</v>
      </c>
      <c r="L64" s="241">
        <f t="shared" si="0"/>
        <v>-1366946</v>
      </c>
      <c r="M64" s="241">
        <f t="shared" si="1"/>
        <v>1366946</v>
      </c>
      <c r="O64" s="244">
        <f>IF(ECON_OUTPUT!BG64=5,ECON_OUTPUT!G64*(ECON_ASSUMPT!G$13),0)</f>
        <v>0</v>
      </c>
      <c r="P64" s="244">
        <f>IF(ECON_OUTPUT!BE64="Other",ECON_OUTPUT!G64*ECON_ASSUMPT!G$14,0)</f>
        <v>0</v>
      </c>
      <c r="Q64" s="241">
        <f>ECON_OUTPUT!G64+O64+P64</f>
        <v>6120000</v>
      </c>
      <c r="R64" s="241">
        <f t="shared" si="4"/>
        <v>-1366946</v>
      </c>
      <c r="S64" s="241">
        <f t="shared" si="2"/>
        <v>1366946</v>
      </c>
      <c r="U64" s="241">
        <f>ECON_ASSUMPT!E$4+(ECON_OUTPUT!G64*ECON_ASSUMPT!E$5)+(ECON_OUTPUT!BJ64*ECON_ASSUMPT!E$6)+(ECON_OUTPUT!BK64*ECON_ASSUMPT!E$7)+(ECON_OUTPUT!BL64*ECON_ASSUMPT!E$8)+(ECON_OUTPUT!BM64*ECON_ASSUMPT!E$9)+(ECON_OUTPUT!BN64*ECON_ASSUMPT!E$10)</f>
        <v>5735940.8992006108</v>
      </c>
      <c r="V64" s="241">
        <f>ECON_OUTPUT!Q64-U64</f>
        <v>-982886.89920061082</v>
      </c>
      <c r="W64" s="241">
        <f t="shared" si="3"/>
        <v>982886.89920061082</v>
      </c>
      <c r="Y64" s="241"/>
      <c r="Z64" s="265">
        <v>7526130.61914506</v>
      </c>
      <c r="AA64" s="241">
        <f t="shared" si="5"/>
        <v>-1366946</v>
      </c>
      <c r="AB64" s="241">
        <f t="shared" si="6"/>
        <v>1366946</v>
      </c>
    </row>
    <row r="65" spans="10:28" x14ac:dyDescent="0.25">
      <c r="J65" s="241">
        <f>ECON_OUTPUT!G65</f>
        <v>230000</v>
      </c>
      <c r="K65" s="241">
        <f>ECON_OUTPUT!Q65</f>
        <v>395000</v>
      </c>
      <c r="L65" s="241">
        <f t="shared" si="0"/>
        <v>165000</v>
      </c>
      <c r="M65" s="241">
        <f t="shared" si="1"/>
        <v>165000</v>
      </c>
      <c r="O65" s="244">
        <f>IF(ECON_OUTPUT!BG65=5,ECON_OUTPUT!G65*(ECON_ASSUMPT!G$13),0)</f>
        <v>0</v>
      </c>
      <c r="P65" s="244">
        <f>IF(ECON_OUTPUT!BE65="Other",ECON_OUTPUT!G65*ECON_ASSUMPT!G$14,0)</f>
        <v>13388.763209466162</v>
      </c>
      <c r="Q65" s="241">
        <f>ECON_OUTPUT!G65+O65+P65</f>
        <v>243388.76320946615</v>
      </c>
      <c r="R65" s="241">
        <f t="shared" si="4"/>
        <v>151611.23679053385</v>
      </c>
      <c r="S65" s="241">
        <f t="shared" si="2"/>
        <v>151611.23679053385</v>
      </c>
      <c r="U65" s="241">
        <f>ECON_ASSUMPT!E$4+(ECON_OUTPUT!G65*ECON_ASSUMPT!E$5)+(ECON_OUTPUT!BJ65*ECON_ASSUMPT!E$6)+(ECON_OUTPUT!BK65*ECON_ASSUMPT!E$7)+(ECON_OUTPUT!BL65*ECON_ASSUMPT!E$8)+(ECON_OUTPUT!BM65*ECON_ASSUMPT!E$9)+(ECON_OUTPUT!BN65*ECON_ASSUMPT!E$10)</f>
        <v>1065494.2830672537</v>
      </c>
      <c r="V65" s="241">
        <f>ECON_OUTPUT!Q65-U65</f>
        <v>-670494.28306725365</v>
      </c>
      <c r="W65" s="241">
        <f t="shared" si="3"/>
        <v>670494.28306725365</v>
      </c>
      <c r="Y65" s="241"/>
      <c r="Z65" s="265">
        <v>2226500.0568023901</v>
      </c>
      <c r="AA65" s="241">
        <f t="shared" si="5"/>
        <v>151611.23679053385</v>
      </c>
      <c r="AB65" s="241">
        <f t="shared" si="6"/>
        <v>151611.23679053385</v>
      </c>
    </row>
    <row r="66" spans="10:28" x14ac:dyDescent="0.25">
      <c r="J66" s="241">
        <f>ECON_OUTPUT!G66</f>
        <v>2000000</v>
      </c>
      <c r="K66" s="241">
        <f>ECON_OUTPUT!Q66</f>
        <v>1500000</v>
      </c>
      <c r="L66" s="241">
        <f t="shared" ref="L66:L129" si="8">$K66-J66</f>
        <v>-500000</v>
      </c>
      <c r="M66" s="241">
        <f t="shared" ref="M66:M129" si="9">ABS(L66)</f>
        <v>500000</v>
      </c>
      <c r="O66" s="244">
        <f>IF(ECON_OUTPUT!BG66=5,ECON_OUTPUT!G66*(ECON_ASSUMPT!G$13),0)</f>
        <v>0</v>
      </c>
      <c r="P66" s="244">
        <f>IF(ECON_OUTPUT!BE66="Other",ECON_OUTPUT!G66*ECON_ASSUMPT!G$14,0)</f>
        <v>0</v>
      </c>
      <c r="Q66" s="241">
        <f>ECON_OUTPUT!G66+O66+P66</f>
        <v>2000000</v>
      </c>
      <c r="R66" s="241">
        <f t="shared" si="4"/>
        <v>-500000</v>
      </c>
      <c r="S66" s="241">
        <f t="shared" ref="S66:S129" si="10">ABS(R66)</f>
        <v>500000</v>
      </c>
      <c r="U66" s="241">
        <f>ECON_ASSUMPT!E$4+(ECON_OUTPUT!G66*ECON_ASSUMPT!E$5)+(ECON_OUTPUT!BJ66*ECON_ASSUMPT!E$6)+(ECON_OUTPUT!BK66*ECON_ASSUMPT!E$7)+(ECON_OUTPUT!BL66*ECON_ASSUMPT!E$8)+(ECON_OUTPUT!BM66*ECON_ASSUMPT!E$9)+(ECON_OUTPUT!BN66*ECON_ASSUMPT!E$10)</f>
        <v>1317147.7597488137</v>
      </c>
      <c r="V66" s="241">
        <f>ECON_OUTPUT!Q66-U66</f>
        <v>182852.2402511863</v>
      </c>
      <c r="W66" s="241">
        <f t="shared" ref="W66:W129" si="11">ABS(V66)</f>
        <v>182852.2402511863</v>
      </c>
      <c r="Y66" s="241"/>
      <c r="Z66" s="265">
        <v>3429086.8254115698</v>
      </c>
      <c r="AA66" s="241">
        <f t="shared" si="5"/>
        <v>-500000</v>
      </c>
      <c r="AB66" s="241">
        <f t="shared" si="6"/>
        <v>500000</v>
      </c>
    </row>
    <row r="67" spans="10:28" x14ac:dyDescent="0.25">
      <c r="J67" s="241">
        <f>ECON_OUTPUT!G67</f>
        <v>73640000</v>
      </c>
      <c r="K67" s="241">
        <f>ECON_OUTPUT!Q67</f>
        <v>81159000</v>
      </c>
      <c r="L67" s="241">
        <f t="shared" si="8"/>
        <v>7519000</v>
      </c>
      <c r="M67" s="241">
        <f t="shared" si="9"/>
        <v>7519000</v>
      </c>
      <c r="O67" s="244">
        <f>IF(ECON_OUTPUT!BG67=5,ECON_OUTPUT!G67*(ECON_ASSUMPT!G$13),0)</f>
        <v>2287280.0811122078</v>
      </c>
      <c r="P67" s="244">
        <f>IF(ECON_OUTPUT!BE67="Other",ECON_OUTPUT!G67*ECON_ASSUMPT!G$14,0)</f>
        <v>4286732.7075873399</v>
      </c>
      <c r="Q67" s="241">
        <f>ECON_OUTPUT!G67+O67+P67</f>
        <v>80214012.788699552</v>
      </c>
      <c r="R67" s="241">
        <f t="shared" ref="R67:R130" si="12">$K67-Q67</f>
        <v>944987.21130044758</v>
      </c>
      <c r="S67" s="241">
        <f t="shared" si="10"/>
        <v>944987.21130044758</v>
      </c>
      <c r="U67" s="241">
        <f>ECON_ASSUMPT!E$4+(ECON_OUTPUT!G67*ECON_ASSUMPT!E$5)+(ECON_OUTPUT!BJ67*ECON_ASSUMPT!E$6)+(ECON_OUTPUT!BK67*ECON_ASSUMPT!E$7)+(ECON_OUTPUT!BL67*ECON_ASSUMPT!E$8)+(ECON_OUTPUT!BM67*ECON_ASSUMPT!E$9)+(ECON_OUTPUT!BN67*ECON_ASSUMPT!E$10)</f>
        <v>68784306.304895133</v>
      </c>
      <c r="V67" s="241">
        <f>ECON_OUTPUT!Q67-U67</f>
        <v>12374693.695104867</v>
      </c>
      <c r="W67" s="241">
        <f t="shared" si="11"/>
        <v>12374693.695104867</v>
      </c>
      <c r="Y67" s="241"/>
      <c r="Z67" s="265">
        <v>69754956.397015601</v>
      </c>
      <c r="AA67" s="241">
        <f t="shared" ref="AA67:AA130" si="13">$K67-Q67</f>
        <v>944987.21130044758</v>
      </c>
      <c r="AB67" s="241">
        <f t="shared" ref="AB67:AB130" si="14">ABS(AA67)</f>
        <v>944987.21130044758</v>
      </c>
    </row>
    <row r="68" spans="10:28" x14ac:dyDescent="0.25">
      <c r="J68" s="241">
        <f>ECON_OUTPUT!G68</f>
        <v>3120000</v>
      </c>
      <c r="K68" s="241">
        <f>ECON_OUTPUT!Q68</f>
        <v>2381070</v>
      </c>
      <c r="L68" s="241">
        <f t="shared" si="8"/>
        <v>-738930</v>
      </c>
      <c r="M68" s="241">
        <f t="shared" si="9"/>
        <v>738930</v>
      </c>
      <c r="O68" s="244">
        <f>IF(ECON_OUTPUT!BG68=5,ECON_OUTPUT!G68*(ECON_ASSUMPT!G$13),0)</f>
        <v>0</v>
      </c>
      <c r="P68" s="244">
        <f>IF(ECON_OUTPUT!BE68="Other",ECON_OUTPUT!G68*ECON_ASSUMPT!G$14,0)</f>
        <v>0</v>
      </c>
      <c r="Q68" s="241">
        <f>ECON_OUTPUT!G68+O68+P68</f>
        <v>3120000</v>
      </c>
      <c r="R68" s="241">
        <f t="shared" si="12"/>
        <v>-738930</v>
      </c>
      <c r="S68" s="241">
        <f t="shared" si="10"/>
        <v>738930</v>
      </c>
      <c r="U68" s="241">
        <f>ECON_ASSUMPT!E$4+(ECON_OUTPUT!G68*ECON_ASSUMPT!E$5)+(ECON_OUTPUT!BJ68*ECON_ASSUMPT!E$6)+(ECON_OUTPUT!BK68*ECON_ASSUMPT!E$7)+(ECON_OUTPUT!BL68*ECON_ASSUMPT!E$8)+(ECON_OUTPUT!BM68*ECON_ASSUMPT!E$9)+(ECON_OUTPUT!BN68*ECON_ASSUMPT!E$10)</f>
        <v>2291613.8964600801</v>
      </c>
      <c r="V68" s="241">
        <f>ECON_OUTPUT!Q68-U68</f>
        <v>89456.103539919946</v>
      </c>
      <c r="W68" s="241">
        <f t="shared" si="11"/>
        <v>89456.103539919946</v>
      </c>
      <c r="Y68" s="241"/>
      <c r="Z68" s="265">
        <v>3069880.9910701201</v>
      </c>
      <c r="AA68" s="241">
        <f t="shared" si="13"/>
        <v>-738930</v>
      </c>
      <c r="AB68" s="241">
        <f t="shared" si="14"/>
        <v>738930</v>
      </c>
    </row>
    <row r="69" spans="10:28" x14ac:dyDescent="0.25">
      <c r="J69" s="241">
        <f>ECON_OUTPUT!G69</f>
        <v>2400000</v>
      </c>
      <c r="K69" s="241">
        <f>ECON_OUTPUT!Q69</f>
        <v>4944123</v>
      </c>
      <c r="L69" s="241">
        <f t="shared" si="8"/>
        <v>2544123</v>
      </c>
      <c r="M69" s="241">
        <f t="shared" si="9"/>
        <v>2544123</v>
      </c>
      <c r="O69" s="244">
        <f>IF(ECON_OUTPUT!BG69=5,ECON_OUTPUT!G69*(ECON_ASSUMPT!G$13),0)</f>
        <v>0</v>
      </c>
      <c r="P69" s="244">
        <f>IF(ECON_OUTPUT!BE69="Other",ECON_OUTPUT!G69*ECON_ASSUMPT!G$14,0)</f>
        <v>0</v>
      </c>
      <c r="Q69" s="241">
        <f>ECON_OUTPUT!G69+O69+P69</f>
        <v>2400000</v>
      </c>
      <c r="R69" s="241">
        <f t="shared" si="12"/>
        <v>2544123</v>
      </c>
      <c r="S69" s="241">
        <f t="shared" si="10"/>
        <v>2544123</v>
      </c>
      <c r="U69" s="241">
        <f>ECON_ASSUMPT!E$4+(ECON_OUTPUT!G69*ECON_ASSUMPT!E$5)+(ECON_OUTPUT!BJ69*ECON_ASSUMPT!E$6)+(ECON_OUTPUT!BK69*ECON_ASSUMPT!E$7)+(ECON_OUTPUT!BL69*ECON_ASSUMPT!E$8)+(ECON_OUTPUT!BM69*ECON_ASSUMPT!E$9)+(ECON_OUTPUT!BN69*ECON_ASSUMPT!E$10)</f>
        <v>2499321.2308381917</v>
      </c>
      <c r="V69" s="241">
        <f>ECON_OUTPUT!Q69-U69</f>
        <v>2444801.7691618083</v>
      </c>
      <c r="W69" s="241">
        <f t="shared" si="11"/>
        <v>2444801.7691618083</v>
      </c>
      <c r="Y69" s="241"/>
      <c r="Z69" s="265">
        <v>3502153.2142256</v>
      </c>
      <c r="AA69" s="241">
        <f t="shared" si="13"/>
        <v>2544123</v>
      </c>
      <c r="AB69" s="241">
        <f t="shared" si="14"/>
        <v>2544123</v>
      </c>
    </row>
    <row r="70" spans="10:28" x14ac:dyDescent="0.25">
      <c r="J70" s="241">
        <f>ECON_OUTPUT!G70</f>
        <v>67636000</v>
      </c>
      <c r="K70" s="241">
        <f>ECON_OUTPUT!Q70</f>
        <v>51303284</v>
      </c>
      <c r="L70" s="241">
        <f t="shared" si="8"/>
        <v>-16332716</v>
      </c>
      <c r="M70" s="241">
        <f t="shared" si="9"/>
        <v>16332716</v>
      </c>
      <c r="O70" s="244">
        <f>IF(ECON_OUTPUT!BG70=5,ECON_OUTPUT!G70*(ECON_ASSUMPT!G$13),0)</f>
        <v>2100794.0734126191</v>
      </c>
      <c r="P70" s="244">
        <f>IF(ECON_OUTPUT!BE70="Other",ECON_OUTPUT!G70*ECON_ASSUMPT!G$14,0)</f>
        <v>0</v>
      </c>
      <c r="Q70" s="241">
        <f>ECON_OUTPUT!G70+O70+P70</f>
        <v>69736794.073412612</v>
      </c>
      <c r="R70" s="241">
        <f t="shared" si="12"/>
        <v>-18433510.073412612</v>
      </c>
      <c r="S70" s="241">
        <f t="shared" si="10"/>
        <v>18433510.073412612</v>
      </c>
      <c r="U70" s="241">
        <f>ECON_ASSUMPT!E$4+(ECON_OUTPUT!G70*ECON_ASSUMPT!E$5)+(ECON_OUTPUT!BJ70*ECON_ASSUMPT!E$6)+(ECON_OUTPUT!BK70*ECON_ASSUMPT!E$7)+(ECON_OUTPUT!BL70*ECON_ASSUMPT!E$8)+(ECON_OUTPUT!BM70*ECON_ASSUMPT!E$9)+(ECON_OUTPUT!BN70*ECON_ASSUMPT!E$10)</f>
        <v>61640754.011042468</v>
      </c>
      <c r="V70" s="241">
        <f>ECON_OUTPUT!Q70-U70</f>
        <v>-10337470.011042468</v>
      </c>
      <c r="W70" s="241">
        <f t="shared" si="11"/>
        <v>10337470.011042468</v>
      </c>
      <c r="Y70" s="241"/>
      <c r="Z70" s="265">
        <v>61992960.684513897</v>
      </c>
      <c r="AA70" s="241">
        <f t="shared" si="13"/>
        <v>-18433510.073412612</v>
      </c>
      <c r="AB70" s="241">
        <f t="shared" si="14"/>
        <v>18433510.073412612</v>
      </c>
    </row>
    <row r="71" spans="10:28" x14ac:dyDescent="0.25">
      <c r="J71" s="241">
        <f>ECON_OUTPUT!G71</f>
        <v>2150000</v>
      </c>
      <c r="K71" s="241">
        <f>ECON_OUTPUT!Q71</f>
        <v>1654320</v>
      </c>
      <c r="L71" s="241">
        <f t="shared" si="8"/>
        <v>-495680</v>
      </c>
      <c r="M71" s="241">
        <f t="shared" si="9"/>
        <v>495680</v>
      </c>
      <c r="O71" s="244">
        <f>IF(ECON_OUTPUT!BG71=5,ECON_OUTPUT!G71*(ECON_ASSUMPT!G$13),0)</f>
        <v>0</v>
      </c>
      <c r="P71" s="244">
        <f>IF(ECON_OUTPUT!BE71="Other",ECON_OUTPUT!G71*ECON_ASSUMPT!G$14,0)</f>
        <v>0</v>
      </c>
      <c r="Q71" s="241">
        <f>ECON_OUTPUT!G71+O71+P71</f>
        <v>2150000</v>
      </c>
      <c r="R71" s="241">
        <f t="shared" si="12"/>
        <v>-495680</v>
      </c>
      <c r="S71" s="241">
        <f t="shared" si="10"/>
        <v>495680</v>
      </c>
      <c r="U71" s="241">
        <f>ECON_ASSUMPT!E$4+(ECON_OUTPUT!G71*ECON_ASSUMPT!E$5)+(ECON_OUTPUT!BJ71*ECON_ASSUMPT!E$6)+(ECON_OUTPUT!BK71*ECON_ASSUMPT!E$7)+(ECON_OUTPUT!BL71*ECON_ASSUMPT!E$8)+(ECON_OUTPUT!BM71*ECON_ASSUMPT!E$9)+(ECON_OUTPUT!BN71*ECON_ASSUMPT!E$10)</f>
        <v>1447656.6173440726</v>
      </c>
      <c r="V71" s="241">
        <f>ECON_OUTPUT!Q71-U71</f>
        <v>206663.38265592745</v>
      </c>
      <c r="W71" s="241">
        <f t="shared" si="11"/>
        <v>206663.38265592745</v>
      </c>
      <c r="Y71" s="241"/>
      <c r="Z71" s="265">
        <v>1371801.89546656</v>
      </c>
      <c r="AA71" s="241">
        <f t="shared" si="13"/>
        <v>-495680</v>
      </c>
      <c r="AB71" s="241">
        <f t="shared" si="14"/>
        <v>495680</v>
      </c>
    </row>
    <row r="72" spans="10:28" x14ac:dyDescent="0.25">
      <c r="J72" s="241">
        <f>ECON_OUTPUT!G72</f>
        <v>480000</v>
      </c>
      <c r="K72" s="241">
        <f>ECON_OUTPUT!Q72</f>
        <v>1072000</v>
      </c>
      <c r="L72" s="241">
        <f t="shared" si="8"/>
        <v>592000</v>
      </c>
      <c r="M72" s="241">
        <f t="shared" si="9"/>
        <v>592000</v>
      </c>
      <c r="O72" s="244">
        <f>IF(ECON_OUTPUT!BG72=5,ECON_OUTPUT!G72*(ECON_ASSUMPT!G$13),0)</f>
        <v>0</v>
      </c>
      <c r="P72" s="244">
        <f>IF(ECON_OUTPUT!BE72="Other",ECON_OUTPUT!G72*ECON_ASSUMPT!G$14,0)</f>
        <v>27941.766698016338</v>
      </c>
      <c r="Q72" s="241">
        <f>ECON_OUTPUT!G72+O72+P72</f>
        <v>507941.76669801632</v>
      </c>
      <c r="R72" s="241">
        <f t="shared" si="12"/>
        <v>564058.23330198368</v>
      </c>
      <c r="S72" s="241">
        <f t="shared" si="10"/>
        <v>564058.23330198368</v>
      </c>
      <c r="U72" s="241">
        <f>ECON_ASSUMPT!E$4+(ECON_OUTPUT!G72*ECON_ASSUMPT!E$5)+(ECON_OUTPUT!BJ72*ECON_ASSUMPT!E$6)+(ECON_OUTPUT!BK72*ECON_ASSUMPT!E$7)+(ECON_OUTPUT!BL72*ECON_ASSUMPT!E$8)+(ECON_OUTPUT!BM72*ECON_ASSUMPT!E$9)+(ECON_OUTPUT!BN72*ECON_ASSUMPT!E$10)</f>
        <v>1283009.0457260185</v>
      </c>
      <c r="V72" s="241">
        <f>ECON_OUTPUT!Q72-U72</f>
        <v>-211009.04572601849</v>
      </c>
      <c r="W72" s="241">
        <f t="shared" si="11"/>
        <v>211009.04572601849</v>
      </c>
      <c r="Y72" s="241"/>
      <c r="Z72" s="265">
        <v>960917.19016755698</v>
      </c>
      <c r="AA72" s="241">
        <f t="shared" si="13"/>
        <v>564058.23330198368</v>
      </c>
      <c r="AB72" s="241">
        <f t="shared" si="14"/>
        <v>564058.23330198368</v>
      </c>
    </row>
    <row r="73" spans="10:28" x14ac:dyDescent="0.25">
      <c r="J73" s="241">
        <f>ECON_OUTPUT!G73</f>
        <v>850000</v>
      </c>
      <c r="K73" s="241">
        <f>ECON_OUTPUT!Q73</f>
        <v>698371</v>
      </c>
      <c r="L73" s="241">
        <f t="shared" si="8"/>
        <v>-151629</v>
      </c>
      <c r="M73" s="241">
        <f t="shared" si="9"/>
        <v>151629</v>
      </c>
      <c r="O73" s="244">
        <f>IF(ECON_OUTPUT!BG73=5,ECON_OUTPUT!G73*(ECON_ASSUMPT!G$13),0)</f>
        <v>0</v>
      </c>
      <c r="P73" s="244">
        <f>IF(ECON_OUTPUT!BE73="Other",ECON_OUTPUT!G73*ECON_ASSUMPT!G$14,0)</f>
        <v>49480.211861070602</v>
      </c>
      <c r="Q73" s="241">
        <f>ECON_OUTPUT!G73+O73+P73</f>
        <v>899480.21186107059</v>
      </c>
      <c r="R73" s="241">
        <f t="shared" si="12"/>
        <v>-201109.21186107059</v>
      </c>
      <c r="S73" s="241">
        <f t="shared" si="10"/>
        <v>201109.21186107059</v>
      </c>
      <c r="U73" s="241">
        <f>ECON_ASSUMPT!E$4+(ECON_OUTPUT!G73*ECON_ASSUMPT!E$5)+(ECON_OUTPUT!BJ73*ECON_ASSUMPT!E$6)+(ECON_OUTPUT!BK73*ECON_ASSUMPT!E$7)+(ECON_OUTPUT!BL73*ECON_ASSUMPT!E$8)+(ECON_OUTPUT!BM73*ECON_ASSUMPT!E$9)+(ECON_OUTPUT!BN73*ECON_ASSUMPT!E$10)</f>
        <v>1604930.8944609901</v>
      </c>
      <c r="V73" s="241">
        <f>ECON_OUTPUT!Q73-U73</f>
        <v>-906559.89446099009</v>
      </c>
      <c r="W73" s="241">
        <f t="shared" si="11"/>
        <v>906559.89446099009</v>
      </c>
      <c r="Y73" s="241"/>
      <c r="Z73" s="265">
        <v>1189350.3882054801</v>
      </c>
      <c r="AA73" s="241">
        <f t="shared" si="13"/>
        <v>-201109.21186107059</v>
      </c>
      <c r="AB73" s="241">
        <f t="shared" si="14"/>
        <v>201109.21186107059</v>
      </c>
    </row>
    <row r="74" spans="10:28" x14ac:dyDescent="0.25">
      <c r="J74" s="241">
        <f>ECON_OUTPUT!G74</f>
        <v>1763000</v>
      </c>
      <c r="K74" s="241">
        <f>ECON_OUTPUT!Q74</f>
        <v>2754705</v>
      </c>
      <c r="L74" s="241">
        <f t="shared" si="8"/>
        <v>991705</v>
      </c>
      <c r="M74" s="241">
        <f t="shared" si="9"/>
        <v>991705</v>
      </c>
      <c r="O74" s="244">
        <f>IF(ECON_OUTPUT!BG74=5,ECON_OUTPUT!G74*(ECON_ASSUMPT!G$13),0)</f>
        <v>0</v>
      </c>
      <c r="P74" s="244">
        <f>IF(ECON_OUTPUT!BE74="Other",ECON_OUTPUT!G74*ECON_ASSUMPT!G$14,0)</f>
        <v>0</v>
      </c>
      <c r="Q74" s="241">
        <f>ECON_OUTPUT!G74+O74+P74</f>
        <v>1763000</v>
      </c>
      <c r="R74" s="241">
        <f t="shared" si="12"/>
        <v>991705</v>
      </c>
      <c r="S74" s="241">
        <f t="shared" si="10"/>
        <v>991705</v>
      </c>
      <c r="U74" s="241">
        <f>ECON_ASSUMPT!E$4+(ECON_OUTPUT!G74*ECON_ASSUMPT!E$5)+(ECON_OUTPUT!BJ74*ECON_ASSUMPT!E$6)+(ECON_OUTPUT!BK74*ECON_ASSUMPT!E$7)+(ECON_OUTPUT!BL74*ECON_ASSUMPT!E$8)+(ECON_OUTPUT!BM74*ECON_ASSUMPT!E$9)+(ECON_OUTPUT!BN74*ECON_ASSUMPT!E$10)</f>
        <v>1852527.3160841088</v>
      </c>
      <c r="V74" s="241">
        <f>ECON_OUTPUT!Q74-U74</f>
        <v>902177.68391589122</v>
      </c>
      <c r="W74" s="241">
        <f t="shared" si="11"/>
        <v>902177.68391589122</v>
      </c>
      <c r="Y74" s="241"/>
      <c r="Z74" s="265">
        <v>1695757.77620881</v>
      </c>
      <c r="AA74" s="241">
        <f t="shared" si="13"/>
        <v>991705</v>
      </c>
      <c r="AB74" s="241">
        <f t="shared" si="14"/>
        <v>991705</v>
      </c>
    </row>
    <row r="75" spans="10:28" x14ac:dyDescent="0.25">
      <c r="J75" s="241">
        <f>ECON_OUTPUT!G75</f>
        <v>2170000</v>
      </c>
      <c r="K75" s="241">
        <f>ECON_OUTPUT!Q75</f>
        <v>2179670</v>
      </c>
      <c r="L75" s="241">
        <f t="shared" si="8"/>
        <v>9670</v>
      </c>
      <c r="M75" s="241">
        <f t="shared" si="9"/>
        <v>9670</v>
      </c>
      <c r="O75" s="244">
        <f>IF(ECON_OUTPUT!BG75=5,ECON_OUTPUT!G75*(ECON_ASSUMPT!G$13),0)</f>
        <v>0</v>
      </c>
      <c r="P75" s="244">
        <f>IF(ECON_OUTPUT!BE75="Other",ECON_OUTPUT!G75*ECON_ASSUMPT!G$14,0)</f>
        <v>0</v>
      </c>
      <c r="Q75" s="241">
        <f>ECON_OUTPUT!G75+O75+P75</f>
        <v>2170000</v>
      </c>
      <c r="R75" s="241">
        <f t="shared" si="12"/>
        <v>9670</v>
      </c>
      <c r="S75" s="241">
        <f t="shared" si="10"/>
        <v>9670</v>
      </c>
      <c r="U75" s="241">
        <f>ECON_ASSUMPT!E$4+(ECON_OUTPUT!G75*ECON_ASSUMPT!E$5)+(ECON_OUTPUT!BJ75*ECON_ASSUMPT!E$6)+(ECON_OUTPUT!BK75*ECON_ASSUMPT!E$7)+(ECON_OUTPUT!BL75*ECON_ASSUMPT!E$8)+(ECON_OUTPUT!BM75*ECON_ASSUMPT!E$9)+(ECON_OUTPUT!BN75*ECON_ASSUMPT!E$10)</f>
        <v>1465057.7983567738</v>
      </c>
      <c r="V75" s="241">
        <f>ECON_OUTPUT!Q75-U75</f>
        <v>714612.2016432262</v>
      </c>
      <c r="W75" s="241">
        <f t="shared" si="11"/>
        <v>714612.2016432262</v>
      </c>
      <c r="Y75" s="241"/>
      <c r="Z75" s="265">
        <v>2019680.44011071</v>
      </c>
      <c r="AA75" s="241">
        <f t="shared" si="13"/>
        <v>9670</v>
      </c>
      <c r="AB75" s="241">
        <f t="shared" si="14"/>
        <v>9670</v>
      </c>
    </row>
    <row r="76" spans="10:28" x14ac:dyDescent="0.25">
      <c r="J76" s="241">
        <f>ECON_OUTPUT!G76</f>
        <v>61900000</v>
      </c>
      <c r="K76" s="241">
        <f>ECON_OUTPUT!Q76</f>
        <v>52950000</v>
      </c>
      <c r="L76" s="241">
        <f t="shared" si="8"/>
        <v>-8950000</v>
      </c>
      <c r="M76" s="241">
        <f t="shared" si="9"/>
        <v>8950000</v>
      </c>
      <c r="O76" s="244">
        <f>IF(ECON_OUTPUT!BG76=5,ECON_OUTPUT!G76*(ECON_ASSUMPT!G$13),0)</f>
        <v>1922632.2246176759</v>
      </c>
      <c r="P76" s="244">
        <f>IF(ECON_OUTPUT!BE76="Other",ECON_OUTPUT!G76*ECON_ASSUMPT!G$14,0)</f>
        <v>0</v>
      </c>
      <c r="Q76" s="241">
        <f>ECON_OUTPUT!G76+O76+P76</f>
        <v>63822632.224617675</v>
      </c>
      <c r="R76" s="241">
        <f t="shared" si="12"/>
        <v>-10872632.224617675</v>
      </c>
      <c r="S76" s="241">
        <f t="shared" si="10"/>
        <v>10872632.224617675</v>
      </c>
      <c r="U76" s="241">
        <f>ECON_ASSUMPT!E$4+(ECON_OUTPUT!G76*ECON_ASSUMPT!E$5)+(ECON_OUTPUT!BJ76*ECON_ASSUMPT!E$6)+(ECON_OUTPUT!BK76*ECON_ASSUMPT!E$7)+(ECON_OUTPUT!BL76*ECON_ASSUMPT!E$8)+(ECON_OUTPUT!BM76*ECON_ASSUMPT!E$9)+(ECON_OUTPUT!BN76*ECON_ASSUMPT!E$10)</f>
        <v>56650095.296599768</v>
      </c>
      <c r="V76" s="241">
        <f>ECON_OUTPUT!Q76-U76</f>
        <v>-3700095.2965997681</v>
      </c>
      <c r="W76" s="241">
        <f t="shared" si="11"/>
        <v>3700095.2965997681</v>
      </c>
      <c r="Y76" s="241"/>
      <c r="Z76" s="265">
        <v>56944376.576064497</v>
      </c>
      <c r="AA76" s="241">
        <f t="shared" si="13"/>
        <v>-10872632.224617675</v>
      </c>
      <c r="AB76" s="241">
        <f t="shared" si="14"/>
        <v>10872632.224617675</v>
      </c>
    </row>
    <row r="77" spans="10:28" x14ac:dyDescent="0.25">
      <c r="J77" s="241">
        <f>ECON_OUTPUT!G77</f>
        <v>1460000</v>
      </c>
      <c r="K77" s="241">
        <f>ECON_OUTPUT!Q77</f>
        <v>1461533</v>
      </c>
      <c r="L77" s="241">
        <f t="shared" si="8"/>
        <v>1533</v>
      </c>
      <c r="M77" s="241">
        <f t="shared" si="9"/>
        <v>1533</v>
      </c>
      <c r="O77" s="244">
        <f>IF(ECON_OUTPUT!BG77=5,ECON_OUTPUT!G77*(ECON_ASSUMPT!G$13),0)</f>
        <v>0</v>
      </c>
      <c r="P77" s="244">
        <f>IF(ECON_OUTPUT!BE77="Other",ECON_OUTPUT!G77*ECON_ASSUMPT!G$14,0)</f>
        <v>84989.54037313303</v>
      </c>
      <c r="Q77" s="241">
        <f>ECON_OUTPUT!G77+O77+P77</f>
        <v>1544989.540373133</v>
      </c>
      <c r="R77" s="241">
        <f t="shared" si="12"/>
        <v>-83456.54037313303</v>
      </c>
      <c r="S77" s="241">
        <f t="shared" si="10"/>
        <v>83456.54037313303</v>
      </c>
      <c r="U77" s="241">
        <f>ECON_ASSUMPT!E$4+(ECON_OUTPUT!G77*ECON_ASSUMPT!E$5)+(ECON_OUTPUT!BJ77*ECON_ASSUMPT!E$6)+(ECON_OUTPUT!BK77*ECON_ASSUMPT!E$7)+(ECON_OUTPUT!BL77*ECON_ASSUMPT!E$8)+(ECON_OUTPUT!BM77*ECON_ASSUMPT!E$9)+(ECON_OUTPUT!BN77*ECON_ASSUMPT!E$10)</f>
        <v>2767033.6262456621</v>
      </c>
      <c r="V77" s="241">
        <f>ECON_OUTPUT!Q77-U77</f>
        <v>-1305500.6262456621</v>
      </c>
      <c r="W77" s="241">
        <f t="shared" si="11"/>
        <v>1305500.6262456621</v>
      </c>
      <c r="Y77" s="241"/>
      <c r="Z77" s="265">
        <v>2255506.6405509398</v>
      </c>
      <c r="AA77" s="241">
        <f t="shared" si="13"/>
        <v>-83456.54037313303</v>
      </c>
      <c r="AB77" s="241">
        <f t="shared" si="14"/>
        <v>83456.54037313303</v>
      </c>
    </row>
    <row r="78" spans="10:28" x14ac:dyDescent="0.25">
      <c r="J78" s="241">
        <f>ECON_OUTPUT!G78</f>
        <v>600000</v>
      </c>
      <c r="K78" s="241">
        <f>ECON_OUTPUT!Q78</f>
        <v>463700</v>
      </c>
      <c r="L78" s="241">
        <f t="shared" si="8"/>
        <v>-136300</v>
      </c>
      <c r="M78" s="241">
        <f t="shared" si="9"/>
        <v>136300</v>
      </c>
      <c r="O78" s="244">
        <f>IF(ECON_OUTPUT!BG78=5,ECON_OUTPUT!G78*(ECON_ASSUMPT!G$13),0)</f>
        <v>0</v>
      </c>
      <c r="P78" s="244">
        <f>IF(ECON_OUTPUT!BE78="Other",ECON_OUTPUT!G78*ECON_ASSUMPT!G$14,0)</f>
        <v>34927.208372520421</v>
      </c>
      <c r="Q78" s="241">
        <f>ECON_OUTPUT!G78+O78+P78</f>
        <v>634927.2083725204</v>
      </c>
      <c r="R78" s="241">
        <f t="shared" si="12"/>
        <v>-171227.2083725204</v>
      </c>
      <c r="S78" s="241">
        <f t="shared" si="10"/>
        <v>171227.2083725204</v>
      </c>
      <c r="U78" s="241">
        <f>ECON_ASSUMPT!E$4+(ECON_OUTPUT!G78*ECON_ASSUMPT!E$5)+(ECON_OUTPUT!BJ78*ECON_ASSUMPT!E$6)+(ECON_OUTPUT!BK78*ECON_ASSUMPT!E$7)+(ECON_OUTPUT!BL78*ECON_ASSUMPT!E$8)+(ECON_OUTPUT!BM78*ECON_ASSUMPT!E$9)+(ECON_OUTPUT!BN78*ECON_ASSUMPT!E$10)</f>
        <v>1387416.1318022255</v>
      </c>
      <c r="V78" s="241">
        <f>ECON_OUTPUT!Q78-U78</f>
        <v>-923716.13180222549</v>
      </c>
      <c r="W78" s="241">
        <f t="shared" si="11"/>
        <v>923716.13180222549</v>
      </c>
      <c r="Y78" s="241"/>
      <c r="Z78" s="265">
        <v>1227017.3271735399</v>
      </c>
      <c r="AA78" s="241">
        <f t="shared" si="13"/>
        <v>-171227.2083725204</v>
      </c>
      <c r="AB78" s="241">
        <f t="shared" si="14"/>
        <v>171227.2083725204</v>
      </c>
    </row>
    <row r="79" spans="10:28" x14ac:dyDescent="0.25">
      <c r="J79" s="241">
        <f>ECON_OUTPUT!G79</f>
        <v>18500000</v>
      </c>
      <c r="K79" s="241">
        <f>ECON_OUTPUT!Q79</f>
        <v>19475000</v>
      </c>
      <c r="L79" s="241">
        <f t="shared" si="8"/>
        <v>975000</v>
      </c>
      <c r="M79" s="241">
        <f t="shared" si="9"/>
        <v>975000</v>
      </c>
      <c r="O79" s="244">
        <f>IF(ECON_OUTPUT!BG79=5,ECON_OUTPUT!G79*(ECON_ASSUMPT!G$13),0)</f>
        <v>574615.44677588053</v>
      </c>
      <c r="P79" s="244">
        <f>IF(ECON_OUTPUT!BE79="Other",ECON_OUTPUT!G79*ECON_ASSUMPT!G$14,0)</f>
        <v>1076922.2581527131</v>
      </c>
      <c r="Q79" s="241">
        <f>ECON_OUTPUT!G79+O79+P79</f>
        <v>20151537.704928592</v>
      </c>
      <c r="R79" s="241">
        <f t="shared" si="12"/>
        <v>-676537.70492859185</v>
      </c>
      <c r="S79" s="241">
        <f t="shared" si="10"/>
        <v>676537.70492859185</v>
      </c>
      <c r="U79" s="241">
        <f>ECON_ASSUMPT!E$4+(ECON_OUTPUT!G79*ECON_ASSUMPT!E$5)+(ECON_OUTPUT!BJ79*ECON_ASSUMPT!E$6)+(ECON_OUTPUT!BK79*ECON_ASSUMPT!E$7)+(ECON_OUTPUT!BL79*ECON_ASSUMPT!E$8)+(ECON_OUTPUT!BM79*ECON_ASSUMPT!E$9)+(ECON_OUTPUT!BN79*ECON_ASSUMPT!E$10)</f>
        <v>20809250.252877992</v>
      </c>
      <c r="V79" s="241">
        <f>ECON_OUTPUT!Q79-U79</f>
        <v>-1334250.2528779916</v>
      </c>
      <c r="W79" s="241">
        <f t="shared" si="11"/>
        <v>1334250.2528779916</v>
      </c>
      <c r="Y79" s="241"/>
      <c r="Z79" s="265">
        <v>21062607.674123898</v>
      </c>
      <c r="AA79" s="241">
        <f t="shared" si="13"/>
        <v>-676537.70492859185</v>
      </c>
      <c r="AB79" s="241">
        <f t="shared" si="14"/>
        <v>676537.70492859185</v>
      </c>
    </row>
    <row r="80" spans="10:28" x14ac:dyDescent="0.25">
      <c r="J80" s="241">
        <f>ECON_OUTPUT!G80</f>
        <v>28695000</v>
      </c>
      <c r="K80" s="241">
        <f>ECON_OUTPUT!Q80</f>
        <v>34831050</v>
      </c>
      <c r="L80" s="241">
        <f t="shared" si="8"/>
        <v>6136050</v>
      </c>
      <c r="M80" s="241">
        <f t="shared" si="9"/>
        <v>6136050</v>
      </c>
      <c r="O80" s="244">
        <f>IF(ECON_OUTPUT!BG80=5,ECON_OUTPUT!G80*(ECON_ASSUMPT!G$13),0)</f>
        <v>891275.14839102118</v>
      </c>
      <c r="P80" s="244">
        <f>IF(ECON_OUTPUT!BE80="Other",ECON_OUTPUT!G80*ECON_ASSUMPT!G$14,0)</f>
        <v>1670393.7404157892</v>
      </c>
      <c r="Q80" s="241">
        <f>ECON_OUTPUT!G80+O80+P80</f>
        <v>31256668.888806809</v>
      </c>
      <c r="R80" s="241">
        <f t="shared" si="12"/>
        <v>3574381.1111931913</v>
      </c>
      <c r="S80" s="241">
        <f t="shared" si="10"/>
        <v>3574381.1111931913</v>
      </c>
      <c r="U80" s="241">
        <f>ECON_ASSUMPT!E$4+(ECON_OUTPUT!G80*ECON_ASSUMPT!E$5)+(ECON_OUTPUT!BJ80*ECON_ASSUMPT!E$6)+(ECON_OUTPUT!BK80*ECON_ASSUMPT!E$7)+(ECON_OUTPUT!BL80*ECON_ASSUMPT!E$8)+(ECON_OUTPUT!BM80*ECON_ASSUMPT!E$9)+(ECON_OUTPUT!BN80*ECON_ASSUMPT!E$10)</f>
        <v>29679502.27410242</v>
      </c>
      <c r="V80" s="241">
        <f>ECON_OUTPUT!Q80-U80</f>
        <v>5151547.7258975804</v>
      </c>
      <c r="W80" s="241">
        <f t="shared" si="11"/>
        <v>5151547.7258975804</v>
      </c>
      <c r="Y80" s="241"/>
      <c r="Z80" s="265">
        <v>30433396.687108401</v>
      </c>
      <c r="AA80" s="241">
        <f t="shared" si="13"/>
        <v>3574381.1111931913</v>
      </c>
      <c r="AB80" s="241">
        <f t="shared" si="14"/>
        <v>3574381.1111931913</v>
      </c>
    </row>
    <row r="81" spans="10:28" x14ac:dyDescent="0.25">
      <c r="J81" s="241">
        <f>ECON_OUTPUT!G81</f>
        <v>12071025</v>
      </c>
      <c r="K81" s="241">
        <f>ECON_OUTPUT!Q81</f>
        <v>10436923</v>
      </c>
      <c r="L81" s="241">
        <f t="shared" si="8"/>
        <v>-1634102</v>
      </c>
      <c r="M81" s="241">
        <f t="shared" si="9"/>
        <v>1634102</v>
      </c>
      <c r="O81" s="244">
        <f>IF(ECON_OUTPUT!BG81=5,ECON_OUTPUT!G81*(ECON_ASSUMPT!G$13),0)</f>
        <v>0</v>
      </c>
      <c r="P81" s="244">
        <f>IF(ECON_OUTPUT!BE81="Other",ECON_OUTPUT!G81*ECON_ASSUMPT!G$14,0)</f>
        <v>702678.67574150558</v>
      </c>
      <c r="Q81" s="241">
        <f>ECON_OUTPUT!G81+O81+P81</f>
        <v>12773703.675741505</v>
      </c>
      <c r="R81" s="241">
        <f t="shared" si="12"/>
        <v>-2336780.6757415049</v>
      </c>
      <c r="S81" s="241">
        <f t="shared" si="10"/>
        <v>2336780.6757415049</v>
      </c>
      <c r="U81" s="241">
        <f>ECON_ASSUMPT!E$4+(ECON_OUTPUT!G81*ECON_ASSUMPT!E$5)+(ECON_OUTPUT!BJ81*ECON_ASSUMPT!E$6)+(ECON_OUTPUT!BK81*ECON_ASSUMPT!E$7)+(ECON_OUTPUT!BL81*ECON_ASSUMPT!E$8)+(ECON_OUTPUT!BM81*ECON_ASSUMPT!E$9)+(ECON_OUTPUT!BN81*ECON_ASSUMPT!E$10)</f>
        <v>12833401.814845894</v>
      </c>
      <c r="V81" s="241">
        <f>ECON_OUTPUT!Q81-U81</f>
        <v>-2396478.8148458935</v>
      </c>
      <c r="W81" s="241">
        <f t="shared" si="11"/>
        <v>2396478.8148458935</v>
      </c>
      <c r="Y81" s="241"/>
      <c r="Z81" s="265">
        <v>12648683.3666101</v>
      </c>
      <c r="AA81" s="241">
        <f t="shared" si="13"/>
        <v>-2336780.6757415049</v>
      </c>
      <c r="AB81" s="241">
        <f t="shared" si="14"/>
        <v>2336780.6757415049</v>
      </c>
    </row>
    <row r="82" spans="10:28" x14ac:dyDescent="0.25">
      <c r="J82" s="241">
        <f>ECON_OUTPUT!G82</f>
        <v>4200000</v>
      </c>
      <c r="K82" s="241">
        <f>ECON_OUTPUT!Q82</f>
        <v>4217900</v>
      </c>
      <c r="L82" s="241">
        <f t="shared" si="8"/>
        <v>17900</v>
      </c>
      <c r="M82" s="241">
        <f t="shared" si="9"/>
        <v>17900</v>
      </c>
      <c r="O82" s="244">
        <f>IF(ECON_OUTPUT!BG82=5,ECON_OUTPUT!G82*(ECON_ASSUMPT!G$13),0)</f>
        <v>0</v>
      </c>
      <c r="P82" s="244">
        <f>IF(ECON_OUTPUT!BE82="Other",ECON_OUTPUT!G82*ECON_ASSUMPT!G$14,0)</f>
        <v>0</v>
      </c>
      <c r="Q82" s="241">
        <f>ECON_OUTPUT!G82+O82+P82</f>
        <v>4200000</v>
      </c>
      <c r="R82" s="241">
        <f t="shared" si="12"/>
        <v>17900</v>
      </c>
      <c r="S82" s="241">
        <f t="shared" si="10"/>
        <v>17900</v>
      </c>
      <c r="U82" s="241">
        <f>ECON_ASSUMPT!E$4+(ECON_OUTPUT!G82*ECON_ASSUMPT!E$5)+(ECON_OUTPUT!BJ82*ECON_ASSUMPT!E$6)+(ECON_OUTPUT!BK82*ECON_ASSUMPT!E$7)+(ECON_OUTPUT!BL82*ECON_ASSUMPT!E$8)+(ECON_OUTPUT!BM82*ECON_ASSUMPT!E$9)+(ECON_OUTPUT!BN82*ECON_ASSUMPT!E$10)</f>
        <v>3972861.2224817472</v>
      </c>
      <c r="V82" s="241">
        <f>ECON_OUTPUT!Q82-U82</f>
        <v>245038.77751825284</v>
      </c>
      <c r="W82" s="241">
        <f t="shared" si="11"/>
        <v>245038.77751825284</v>
      </c>
      <c r="Y82" s="241"/>
      <c r="Z82" s="265">
        <v>4378867.0178759499</v>
      </c>
      <c r="AA82" s="241">
        <f t="shared" si="13"/>
        <v>17900</v>
      </c>
      <c r="AB82" s="241">
        <f t="shared" si="14"/>
        <v>17900</v>
      </c>
    </row>
    <row r="83" spans="10:28" x14ac:dyDescent="0.25">
      <c r="J83" s="241">
        <f>ECON_OUTPUT!G83</f>
        <v>1410000</v>
      </c>
      <c r="K83" s="241">
        <f>ECON_OUTPUT!Q83</f>
        <v>2393720</v>
      </c>
      <c r="L83" s="241">
        <f t="shared" si="8"/>
        <v>983720</v>
      </c>
      <c r="M83" s="241">
        <f t="shared" si="9"/>
        <v>983720</v>
      </c>
      <c r="O83" s="244">
        <f>IF(ECON_OUTPUT!BG83=5,ECON_OUTPUT!G83*(ECON_ASSUMPT!G$13),0)</f>
        <v>0</v>
      </c>
      <c r="P83" s="244">
        <f>IF(ECON_OUTPUT!BE83="Other",ECON_OUTPUT!G83*ECON_ASSUMPT!G$14,0)</f>
        <v>82078.939675422997</v>
      </c>
      <c r="Q83" s="241">
        <f>ECON_OUTPUT!G83+O83+P83</f>
        <v>1492078.9396754231</v>
      </c>
      <c r="R83" s="241">
        <f t="shared" si="12"/>
        <v>901641.06032457692</v>
      </c>
      <c r="S83" s="241">
        <f t="shared" si="10"/>
        <v>901641.06032457692</v>
      </c>
      <c r="U83" s="241">
        <f>ECON_ASSUMPT!E$4+(ECON_OUTPUT!G83*ECON_ASSUMPT!E$5)+(ECON_OUTPUT!BJ83*ECON_ASSUMPT!E$6)+(ECON_OUTPUT!BK83*ECON_ASSUMPT!E$7)+(ECON_OUTPUT!BL83*ECON_ASSUMPT!E$8)+(ECON_OUTPUT!BM83*ECON_ASSUMPT!E$9)+(ECON_OUTPUT!BN83*ECON_ASSUMPT!E$10)</f>
        <v>2723530.6737139095</v>
      </c>
      <c r="V83" s="241">
        <f>ECON_OUTPUT!Q83-U83</f>
        <v>-329810.67371390946</v>
      </c>
      <c r="W83" s="241">
        <f t="shared" si="11"/>
        <v>329810.67371390946</v>
      </c>
      <c r="Y83" s="241"/>
      <c r="Z83" s="265">
        <v>3837191.7551019401</v>
      </c>
      <c r="AA83" s="241">
        <f t="shared" si="13"/>
        <v>901641.06032457692</v>
      </c>
      <c r="AB83" s="241">
        <f t="shared" si="14"/>
        <v>901641.06032457692</v>
      </c>
    </row>
    <row r="84" spans="10:28" x14ac:dyDescent="0.25">
      <c r="J84" s="241">
        <f>ECON_OUTPUT!G84</f>
        <v>69800000</v>
      </c>
      <c r="K84" s="241">
        <f>ECON_OUTPUT!Q84</f>
        <v>67536474</v>
      </c>
      <c r="L84" s="241">
        <f t="shared" si="8"/>
        <v>-2263526</v>
      </c>
      <c r="M84" s="241">
        <f t="shared" si="9"/>
        <v>2263526</v>
      </c>
      <c r="O84" s="244">
        <f>IF(ECON_OUTPUT!BG84=5,ECON_OUTPUT!G84*(ECON_ASSUMPT!G$13),0)</f>
        <v>2168008.5505381869</v>
      </c>
      <c r="P84" s="244">
        <f>IF(ECON_OUTPUT!BE84="Other",ECON_OUTPUT!G84*ECON_ASSUMPT!G$14,0)</f>
        <v>4063198.5740032094</v>
      </c>
      <c r="Q84" s="241">
        <f>ECON_OUTPUT!G84+O84+P84</f>
        <v>76031207.124541387</v>
      </c>
      <c r="R84" s="241">
        <f t="shared" si="12"/>
        <v>-8494733.124541387</v>
      </c>
      <c r="S84" s="241">
        <f t="shared" si="10"/>
        <v>8494733.124541387</v>
      </c>
      <c r="U84" s="241">
        <f>ECON_ASSUMPT!E$4+(ECON_OUTPUT!G84*ECON_ASSUMPT!E$5)+(ECON_OUTPUT!BJ84*ECON_ASSUMPT!E$6)+(ECON_OUTPUT!BK84*ECON_ASSUMPT!E$7)+(ECON_OUTPUT!BL84*ECON_ASSUMPT!E$8)+(ECON_OUTPUT!BM84*ECON_ASSUMPT!E$9)+(ECON_OUTPUT!BN84*ECON_ASSUMPT!E$10)</f>
        <v>65443279.550456516</v>
      </c>
      <c r="V84" s="241">
        <f>ECON_OUTPUT!Q84-U84</f>
        <v>2093194.4495434836</v>
      </c>
      <c r="W84" s="241">
        <f t="shared" si="11"/>
        <v>2093194.4495434836</v>
      </c>
      <c r="Y84" s="241"/>
      <c r="Z84" s="265">
        <v>65612275.7984621</v>
      </c>
      <c r="AA84" s="241">
        <f t="shared" si="13"/>
        <v>-8494733.124541387</v>
      </c>
      <c r="AB84" s="241">
        <f t="shared" si="14"/>
        <v>8494733.124541387</v>
      </c>
    </row>
    <row r="85" spans="10:28" x14ac:dyDescent="0.25">
      <c r="J85" s="241">
        <f>ECON_OUTPUT!G85</f>
        <v>5100000</v>
      </c>
      <c r="K85" s="241">
        <f>ECON_OUTPUT!Q85</f>
        <v>4702400</v>
      </c>
      <c r="L85" s="241">
        <f t="shared" si="8"/>
        <v>-397600</v>
      </c>
      <c r="M85" s="241">
        <f t="shared" si="9"/>
        <v>397600</v>
      </c>
      <c r="O85" s="244">
        <f>IF(ECON_OUTPUT!BG85=5,ECON_OUTPUT!G85*(ECON_ASSUMPT!G$13),0)</f>
        <v>0</v>
      </c>
      <c r="P85" s="244">
        <f>IF(ECON_OUTPUT!BE85="Other",ECON_OUTPUT!G85*ECON_ASSUMPT!G$14,0)</f>
        <v>0</v>
      </c>
      <c r="Q85" s="241">
        <f>ECON_OUTPUT!G85+O85+P85</f>
        <v>5100000</v>
      </c>
      <c r="R85" s="241">
        <f t="shared" si="12"/>
        <v>-397600</v>
      </c>
      <c r="S85" s="241">
        <f t="shared" si="10"/>
        <v>397600</v>
      </c>
      <c r="U85" s="241">
        <f>ECON_ASSUMPT!E$4+(ECON_OUTPUT!G85*ECON_ASSUMPT!E$5)+(ECON_OUTPUT!BJ85*ECON_ASSUMPT!E$6)+(ECON_OUTPUT!BK85*ECON_ASSUMPT!E$7)+(ECON_OUTPUT!BL85*ECON_ASSUMPT!E$8)+(ECON_OUTPUT!BM85*ECON_ASSUMPT!E$9)+(ECON_OUTPUT!BN85*ECON_ASSUMPT!E$10)</f>
        <v>4848480.6675528502</v>
      </c>
      <c r="V85" s="241">
        <f>ECON_OUTPUT!Q85-U85</f>
        <v>-146080.66755285021</v>
      </c>
      <c r="W85" s="241">
        <f t="shared" si="11"/>
        <v>146080.66755285021</v>
      </c>
      <c r="Y85" s="241"/>
      <c r="Z85" s="265">
        <v>5540144.4662853498</v>
      </c>
      <c r="AA85" s="241">
        <f t="shared" si="13"/>
        <v>-397600</v>
      </c>
      <c r="AB85" s="241">
        <f t="shared" si="14"/>
        <v>397600</v>
      </c>
    </row>
    <row r="86" spans="10:28" x14ac:dyDescent="0.25">
      <c r="J86" s="241">
        <f>ECON_OUTPUT!G86</f>
        <v>6500000</v>
      </c>
      <c r="K86" s="241">
        <f>ECON_OUTPUT!Q86</f>
        <v>6682950</v>
      </c>
      <c r="L86" s="241">
        <f t="shared" si="8"/>
        <v>182950</v>
      </c>
      <c r="M86" s="241">
        <f t="shared" si="9"/>
        <v>182950</v>
      </c>
      <c r="O86" s="244">
        <f>IF(ECON_OUTPUT!BG86=5,ECON_OUTPUT!G86*(ECON_ASSUMPT!G$13),0)</f>
        <v>0</v>
      </c>
      <c r="P86" s="244">
        <f>IF(ECON_OUTPUT!BE86="Other",ECON_OUTPUT!G86*ECON_ASSUMPT!G$14,0)</f>
        <v>378378.09070230456</v>
      </c>
      <c r="Q86" s="241">
        <f>ECON_OUTPUT!G86+O86+P86</f>
        <v>6878378.0907023046</v>
      </c>
      <c r="R86" s="241">
        <f t="shared" si="12"/>
        <v>-195428.09070230462</v>
      </c>
      <c r="S86" s="241">
        <f t="shared" si="10"/>
        <v>195428.09070230462</v>
      </c>
      <c r="U86" s="241">
        <f>ECON_ASSUMPT!E$4+(ECON_OUTPUT!G86*ECON_ASSUMPT!E$5)+(ECON_OUTPUT!BJ86*ECON_ASSUMPT!E$6)+(ECON_OUTPUT!BK86*ECON_ASSUMPT!E$7)+(ECON_OUTPUT!BL86*ECON_ASSUMPT!E$8)+(ECON_OUTPUT!BM86*ECON_ASSUMPT!E$9)+(ECON_OUTPUT!BN86*ECON_ASSUMPT!E$10)</f>
        <v>7986281.0922817141</v>
      </c>
      <c r="V86" s="241">
        <f>ECON_OUTPUT!Q86-U86</f>
        <v>-1303331.0922817141</v>
      </c>
      <c r="W86" s="241">
        <f t="shared" si="11"/>
        <v>1303331.0922817141</v>
      </c>
      <c r="Y86" s="241"/>
      <c r="Z86" s="265">
        <v>8447270.6431659497</v>
      </c>
      <c r="AA86" s="241">
        <f t="shared" si="13"/>
        <v>-195428.09070230462</v>
      </c>
      <c r="AB86" s="241">
        <f t="shared" si="14"/>
        <v>195428.09070230462</v>
      </c>
    </row>
    <row r="87" spans="10:28" x14ac:dyDescent="0.25">
      <c r="J87" s="241">
        <f>ECON_OUTPUT!G87</f>
        <v>4800000</v>
      </c>
      <c r="K87" s="241">
        <f>ECON_OUTPUT!Q87</f>
        <v>3980000</v>
      </c>
      <c r="L87" s="241">
        <f t="shared" si="8"/>
        <v>-820000</v>
      </c>
      <c r="M87" s="241">
        <f t="shared" si="9"/>
        <v>820000</v>
      </c>
      <c r="O87" s="244">
        <f>IF(ECON_OUTPUT!BG87=5,ECON_OUTPUT!G87*(ECON_ASSUMPT!G$13),0)</f>
        <v>0</v>
      </c>
      <c r="P87" s="244">
        <f>IF(ECON_OUTPUT!BE87="Other",ECON_OUTPUT!G87*ECON_ASSUMPT!G$14,0)</f>
        <v>0</v>
      </c>
      <c r="Q87" s="241">
        <f>ECON_OUTPUT!G87+O87+P87</f>
        <v>4800000</v>
      </c>
      <c r="R87" s="241">
        <f t="shared" si="12"/>
        <v>-820000</v>
      </c>
      <c r="S87" s="241">
        <f t="shared" si="10"/>
        <v>820000</v>
      </c>
      <c r="U87" s="241">
        <f>ECON_ASSUMPT!E$4+(ECON_OUTPUT!G87*ECON_ASSUMPT!E$5)+(ECON_OUTPUT!BJ87*ECON_ASSUMPT!E$6)+(ECON_OUTPUT!BK87*ECON_ASSUMPT!E$7)+(ECON_OUTPUT!BL87*ECON_ASSUMPT!E$8)+(ECON_OUTPUT!BM87*ECON_ASSUMPT!E$9)+(ECON_OUTPUT!BN87*ECON_ASSUMPT!E$10)</f>
        <v>4494896.6528627826</v>
      </c>
      <c r="V87" s="241">
        <f>ECON_OUTPUT!Q87-U87</f>
        <v>-514896.65286278259</v>
      </c>
      <c r="W87" s="241">
        <f t="shared" si="11"/>
        <v>514896.65286278259</v>
      </c>
      <c r="Y87" s="241"/>
      <c r="Z87" s="265">
        <v>5761076.1784710698</v>
      </c>
      <c r="AA87" s="241">
        <f t="shared" si="13"/>
        <v>-820000</v>
      </c>
      <c r="AB87" s="241">
        <f t="shared" si="14"/>
        <v>820000</v>
      </c>
    </row>
    <row r="88" spans="10:28" x14ac:dyDescent="0.25">
      <c r="J88" s="241">
        <f>ECON_OUTPUT!G88</f>
        <v>1965000</v>
      </c>
      <c r="K88" s="241">
        <f>ECON_OUTPUT!Q88</f>
        <v>2280000</v>
      </c>
      <c r="L88" s="241">
        <f t="shared" si="8"/>
        <v>315000</v>
      </c>
      <c r="M88" s="241">
        <f t="shared" si="9"/>
        <v>315000</v>
      </c>
      <c r="O88" s="244">
        <f>IF(ECON_OUTPUT!BG88=5,ECON_OUTPUT!G88*(ECON_ASSUMPT!G$13),0)</f>
        <v>0</v>
      </c>
      <c r="P88" s="244">
        <f>IF(ECON_OUTPUT!BE88="Other",ECON_OUTPUT!G88*ECON_ASSUMPT!G$14,0)</f>
        <v>114386.60742000438</v>
      </c>
      <c r="Q88" s="241">
        <f>ECON_OUTPUT!G88+O88+P88</f>
        <v>2079386.6074200044</v>
      </c>
      <c r="R88" s="241">
        <f t="shared" si="12"/>
        <v>200613.39257999556</v>
      </c>
      <c r="S88" s="241">
        <f t="shared" si="10"/>
        <v>200613.39257999556</v>
      </c>
      <c r="U88" s="241">
        <f>ECON_ASSUMPT!E$4+(ECON_OUTPUT!G88*ECON_ASSUMPT!E$5)+(ECON_OUTPUT!BJ88*ECON_ASSUMPT!E$6)+(ECON_OUTPUT!BK88*ECON_ASSUMPT!E$7)+(ECON_OUTPUT!BL88*ECON_ASSUMPT!E$8)+(ECON_OUTPUT!BM88*ECON_ASSUMPT!E$9)+(ECON_OUTPUT!BN88*ECON_ASSUMPT!E$10)</f>
        <v>3206413.4468163671</v>
      </c>
      <c r="V88" s="241">
        <f>ECON_OUTPUT!Q88-U88</f>
        <v>-926413.4468163671</v>
      </c>
      <c r="W88" s="241">
        <f t="shared" si="11"/>
        <v>926413.4468163671</v>
      </c>
      <c r="Y88" s="241"/>
      <c r="Z88" s="265">
        <v>2734677.2026441898</v>
      </c>
      <c r="AA88" s="241">
        <f t="shared" si="13"/>
        <v>200613.39257999556</v>
      </c>
      <c r="AB88" s="241">
        <f t="shared" si="14"/>
        <v>200613.39257999556</v>
      </c>
    </row>
    <row r="89" spans="10:28" x14ac:dyDescent="0.25">
      <c r="J89" s="241">
        <f>ECON_OUTPUT!G89</f>
        <v>970000</v>
      </c>
      <c r="K89" s="241">
        <f>ECON_OUTPUT!Q89</f>
        <v>792963</v>
      </c>
      <c r="L89" s="241">
        <f t="shared" si="8"/>
        <v>-177037</v>
      </c>
      <c r="M89" s="241">
        <f t="shared" si="9"/>
        <v>177037</v>
      </c>
      <c r="O89" s="244">
        <f>IF(ECON_OUTPUT!BG89=5,ECON_OUTPUT!G89*(ECON_ASSUMPT!G$13),0)</f>
        <v>0</v>
      </c>
      <c r="P89" s="244">
        <f>IF(ECON_OUTPUT!BE89="Other",ECON_OUTPUT!G89*ECON_ASSUMPT!G$14,0)</f>
        <v>0</v>
      </c>
      <c r="Q89" s="241">
        <f>ECON_OUTPUT!G89+O89+P89</f>
        <v>970000</v>
      </c>
      <c r="R89" s="241">
        <f t="shared" si="12"/>
        <v>-177037</v>
      </c>
      <c r="S89" s="241">
        <f t="shared" si="10"/>
        <v>177037</v>
      </c>
      <c r="U89" s="241">
        <f>ECON_ASSUMPT!E$4+(ECON_OUTPUT!G89*ECON_ASSUMPT!E$5)+(ECON_OUTPUT!BJ89*ECON_ASSUMPT!E$6)+(ECON_OUTPUT!BK89*ECON_ASSUMPT!E$7)+(ECON_OUTPUT!BL89*ECON_ASSUMPT!E$8)+(ECON_OUTPUT!BM89*ECON_ASSUMPT!E$9)+(ECON_OUTPUT!BN89*ECON_ASSUMPT!E$10)</f>
        <v>-210379.77330258291</v>
      </c>
      <c r="V89" s="241">
        <f>ECON_OUTPUT!Q89-U89</f>
        <v>1003342.7733025829</v>
      </c>
      <c r="W89" s="241">
        <f t="shared" si="11"/>
        <v>1003342.7733025829</v>
      </c>
      <c r="Y89" s="241"/>
      <c r="Z89" s="265">
        <v>194397.65615575801</v>
      </c>
      <c r="AA89" s="241">
        <f t="shared" si="13"/>
        <v>-177037</v>
      </c>
      <c r="AB89" s="241">
        <f t="shared" si="14"/>
        <v>177037</v>
      </c>
    </row>
    <row r="90" spans="10:28" x14ac:dyDescent="0.25">
      <c r="J90" s="241">
        <f>ECON_OUTPUT!G90</f>
        <v>2580000</v>
      </c>
      <c r="K90" s="241">
        <f>ECON_OUTPUT!Q90</f>
        <v>1707400</v>
      </c>
      <c r="L90" s="241">
        <f t="shared" si="8"/>
        <v>-872600</v>
      </c>
      <c r="M90" s="241">
        <f t="shared" si="9"/>
        <v>872600</v>
      </c>
      <c r="O90" s="244">
        <f>IF(ECON_OUTPUT!BG90=5,ECON_OUTPUT!G90*(ECON_ASSUMPT!G$13),0)</f>
        <v>0</v>
      </c>
      <c r="P90" s="244">
        <f>IF(ECON_OUTPUT!BE90="Other",ECON_OUTPUT!G90*ECON_ASSUMPT!G$14,0)</f>
        <v>0</v>
      </c>
      <c r="Q90" s="241">
        <f>ECON_OUTPUT!G90+O90+P90</f>
        <v>2580000</v>
      </c>
      <c r="R90" s="241">
        <f t="shared" si="12"/>
        <v>-872600</v>
      </c>
      <c r="S90" s="241">
        <f t="shared" si="10"/>
        <v>872600</v>
      </c>
      <c r="U90" s="241">
        <f>ECON_ASSUMPT!E$4+(ECON_OUTPUT!G90*ECON_ASSUMPT!E$5)+(ECON_OUTPUT!BJ90*ECON_ASSUMPT!E$6)+(ECON_OUTPUT!BK90*ECON_ASSUMPT!E$7)+(ECON_OUTPUT!BL90*ECON_ASSUMPT!E$8)+(ECON_OUTPUT!BM90*ECON_ASSUMPT!E$9)+(ECON_OUTPUT!BN90*ECON_ASSUMPT!E$10)</f>
        <v>1821782.0091171479</v>
      </c>
      <c r="V90" s="241">
        <f>ECON_OUTPUT!Q90-U90</f>
        <v>-114382.00911714789</v>
      </c>
      <c r="W90" s="241">
        <f t="shared" si="11"/>
        <v>114382.00911714789</v>
      </c>
      <c r="Y90" s="241"/>
      <c r="Z90" s="265">
        <v>2266002.8488426302</v>
      </c>
      <c r="AA90" s="241">
        <f t="shared" si="13"/>
        <v>-872600</v>
      </c>
      <c r="AB90" s="241">
        <f t="shared" si="14"/>
        <v>872600</v>
      </c>
    </row>
    <row r="91" spans="10:28" x14ac:dyDescent="0.25">
      <c r="J91" s="241">
        <f>ECON_OUTPUT!G91</f>
        <v>10393000</v>
      </c>
      <c r="K91" s="241">
        <f>ECON_OUTPUT!Q91</f>
        <v>9176000</v>
      </c>
      <c r="L91" s="241">
        <f t="shared" si="8"/>
        <v>-1217000</v>
      </c>
      <c r="M91" s="241">
        <f t="shared" si="9"/>
        <v>1217000</v>
      </c>
      <c r="O91" s="244">
        <f>IF(ECON_OUTPUT!BG91=5,ECON_OUTPUT!G91*(ECON_ASSUMPT!G$13),0)</f>
        <v>0</v>
      </c>
      <c r="P91" s="244">
        <f>IF(ECON_OUTPUT!BE91="Other",ECON_OUTPUT!G91*ECON_ASSUMPT!G$14,0)</f>
        <v>604997.46102600789</v>
      </c>
      <c r="Q91" s="241">
        <f>ECON_OUTPUT!G91+O91+P91</f>
        <v>10997997.461026007</v>
      </c>
      <c r="R91" s="241">
        <f t="shared" si="12"/>
        <v>-1821997.4610260073</v>
      </c>
      <c r="S91" s="241">
        <f t="shared" si="10"/>
        <v>1821997.4610260073</v>
      </c>
      <c r="U91" s="241">
        <f>ECON_ASSUMPT!E$4+(ECON_OUTPUT!G91*ECON_ASSUMPT!E$5)+(ECON_OUTPUT!BJ91*ECON_ASSUMPT!E$6)+(ECON_OUTPUT!BK91*ECON_ASSUMPT!E$7)+(ECON_OUTPUT!BL91*ECON_ASSUMPT!E$8)+(ECON_OUTPUT!BM91*ECON_ASSUMPT!E$9)+(ECON_OUTPUT!BN91*ECON_ASSUMPT!E$10)</f>
        <v>11373420.976403998</v>
      </c>
      <c r="V91" s="241">
        <f>ECON_OUTPUT!Q91-U91</f>
        <v>-2197420.9764039982</v>
      </c>
      <c r="W91" s="241">
        <f t="shared" si="11"/>
        <v>2197420.9764039982</v>
      </c>
      <c r="Y91" s="241"/>
      <c r="Z91" s="265">
        <v>11216149.1836573</v>
      </c>
      <c r="AA91" s="241">
        <f t="shared" si="13"/>
        <v>-1821997.4610260073</v>
      </c>
      <c r="AB91" s="241">
        <f t="shared" si="14"/>
        <v>1821997.4610260073</v>
      </c>
    </row>
    <row r="92" spans="10:28" x14ac:dyDescent="0.25">
      <c r="J92" s="241">
        <f>ECON_OUTPUT!G92</f>
        <v>240000</v>
      </c>
      <c r="K92" s="241">
        <f>ECON_OUTPUT!Q92</f>
        <v>142000</v>
      </c>
      <c r="L92" s="241">
        <f t="shared" si="8"/>
        <v>-98000</v>
      </c>
      <c r="M92" s="241">
        <f t="shared" si="9"/>
        <v>98000</v>
      </c>
      <c r="O92" s="244">
        <f>IF(ECON_OUTPUT!BG92=5,ECON_OUTPUT!G92*(ECON_ASSUMPT!G$13),0)</f>
        <v>0</v>
      </c>
      <c r="P92" s="244">
        <f>IF(ECON_OUTPUT!BE92="Other",ECON_OUTPUT!G92*ECON_ASSUMPT!G$14,0)</f>
        <v>13970.883349008169</v>
      </c>
      <c r="Q92" s="241">
        <f>ECON_OUTPUT!G92+O92+P92</f>
        <v>253970.88334900816</v>
      </c>
      <c r="R92" s="241">
        <f t="shared" si="12"/>
        <v>-111970.88334900816</v>
      </c>
      <c r="S92" s="241">
        <f t="shared" si="10"/>
        <v>111970.88334900816</v>
      </c>
      <c r="U92" s="241">
        <f>ECON_ASSUMPT!E$4+(ECON_OUTPUT!G92*ECON_ASSUMPT!E$5)+(ECON_OUTPUT!BJ92*ECON_ASSUMPT!E$6)+(ECON_OUTPUT!BK92*ECON_ASSUMPT!E$7)+(ECON_OUTPUT!BL92*ECON_ASSUMPT!E$8)+(ECON_OUTPUT!BM92*ECON_ASSUMPT!E$9)+(ECON_OUTPUT!BN92*ECON_ASSUMPT!E$10)</f>
        <v>1074194.8735736043</v>
      </c>
      <c r="V92" s="241">
        <f>ECON_OUTPUT!Q92-U92</f>
        <v>-932194.87357360427</v>
      </c>
      <c r="W92" s="241">
        <f t="shared" si="11"/>
        <v>932194.87357360427</v>
      </c>
      <c r="Y92" s="241"/>
      <c r="Z92" s="265">
        <v>1586630.27700334</v>
      </c>
      <c r="AA92" s="241">
        <f t="shared" si="13"/>
        <v>-111970.88334900816</v>
      </c>
      <c r="AB92" s="241">
        <f t="shared" si="14"/>
        <v>111970.88334900816</v>
      </c>
    </row>
    <row r="93" spans="10:28" x14ac:dyDescent="0.25">
      <c r="J93" s="241">
        <f>ECON_OUTPUT!G93</f>
        <v>479900000</v>
      </c>
      <c r="K93" s="241">
        <f>ECON_OUTPUT!Q93</f>
        <v>479645000</v>
      </c>
      <c r="L93" s="241">
        <f t="shared" si="8"/>
        <v>-255000</v>
      </c>
      <c r="M93" s="241">
        <f t="shared" si="9"/>
        <v>255000</v>
      </c>
      <c r="O93" s="244">
        <f>IF(ECON_OUTPUT!BG93=5,ECON_OUTPUT!G93*(ECON_ASSUMPT!G$13),0)</f>
        <v>14905835.292310543</v>
      </c>
      <c r="P93" s="244">
        <f>IF(ECON_OUTPUT!BE93="Other",ECON_OUTPUT!G93*ECON_ASSUMPT!G$14,0)</f>
        <v>27935945.49662092</v>
      </c>
      <c r="Q93" s="241">
        <f>ECON_OUTPUT!G93+O93+P93</f>
        <v>522741780.78893143</v>
      </c>
      <c r="R93" s="241">
        <f t="shared" si="12"/>
        <v>-43096780.788931429</v>
      </c>
      <c r="S93" s="241">
        <f t="shared" si="10"/>
        <v>43096780.788931429</v>
      </c>
      <c r="U93" s="241">
        <f>ECON_ASSUMPT!E$4+(ECON_OUTPUT!G93*ECON_ASSUMPT!E$5)+(ECON_OUTPUT!BJ93*ECON_ASSUMPT!E$6)+(ECON_OUTPUT!BK93*ECON_ASSUMPT!E$7)+(ECON_OUTPUT!BL93*ECON_ASSUMPT!E$8)+(ECON_OUTPUT!BM93*ECON_ASSUMPT!E$9)+(ECON_OUTPUT!BN93*ECON_ASSUMPT!E$10)</f>
        <v>422254496.21589416</v>
      </c>
      <c r="V93" s="241">
        <f>ECON_OUTPUT!Q93-U93</f>
        <v>57390503.784105837</v>
      </c>
      <c r="W93" s="241">
        <f t="shared" si="11"/>
        <v>57390503.784105837</v>
      </c>
      <c r="Y93" s="241"/>
      <c r="Z93" s="265">
        <v>415552026.30783701</v>
      </c>
      <c r="AA93" s="241">
        <f t="shared" si="13"/>
        <v>-43096780.788931429</v>
      </c>
      <c r="AB93" s="241">
        <f t="shared" si="14"/>
        <v>43096780.788931429</v>
      </c>
    </row>
    <row r="94" spans="10:28" x14ac:dyDescent="0.25">
      <c r="J94" s="241">
        <f>ECON_OUTPUT!G94</f>
        <v>1425000</v>
      </c>
      <c r="K94" s="241">
        <f>ECON_OUTPUT!Q94</f>
        <v>1668410</v>
      </c>
      <c r="L94" s="241">
        <f t="shared" si="8"/>
        <v>243410</v>
      </c>
      <c r="M94" s="241">
        <f t="shared" si="9"/>
        <v>243410</v>
      </c>
      <c r="O94" s="244">
        <f>IF(ECON_OUTPUT!BG94=5,ECON_OUTPUT!G94*(ECON_ASSUMPT!G$13),0)</f>
        <v>0</v>
      </c>
      <c r="P94" s="244">
        <f>IF(ECON_OUTPUT!BE94="Other",ECON_OUTPUT!G94*ECON_ASSUMPT!G$14,0)</f>
        <v>82952.119884736006</v>
      </c>
      <c r="Q94" s="241">
        <f>ECON_OUTPUT!G94+O94+P94</f>
        <v>1507952.1198847359</v>
      </c>
      <c r="R94" s="241">
        <f t="shared" si="12"/>
        <v>160457.8801152641</v>
      </c>
      <c r="S94" s="241">
        <f t="shared" si="10"/>
        <v>160457.8801152641</v>
      </c>
      <c r="U94" s="241">
        <f>ECON_ASSUMPT!E$4+(ECON_OUTPUT!G94*ECON_ASSUMPT!E$5)+(ECON_OUTPUT!BJ94*ECON_ASSUMPT!E$6)+(ECON_OUTPUT!BK94*ECON_ASSUMPT!E$7)+(ECON_OUTPUT!BL94*ECON_ASSUMPT!E$8)+(ECON_OUTPUT!BM94*ECON_ASSUMPT!E$9)+(ECON_OUTPUT!BN94*ECON_ASSUMPT!E$10)</f>
        <v>2736581.5594734349</v>
      </c>
      <c r="V94" s="241">
        <f>ECON_OUTPUT!Q94-U94</f>
        <v>-1068171.5594734349</v>
      </c>
      <c r="W94" s="241">
        <f t="shared" si="11"/>
        <v>1068171.5594734349</v>
      </c>
      <c r="Y94" s="241"/>
      <c r="Z94" s="265">
        <v>3056228.7454319801</v>
      </c>
      <c r="AA94" s="241">
        <f t="shared" si="13"/>
        <v>160457.8801152641</v>
      </c>
      <c r="AB94" s="241">
        <f t="shared" si="14"/>
        <v>160457.8801152641</v>
      </c>
    </row>
    <row r="95" spans="10:28" x14ac:dyDescent="0.25">
      <c r="J95" s="241">
        <f>ECON_OUTPUT!G95</f>
        <v>3750000</v>
      </c>
      <c r="K95" s="241">
        <f>ECON_OUTPUT!Q95</f>
        <v>2475475</v>
      </c>
      <c r="L95" s="241">
        <f t="shared" si="8"/>
        <v>-1274525</v>
      </c>
      <c r="M95" s="241">
        <f t="shared" si="9"/>
        <v>1274525</v>
      </c>
      <c r="O95" s="244">
        <f>IF(ECON_OUTPUT!BG95=5,ECON_OUTPUT!G95*(ECON_ASSUMPT!G$13),0)</f>
        <v>0</v>
      </c>
      <c r="P95" s="244">
        <f>IF(ECON_OUTPUT!BE95="Other",ECON_OUTPUT!G95*ECON_ASSUMPT!G$14,0)</f>
        <v>218295.05232825264</v>
      </c>
      <c r="Q95" s="241">
        <f>ECON_OUTPUT!G95+O95+P95</f>
        <v>3968295.0523282527</v>
      </c>
      <c r="R95" s="241">
        <f t="shared" si="12"/>
        <v>-1492820.0523282527</v>
      </c>
      <c r="S95" s="241">
        <f t="shared" si="10"/>
        <v>1492820.0523282527</v>
      </c>
      <c r="U95" s="241">
        <f>ECON_ASSUMPT!E$4+(ECON_OUTPUT!G95*ECON_ASSUMPT!E$5)+(ECON_OUTPUT!BJ95*ECON_ASSUMPT!E$6)+(ECON_OUTPUT!BK95*ECON_ASSUMPT!E$7)+(ECON_OUTPUT!BL95*ECON_ASSUMPT!E$8)+(ECON_OUTPUT!BM95*ECON_ASSUMPT!E$9)+(ECON_OUTPUT!BN95*ECON_ASSUMPT!E$10)</f>
        <v>4759468.8521999475</v>
      </c>
      <c r="V95" s="241">
        <f>ECON_OUTPUT!Q95-U95</f>
        <v>-2283993.8521999475</v>
      </c>
      <c r="W95" s="241">
        <f t="shared" si="11"/>
        <v>2283993.8521999475</v>
      </c>
      <c r="Y95" s="241"/>
      <c r="Z95" s="265">
        <v>4889340.7075312603</v>
      </c>
      <c r="AA95" s="241">
        <f t="shared" si="13"/>
        <v>-1492820.0523282527</v>
      </c>
      <c r="AB95" s="241">
        <f t="shared" si="14"/>
        <v>1492820.0523282527</v>
      </c>
    </row>
    <row r="96" spans="10:28" x14ac:dyDescent="0.25">
      <c r="J96" s="241">
        <f>ECON_OUTPUT!G96</f>
        <v>3700000</v>
      </c>
      <c r="K96" s="241">
        <f>ECON_OUTPUT!Q96</f>
        <v>3185420</v>
      </c>
      <c r="L96" s="241">
        <f t="shared" si="8"/>
        <v>-514580</v>
      </c>
      <c r="M96" s="241">
        <f t="shared" si="9"/>
        <v>514580</v>
      </c>
      <c r="O96" s="244">
        <f>IF(ECON_OUTPUT!BG96=5,ECON_OUTPUT!G96*(ECON_ASSUMPT!G$13),0)</f>
        <v>0</v>
      </c>
      <c r="P96" s="244">
        <f>IF(ECON_OUTPUT!BE96="Other",ECON_OUTPUT!G96*ECON_ASSUMPT!G$14,0)</f>
        <v>0</v>
      </c>
      <c r="Q96" s="241">
        <f>ECON_OUTPUT!G96+O96+P96</f>
        <v>3700000</v>
      </c>
      <c r="R96" s="241">
        <f t="shared" si="12"/>
        <v>-514580</v>
      </c>
      <c r="S96" s="241">
        <f t="shared" si="10"/>
        <v>514580</v>
      </c>
      <c r="U96" s="241">
        <f>ECON_ASSUMPT!E$4+(ECON_OUTPUT!G96*ECON_ASSUMPT!E$5)+(ECON_OUTPUT!BJ96*ECON_ASSUMPT!E$6)+(ECON_OUTPUT!BK96*ECON_ASSUMPT!E$7)+(ECON_OUTPUT!BL96*ECON_ASSUMPT!E$8)+(ECON_OUTPUT!BM96*ECON_ASSUMPT!E$9)+(ECON_OUTPUT!BN96*ECON_ASSUMPT!E$10)</f>
        <v>3537831.6971642179</v>
      </c>
      <c r="V96" s="241">
        <f>ECON_OUTPUT!Q96-U96</f>
        <v>-352411.69716421794</v>
      </c>
      <c r="W96" s="241">
        <f t="shared" si="11"/>
        <v>352411.69716421794</v>
      </c>
      <c r="Y96" s="241"/>
      <c r="Z96" s="265">
        <v>5125496.2252994003</v>
      </c>
      <c r="AA96" s="241">
        <f t="shared" si="13"/>
        <v>-514580</v>
      </c>
      <c r="AB96" s="241">
        <f t="shared" si="14"/>
        <v>514580</v>
      </c>
    </row>
    <row r="97" spans="10:28" x14ac:dyDescent="0.25">
      <c r="J97" s="241">
        <f>ECON_OUTPUT!G97</f>
        <v>1655000</v>
      </c>
      <c r="K97" s="241">
        <f>ECON_OUTPUT!Q97</f>
        <v>1551460</v>
      </c>
      <c r="L97" s="241">
        <f t="shared" si="8"/>
        <v>-103540</v>
      </c>
      <c r="M97" s="241">
        <f t="shared" si="9"/>
        <v>103540</v>
      </c>
      <c r="O97" s="244">
        <f>IF(ECON_OUTPUT!BG97=5,ECON_OUTPUT!G97*(ECON_ASSUMPT!G$13),0)</f>
        <v>0</v>
      </c>
      <c r="P97" s="244">
        <f>IF(ECON_OUTPUT!BE97="Other",ECON_OUTPUT!G97*ECON_ASSUMPT!G$14,0)</f>
        <v>0</v>
      </c>
      <c r="Q97" s="241">
        <f>ECON_OUTPUT!G97+O97+P97</f>
        <v>1655000</v>
      </c>
      <c r="R97" s="241">
        <f t="shared" si="12"/>
        <v>-103540</v>
      </c>
      <c r="S97" s="241">
        <f t="shared" si="10"/>
        <v>103540</v>
      </c>
      <c r="U97" s="241">
        <f>ECON_ASSUMPT!E$4+(ECON_OUTPUT!G97*ECON_ASSUMPT!E$5)+(ECON_OUTPUT!BJ97*ECON_ASSUMPT!E$6)+(ECON_OUTPUT!BK97*ECON_ASSUMPT!E$7)+(ECON_OUTPUT!BL97*ECON_ASSUMPT!E$8)+(ECON_OUTPUT!BM97*ECON_ASSUMPT!E$9)+(ECON_OUTPUT!BN97*ECON_ASSUMPT!E$10)</f>
        <v>1016977.3872797184</v>
      </c>
      <c r="V97" s="241">
        <f>ECON_OUTPUT!Q97-U97</f>
        <v>534482.61272028158</v>
      </c>
      <c r="W97" s="241">
        <f t="shared" si="11"/>
        <v>534482.61272028158</v>
      </c>
      <c r="Y97" s="241"/>
      <c r="Z97" s="265">
        <v>1642306.97004292</v>
      </c>
      <c r="AA97" s="241">
        <f t="shared" si="13"/>
        <v>-103540</v>
      </c>
      <c r="AB97" s="241">
        <f t="shared" si="14"/>
        <v>103540</v>
      </c>
    </row>
    <row r="98" spans="10:28" x14ac:dyDescent="0.25">
      <c r="J98" s="241">
        <f>ECON_OUTPUT!G98</f>
        <v>30360000</v>
      </c>
      <c r="K98" s="241">
        <f>ECON_OUTPUT!Q98</f>
        <v>43958640</v>
      </c>
      <c r="L98" s="241">
        <f t="shared" si="8"/>
        <v>13598640</v>
      </c>
      <c r="M98" s="241">
        <f t="shared" si="9"/>
        <v>13598640</v>
      </c>
      <c r="O98" s="244">
        <f>IF(ECON_OUTPUT!BG98=5,ECON_OUTPUT!G98*(ECON_ASSUMPT!G$13),0)</f>
        <v>942990.53860085038</v>
      </c>
      <c r="P98" s="244">
        <f>IF(ECON_OUTPUT!BE98="Other",ECON_OUTPUT!G98*ECON_ASSUMPT!G$14,0)</f>
        <v>1767316.7436495335</v>
      </c>
      <c r="Q98" s="241">
        <f>ECON_OUTPUT!G98+O98+P98</f>
        <v>33070307.282250386</v>
      </c>
      <c r="R98" s="241">
        <f t="shared" si="12"/>
        <v>10888332.717749614</v>
      </c>
      <c r="S98" s="241">
        <f t="shared" si="10"/>
        <v>10888332.717749614</v>
      </c>
      <c r="U98" s="241">
        <f>ECON_ASSUMPT!E$4+(ECON_OUTPUT!G98*ECON_ASSUMPT!E$5)+(ECON_OUTPUT!BJ98*ECON_ASSUMPT!E$6)+(ECON_OUTPUT!BK98*ECON_ASSUMPT!E$7)+(ECON_OUTPUT!BL98*ECON_ASSUMPT!E$8)+(ECON_OUTPUT!BM98*ECON_ASSUMPT!E$9)+(ECON_OUTPUT!BN98*ECON_ASSUMPT!E$10)</f>
        <v>31128150.593409792</v>
      </c>
      <c r="V98" s="241">
        <f>ECON_OUTPUT!Q98-U98</f>
        <v>12830489.406590208</v>
      </c>
      <c r="W98" s="241">
        <f t="shared" si="11"/>
        <v>12830489.406590208</v>
      </c>
      <c r="Y98" s="241"/>
      <c r="Z98" s="265">
        <v>32119790.620662998</v>
      </c>
      <c r="AA98" s="241">
        <f t="shared" si="13"/>
        <v>10888332.717749614</v>
      </c>
      <c r="AB98" s="241">
        <f t="shared" si="14"/>
        <v>10888332.717749614</v>
      </c>
    </row>
    <row r="99" spans="10:28" x14ac:dyDescent="0.25">
      <c r="J99" s="241">
        <f>ECON_OUTPUT!G99</f>
        <v>18870000</v>
      </c>
      <c r="K99" s="241">
        <f>ECON_OUTPUT!Q99</f>
        <v>20782135</v>
      </c>
      <c r="L99" s="241">
        <f t="shared" si="8"/>
        <v>1912135</v>
      </c>
      <c r="M99" s="241">
        <f t="shared" si="9"/>
        <v>1912135</v>
      </c>
      <c r="O99" s="244">
        <f>IF(ECON_OUTPUT!BG99=5,ECON_OUTPUT!G99*(ECON_ASSUMPT!G$13),0)</f>
        <v>586107.75571139809</v>
      </c>
      <c r="P99" s="244">
        <f>IF(ECON_OUTPUT!BE99="Other",ECON_OUTPUT!G99*ECON_ASSUMPT!G$14,0)</f>
        <v>1098460.7033157672</v>
      </c>
      <c r="Q99" s="241">
        <f>ECON_OUTPUT!G99+O99+P99</f>
        <v>20554568.459027167</v>
      </c>
      <c r="R99" s="241">
        <f t="shared" si="12"/>
        <v>227566.54097283259</v>
      </c>
      <c r="S99" s="241">
        <f t="shared" si="10"/>
        <v>227566.54097283259</v>
      </c>
      <c r="U99" s="241">
        <f>ECON_ASSUMPT!E$4+(ECON_OUTPUT!G99*ECON_ASSUMPT!E$5)+(ECON_OUTPUT!BJ99*ECON_ASSUMPT!E$6)+(ECON_OUTPUT!BK99*ECON_ASSUMPT!E$7)+(ECON_OUTPUT!BL99*ECON_ASSUMPT!E$8)+(ECON_OUTPUT!BM99*ECON_ASSUMPT!E$9)+(ECON_OUTPUT!BN99*ECON_ASSUMPT!E$10)</f>
        <v>21131172.101612963</v>
      </c>
      <c r="V99" s="241">
        <f>ECON_OUTPUT!Q99-U99</f>
        <v>-349037.10161296278</v>
      </c>
      <c r="W99" s="241">
        <f t="shared" si="11"/>
        <v>349037.10161296278</v>
      </c>
      <c r="Y99" s="241"/>
      <c r="Z99" s="265">
        <v>21680289.9809011</v>
      </c>
      <c r="AA99" s="241">
        <f t="shared" si="13"/>
        <v>227566.54097283259</v>
      </c>
      <c r="AB99" s="241">
        <f t="shared" si="14"/>
        <v>227566.54097283259</v>
      </c>
    </row>
    <row r="100" spans="10:28" x14ac:dyDescent="0.25">
      <c r="J100" s="241">
        <f>ECON_OUTPUT!G100</f>
        <v>2625000</v>
      </c>
      <c r="K100" s="241">
        <f>ECON_OUTPUT!Q100</f>
        <v>2533850</v>
      </c>
      <c r="L100" s="241">
        <f t="shared" si="8"/>
        <v>-91150</v>
      </c>
      <c r="M100" s="241">
        <f t="shared" si="9"/>
        <v>91150</v>
      </c>
      <c r="O100" s="244">
        <f>IF(ECON_OUTPUT!BG100=5,ECON_OUTPUT!G100*(ECON_ASSUMPT!G$13),0)</f>
        <v>0</v>
      </c>
      <c r="P100" s="244">
        <f>IF(ECON_OUTPUT!BE100="Other",ECON_OUTPUT!G100*ECON_ASSUMPT!G$14,0)</f>
        <v>152806.53662977685</v>
      </c>
      <c r="Q100" s="241">
        <f>ECON_OUTPUT!G100+O100+P100</f>
        <v>2777806.5366297769</v>
      </c>
      <c r="R100" s="241">
        <f t="shared" si="12"/>
        <v>-243956.53662977694</v>
      </c>
      <c r="S100" s="241">
        <f t="shared" si="10"/>
        <v>243956.53662977694</v>
      </c>
      <c r="U100" s="241">
        <f>ECON_ASSUMPT!E$4+(ECON_OUTPUT!G100*ECON_ASSUMPT!E$5)+(ECON_OUTPUT!BJ100*ECON_ASSUMPT!E$6)+(ECON_OUTPUT!BK100*ECON_ASSUMPT!E$7)+(ECON_OUTPUT!BL100*ECON_ASSUMPT!E$8)+(ECON_OUTPUT!BM100*ECON_ASSUMPT!E$9)+(ECON_OUTPUT!BN100*ECON_ASSUMPT!E$10)</f>
        <v>4522235.9715713095</v>
      </c>
      <c r="V100" s="241">
        <f>ECON_OUTPUT!Q100-U100</f>
        <v>-1988385.9715713095</v>
      </c>
      <c r="W100" s="241">
        <f t="shared" si="11"/>
        <v>1988385.9715713095</v>
      </c>
      <c r="Y100" s="241"/>
      <c r="Z100" s="265">
        <v>3738726.6645563901</v>
      </c>
      <c r="AA100" s="241">
        <f t="shared" si="13"/>
        <v>-243956.53662977694</v>
      </c>
      <c r="AB100" s="241">
        <f t="shared" si="14"/>
        <v>243956.53662977694</v>
      </c>
    </row>
    <row r="101" spans="10:28" x14ac:dyDescent="0.25">
      <c r="J101" s="241">
        <f>ECON_OUTPUT!G101</f>
        <v>1520000</v>
      </c>
      <c r="K101" s="241">
        <f>ECON_OUTPUT!Q101</f>
        <v>1248000</v>
      </c>
      <c r="L101" s="241">
        <f t="shared" si="8"/>
        <v>-272000</v>
      </c>
      <c r="M101" s="241">
        <f t="shared" si="9"/>
        <v>272000</v>
      </c>
      <c r="O101" s="244">
        <f>IF(ECON_OUTPUT!BG101=5,ECON_OUTPUT!G101*(ECON_ASSUMPT!G$13),0)</f>
        <v>0</v>
      </c>
      <c r="P101" s="244">
        <f>IF(ECON_OUTPUT!BE101="Other",ECON_OUTPUT!G101*ECON_ASSUMPT!G$14,0)</f>
        <v>0</v>
      </c>
      <c r="Q101" s="241">
        <f>ECON_OUTPUT!G101+O101+P101</f>
        <v>1520000</v>
      </c>
      <c r="R101" s="241">
        <f t="shared" si="12"/>
        <v>-272000</v>
      </c>
      <c r="S101" s="241">
        <f t="shared" si="10"/>
        <v>272000</v>
      </c>
      <c r="U101" s="241">
        <f>ECON_ASSUMPT!E$4+(ECON_OUTPUT!G101*ECON_ASSUMPT!E$5)+(ECON_OUTPUT!BJ101*ECON_ASSUMPT!E$6)+(ECON_OUTPUT!BK101*ECON_ASSUMPT!E$7)+(ECON_OUTPUT!BL101*ECON_ASSUMPT!E$8)+(ECON_OUTPUT!BM101*ECON_ASSUMPT!E$9)+(ECON_OUTPUT!BN101*ECON_ASSUMPT!E$10)</f>
        <v>268152.70454669953</v>
      </c>
      <c r="V101" s="241">
        <f>ECON_OUTPUT!Q101-U101</f>
        <v>979847.29545330047</v>
      </c>
      <c r="W101" s="241">
        <f t="shared" si="11"/>
        <v>979847.29545330047</v>
      </c>
      <c r="Y101" s="241"/>
      <c r="Z101" s="265">
        <v>362764.34441141703</v>
      </c>
      <c r="AA101" s="241">
        <f t="shared" si="13"/>
        <v>-272000</v>
      </c>
      <c r="AB101" s="241">
        <f t="shared" si="14"/>
        <v>272000</v>
      </c>
    </row>
    <row r="102" spans="10:28" x14ac:dyDescent="0.25">
      <c r="J102" s="241">
        <f>ECON_OUTPUT!G102</f>
        <v>12630000</v>
      </c>
      <c r="K102" s="241">
        <f>ECON_OUTPUT!Q102</f>
        <v>16000000</v>
      </c>
      <c r="L102" s="241">
        <f t="shared" si="8"/>
        <v>3370000</v>
      </c>
      <c r="M102" s="241">
        <f t="shared" si="9"/>
        <v>3370000</v>
      </c>
      <c r="O102" s="244">
        <f>IF(ECON_OUTPUT!BG102=5,ECON_OUTPUT!G102*(ECON_ASSUMPT!G$13),0)</f>
        <v>392291.51852861466</v>
      </c>
      <c r="P102" s="244">
        <f>IF(ECON_OUTPUT!BE102="Other",ECON_OUTPUT!G102*ECON_ASSUMPT!G$14,0)</f>
        <v>735217.73624155484</v>
      </c>
      <c r="Q102" s="241">
        <f>ECON_OUTPUT!G102+O102+P102</f>
        <v>13757509.254770169</v>
      </c>
      <c r="R102" s="241">
        <f t="shared" si="12"/>
        <v>2242490.745229831</v>
      </c>
      <c r="S102" s="241">
        <f t="shared" si="10"/>
        <v>2242490.745229831</v>
      </c>
      <c r="U102" s="241">
        <f>ECON_ASSUMPT!E$4+(ECON_OUTPUT!G102*ECON_ASSUMPT!E$5)+(ECON_OUTPUT!BJ102*ECON_ASSUMPT!E$6)+(ECON_OUTPUT!BK102*ECON_ASSUMPT!E$7)+(ECON_OUTPUT!BL102*ECON_ASSUMPT!E$8)+(ECON_OUTPUT!BM102*ECON_ASSUMPT!E$9)+(ECON_OUTPUT!BN102*ECON_ASSUMPT!E$10)</f>
        <v>15702003.625650194</v>
      </c>
      <c r="V102" s="241">
        <f>ECON_OUTPUT!Q102-U102</f>
        <v>297996.37434980646</v>
      </c>
      <c r="W102" s="241">
        <f t="shared" si="11"/>
        <v>297996.37434980646</v>
      </c>
      <c r="Y102" s="241"/>
      <c r="Z102" s="265">
        <v>16353186.2121101</v>
      </c>
      <c r="AA102" s="241">
        <f t="shared" si="13"/>
        <v>2242490.745229831</v>
      </c>
      <c r="AB102" s="241">
        <f t="shared" si="14"/>
        <v>2242490.745229831</v>
      </c>
    </row>
    <row r="103" spans="10:28" x14ac:dyDescent="0.25">
      <c r="J103" s="241">
        <f>ECON_OUTPUT!G103</f>
        <v>2060000</v>
      </c>
      <c r="K103" s="241">
        <f>ECON_OUTPUT!Q103</f>
        <v>2847400</v>
      </c>
      <c r="L103" s="241">
        <f t="shared" si="8"/>
        <v>787400</v>
      </c>
      <c r="M103" s="241">
        <f t="shared" si="9"/>
        <v>787400</v>
      </c>
      <c r="O103" s="244">
        <f>IF(ECON_OUTPUT!BG103=5,ECON_OUTPUT!G103*(ECON_ASSUMPT!G$13),0)</f>
        <v>0</v>
      </c>
      <c r="P103" s="244">
        <f>IF(ECON_OUTPUT!BE103="Other",ECON_OUTPUT!G103*ECON_ASSUMPT!G$14,0)</f>
        <v>0</v>
      </c>
      <c r="Q103" s="241">
        <f>ECON_OUTPUT!G103+O103+P103</f>
        <v>2060000</v>
      </c>
      <c r="R103" s="241">
        <f t="shared" si="12"/>
        <v>787400</v>
      </c>
      <c r="S103" s="241">
        <f t="shared" si="10"/>
        <v>787400</v>
      </c>
      <c r="U103" s="241">
        <f>ECON_ASSUMPT!E$4+(ECON_OUTPUT!G103*ECON_ASSUMPT!E$5)+(ECON_OUTPUT!BJ103*ECON_ASSUMPT!E$6)+(ECON_OUTPUT!BK103*ECON_ASSUMPT!E$7)+(ECON_OUTPUT!BL103*ECON_ASSUMPT!E$8)+(ECON_OUTPUT!BM103*ECON_ASSUMPT!E$9)+(ECON_OUTPUT!BN103*ECON_ASSUMPT!E$10)</f>
        <v>2110934.8541227216</v>
      </c>
      <c r="V103" s="241">
        <f>ECON_OUTPUT!Q103-U103</f>
        <v>736465.14587727841</v>
      </c>
      <c r="W103" s="241">
        <f t="shared" si="11"/>
        <v>736465.14587727841</v>
      </c>
      <c r="Y103" s="241"/>
      <c r="Z103" s="265">
        <v>1229039.8507108099</v>
      </c>
      <c r="AA103" s="241">
        <f t="shared" si="13"/>
        <v>787400</v>
      </c>
      <c r="AB103" s="241">
        <f t="shared" si="14"/>
        <v>787400</v>
      </c>
    </row>
    <row r="104" spans="10:28" x14ac:dyDescent="0.25">
      <c r="J104" s="241">
        <f>ECON_OUTPUT!G104</f>
        <v>3589000</v>
      </c>
      <c r="K104" s="241">
        <f>ECON_OUTPUT!Q104</f>
        <v>4090800</v>
      </c>
      <c r="L104" s="241">
        <f t="shared" si="8"/>
        <v>501800</v>
      </c>
      <c r="M104" s="241">
        <f t="shared" si="9"/>
        <v>501800</v>
      </c>
      <c r="O104" s="244">
        <f>IF(ECON_OUTPUT!BG104=5,ECON_OUTPUT!G104*(ECON_ASSUMPT!G$13),0)</f>
        <v>0</v>
      </c>
      <c r="P104" s="244">
        <f>IF(ECON_OUTPUT!BE104="Other",ECON_OUTPUT!G104*ECON_ASSUMPT!G$14,0)</f>
        <v>208922.91808162633</v>
      </c>
      <c r="Q104" s="241">
        <f>ECON_OUTPUT!G104+O104+P104</f>
        <v>3797922.9180816263</v>
      </c>
      <c r="R104" s="241">
        <f t="shared" si="12"/>
        <v>292877.0819183737</v>
      </c>
      <c r="S104" s="241">
        <f t="shared" si="10"/>
        <v>292877.0819183737</v>
      </c>
      <c r="U104" s="241">
        <f>ECON_ASSUMPT!E$4+(ECON_OUTPUT!G104*ECON_ASSUMPT!E$5)+(ECON_OUTPUT!BJ104*ECON_ASSUMPT!E$6)+(ECON_OUTPUT!BK104*ECON_ASSUMPT!E$7)+(ECON_OUTPUT!BL104*ECON_ASSUMPT!E$8)+(ECON_OUTPUT!BM104*ECON_ASSUMPT!E$9)+(ECON_OUTPUT!BN104*ECON_ASSUMPT!E$10)</f>
        <v>5360972.8963835072</v>
      </c>
      <c r="V104" s="241">
        <f>ECON_OUTPUT!Q104-U104</f>
        <v>-1270172.8963835072</v>
      </c>
      <c r="W104" s="241">
        <f t="shared" si="11"/>
        <v>1270172.8963835072</v>
      </c>
      <c r="Y104" s="241"/>
      <c r="Z104" s="265">
        <v>5735176.3715807498</v>
      </c>
      <c r="AA104" s="241">
        <f t="shared" si="13"/>
        <v>292877.0819183737</v>
      </c>
      <c r="AB104" s="241">
        <f t="shared" si="14"/>
        <v>292877.0819183737</v>
      </c>
    </row>
    <row r="105" spans="10:28" x14ac:dyDescent="0.25">
      <c r="J105" s="241">
        <f>ECON_OUTPUT!G105</f>
        <v>9000000</v>
      </c>
      <c r="K105" s="241">
        <f>ECON_OUTPUT!Q105</f>
        <v>15298075</v>
      </c>
      <c r="L105" s="241">
        <f t="shared" si="8"/>
        <v>6298075</v>
      </c>
      <c r="M105" s="241">
        <f t="shared" si="9"/>
        <v>6298075</v>
      </c>
      <c r="O105" s="244">
        <f>IF(ECON_OUTPUT!BG105=5,ECON_OUTPUT!G105*(ECON_ASSUMPT!G$13),0)</f>
        <v>279542.64978286077</v>
      </c>
      <c r="P105" s="244">
        <f>IF(ECON_OUTPUT!BE105="Other",ECON_OUTPUT!G105*ECON_ASSUMPT!G$14,0)</f>
        <v>0</v>
      </c>
      <c r="Q105" s="241">
        <f>ECON_OUTPUT!G105+O105+P105</f>
        <v>9279542.6497828607</v>
      </c>
      <c r="R105" s="241">
        <f t="shared" si="12"/>
        <v>6018532.3502171393</v>
      </c>
      <c r="S105" s="241">
        <f t="shared" si="10"/>
        <v>6018532.3502171393</v>
      </c>
      <c r="U105" s="241">
        <f>ECON_ASSUMPT!E$4+(ECON_OUTPUT!G105*ECON_ASSUMPT!E$5)+(ECON_OUTPUT!BJ105*ECON_ASSUMPT!E$6)+(ECON_OUTPUT!BK105*ECON_ASSUMPT!E$7)+(ECON_OUTPUT!BL105*ECON_ASSUMPT!E$8)+(ECON_OUTPUT!BM105*ECON_ASSUMPT!E$9)+(ECON_OUTPUT!BN105*ECON_ASSUMPT!E$10)</f>
        <v>10623971.518005149</v>
      </c>
      <c r="V105" s="241">
        <f>ECON_OUTPUT!Q105-U105</f>
        <v>4674103.4819948506</v>
      </c>
      <c r="W105" s="241">
        <f t="shared" si="11"/>
        <v>4674103.4819948506</v>
      </c>
      <c r="Y105" s="241"/>
      <c r="Z105" s="265">
        <v>11694049.813200001</v>
      </c>
      <c r="AA105" s="241">
        <f t="shared" si="13"/>
        <v>6018532.3502171393</v>
      </c>
      <c r="AB105" s="241">
        <f t="shared" si="14"/>
        <v>6018532.3502171393</v>
      </c>
    </row>
    <row r="106" spans="10:28" x14ac:dyDescent="0.25">
      <c r="J106" s="241">
        <f>ECON_OUTPUT!G106</f>
        <v>5000000</v>
      </c>
      <c r="K106" s="241">
        <f>ECON_OUTPUT!Q106</f>
        <v>6078068</v>
      </c>
      <c r="L106" s="241">
        <f t="shared" si="8"/>
        <v>1078068</v>
      </c>
      <c r="M106" s="241">
        <f t="shared" si="9"/>
        <v>1078068</v>
      </c>
      <c r="O106" s="244">
        <f>IF(ECON_OUTPUT!BG106=5,ECON_OUTPUT!G106*(ECON_ASSUMPT!G$13),0)</f>
        <v>0</v>
      </c>
      <c r="P106" s="244">
        <f>IF(ECON_OUTPUT!BE106="Other",ECON_OUTPUT!G106*ECON_ASSUMPT!G$14,0)</f>
        <v>0</v>
      </c>
      <c r="Q106" s="241">
        <f>ECON_OUTPUT!G106+O106+P106</f>
        <v>5000000</v>
      </c>
      <c r="R106" s="241">
        <f t="shared" si="12"/>
        <v>1078068</v>
      </c>
      <c r="S106" s="241">
        <f t="shared" si="10"/>
        <v>1078068</v>
      </c>
      <c r="U106" s="241">
        <f>ECON_ASSUMPT!E$4+(ECON_OUTPUT!G106*ECON_ASSUMPT!E$5)+(ECON_OUTPUT!BJ106*ECON_ASSUMPT!E$6)+(ECON_OUTPUT!BK106*ECON_ASSUMPT!E$7)+(ECON_OUTPUT!BL106*ECON_ASSUMPT!E$8)+(ECON_OUTPUT!BM106*ECON_ASSUMPT!E$9)+(ECON_OUTPUT!BN106*ECON_ASSUMPT!E$10)</f>
        <v>4761474.7624893449</v>
      </c>
      <c r="V106" s="241">
        <f>ECON_OUTPUT!Q106-U106</f>
        <v>1316593.2375106551</v>
      </c>
      <c r="W106" s="241">
        <f t="shared" si="11"/>
        <v>1316593.2375106551</v>
      </c>
      <c r="Y106" s="241"/>
      <c r="Z106" s="265">
        <v>4219307.1912723603</v>
      </c>
      <c r="AA106" s="241">
        <f t="shared" si="13"/>
        <v>1078068</v>
      </c>
      <c r="AB106" s="241">
        <f t="shared" si="14"/>
        <v>1078068</v>
      </c>
    </row>
    <row r="107" spans="10:28" x14ac:dyDescent="0.25">
      <c r="J107" s="241">
        <f>ECON_OUTPUT!G107</f>
        <v>29400000</v>
      </c>
      <c r="K107" s="241">
        <f>ECON_OUTPUT!Q107</f>
        <v>45417000</v>
      </c>
      <c r="L107" s="241">
        <f t="shared" si="8"/>
        <v>16017000</v>
      </c>
      <c r="M107" s="241">
        <f t="shared" si="9"/>
        <v>16017000</v>
      </c>
      <c r="O107" s="244">
        <f>IF(ECON_OUTPUT!BG107=5,ECON_OUTPUT!G107*(ECON_ASSUMPT!G$13),0)</f>
        <v>913172.65595734527</v>
      </c>
      <c r="P107" s="244">
        <f>IF(ECON_OUTPUT!BE107="Other",ECON_OUTPUT!G107*ECON_ASSUMPT!G$14,0)</f>
        <v>1711433.2102535006</v>
      </c>
      <c r="Q107" s="241">
        <f>ECON_OUTPUT!G107+O107+P107</f>
        <v>32024605.866210844</v>
      </c>
      <c r="R107" s="241">
        <f t="shared" si="12"/>
        <v>13392394.133789156</v>
      </c>
      <c r="S107" s="241">
        <f t="shared" si="10"/>
        <v>13392394.133789156</v>
      </c>
      <c r="U107" s="241">
        <f>ECON_ASSUMPT!E$4+(ECON_OUTPUT!G107*ECON_ASSUMPT!E$5)+(ECON_OUTPUT!BJ107*ECON_ASSUMPT!E$6)+(ECON_OUTPUT!BK107*ECON_ASSUMPT!E$7)+(ECON_OUTPUT!BL107*ECON_ASSUMPT!E$8)+(ECON_OUTPUT!BM107*ECON_ASSUMPT!E$9)+(ECON_OUTPUT!BN107*ECON_ASSUMPT!E$10)</f>
        <v>30292893.904800136</v>
      </c>
      <c r="V107" s="241">
        <f>ECON_OUTPUT!Q107-U107</f>
        <v>15124106.095199864</v>
      </c>
      <c r="W107" s="241">
        <f t="shared" si="11"/>
        <v>15124106.095199864</v>
      </c>
      <c r="Y107" s="241"/>
      <c r="Z107" s="265">
        <v>31300236.194695201</v>
      </c>
      <c r="AA107" s="241">
        <f t="shared" si="13"/>
        <v>13392394.133789156</v>
      </c>
      <c r="AB107" s="241">
        <f t="shared" si="14"/>
        <v>13392394.133789156</v>
      </c>
    </row>
    <row r="108" spans="10:28" x14ac:dyDescent="0.25">
      <c r="J108" s="241">
        <f>ECON_OUTPUT!G108</f>
        <v>2850000</v>
      </c>
      <c r="K108" s="241">
        <f>ECON_OUTPUT!Q108</f>
        <v>1922775</v>
      </c>
      <c r="L108" s="241">
        <f t="shared" si="8"/>
        <v>-927225</v>
      </c>
      <c r="M108" s="241">
        <f t="shared" si="9"/>
        <v>927225</v>
      </c>
      <c r="O108" s="244">
        <f>IF(ECON_OUTPUT!BG108=5,ECON_OUTPUT!G108*(ECON_ASSUMPT!G$13),0)</f>
        <v>0</v>
      </c>
      <c r="P108" s="244">
        <f>IF(ECON_OUTPUT!BE108="Other",ECON_OUTPUT!G108*ECON_ASSUMPT!G$14,0)</f>
        <v>0</v>
      </c>
      <c r="Q108" s="241">
        <f>ECON_OUTPUT!G108+O108+P108</f>
        <v>2850000</v>
      </c>
      <c r="R108" s="241">
        <f t="shared" si="12"/>
        <v>-927225</v>
      </c>
      <c r="S108" s="241">
        <f t="shared" si="10"/>
        <v>927225</v>
      </c>
      <c r="U108" s="241">
        <f>ECON_ASSUMPT!E$4+(ECON_OUTPUT!G108*ECON_ASSUMPT!E$5)+(ECON_OUTPUT!BJ108*ECON_ASSUMPT!E$6)+(ECON_OUTPUT!BK108*ECON_ASSUMPT!E$7)+(ECON_OUTPUT!BL108*ECON_ASSUMPT!E$8)+(ECON_OUTPUT!BM108*ECON_ASSUMPT!E$9)+(ECON_OUTPUT!BN108*ECON_ASSUMPT!E$10)</f>
        <v>2056697.9527886137</v>
      </c>
      <c r="V108" s="241">
        <f>ECON_OUTPUT!Q108-U108</f>
        <v>-133922.95278861374</v>
      </c>
      <c r="W108" s="241">
        <f t="shared" si="11"/>
        <v>133922.95278861374</v>
      </c>
      <c r="Y108" s="241"/>
      <c r="Z108" s="265">
        <v>2510735.0765759102</v>
      </c>
      <c r="AA108" s="241">
        <f t="shared" si="13"/>
        <v>-927225</v>
      </c>
      <c r="AB108" s="241">
        <f t="shared" si="14"/>
        <v>927225</v>
      </c>
    </row>
    <row r="109" spans="10:28" x14ac:dyDescent="0.25">
      <c r="J109" s="241">
        <f>ECON_OUTPUT!G109</f>
        <v>1140000</v>
      </c>
      <c r="K109" s="241">
        <f>ECON_OUTPUT!Q109</f>
        <v>942757</v>
      </c>
      <c r="L109" s="241">
        <f t="shared" si="8"/>
        <v>-197243</v>
      </c>
      <c r="M109" s="241">
        <f t="shared" si="9"/>
        <v>197243</v>
      </c>
      <c r="O109" s="244">
        <f>IF(ECON_OUTPUT!BG109=5,ECON_OUTPUT!G109*(ECON_ASSUMPT!G$13),0)</f>
        <v>0</v>
      </c>
      <c r="P109" s="244">
        <f>IF(ECON_OUTPUT!BE109="Other",ECON_OUTPUT!G109*ECON_ASSUMPT!G$14,0)</f>
        <v>0</v>
      </c>
      <c r="Q109" s="241">
        <f>ECON_OUTPUT!G109+O109+P109</f>
        <v>1140000</v>
      </c>
      <c r="R109" s="241">
        <f t="shared" si="12"/>
        <v>-197243</v>
      </c>
      <c r="S109" s="241">
        <f t="shared" si="10"/>
        <v>197243</v>
      </c>
      <c r="U109" s="241">
        <f>ECON_ASSUMPT!E$4+(ECON_OUTPUT!G109*ECON_ASSUMPT!E$5)+(ECON_OUTPUT!BJ109*ECON_ASSUMPT!E$6)+(ECON_OUTPUT!BK109*ECON_ASSUMPT!E$7)+(ECON_OUTPUT!BL109*ECON_ASSUMPT!E$8)+(ECON_OUTPUT!BM109*ECON_ASSUMPT!E$9)+(ECON_OUTPUT!BN109*ECON_ASSUMPT!E$10)</f>
        <v>-62469.734694622806</v>
      </c>
      <c r="V109" s="241">
        <f>ECON_OUTPUT!Q109-U109</f>
        <v>1005226.7346946228</v>
      </c>
      <c r="W109" s="241">
        <f t="shared" si="11"/>
        <v>1005226.7346946228</v>
      </c>
      <c r="Y109" s="241"/>
      <c r="Z109" s="265">
        <v>-113389.029159085</v>
      </c>
      <c r="AA109" s="241">
        <f t="shared" si="13"/>
        <v>-197243</v>
      </c>
      <c r="AB109" s="241">
        <f t="shared" si="14"/>
        <v>197243</v>
      </c>
    </row>
    <row r="110" spans="10:28" x14ac:dyDescent="0.25">
      <c r="J110" s="241">
        <f>ECON_OUTPUT!G110</f>
        <v>771000</v>
      </c>
      <c r="K110" s="241">
        <f>ECON_OUTPUT!Q110</f>
        <v>1151712</v>
      </c>
      <c r="L110" s="241">
        <f t="shared" si="8"/>
        <v>380712</v>
      </c>
      <c r="M110" s="241">
        <f t="shared" si="9"/>
        <v>380712</v>
      </c>
      <c r="O110" s="244">
        <f>IF(ECON_OUTPUT!BG110=5,ECON_OUTPUT!G110*(ECON_ASSUMPT!G$13),0)</f>
        <v>0</v>
      </c>
      <c r="P110" s="244">
        <f>IF(ECON_OUTPUT!BE110="Other",ECON_OUTPUT!G110*ECON_ASSUMPT!G$14,0)</f>
        <v>0</v>
      </c>
      <c r="Q110" s="241">
        <f>ECON_OUTPUT!G110+O110+P110</f>
        <v>771000</v>
      </c>
      <c r="R110" s="241">
        <f t="shared" si="12"/>
        <v>380712</v>
      </c>
      <c r="S110" s="241">
        <f t="shared" si="10"/>
        <v>380712</v>
      </c>
      <c r="U110" s="241">
        <f>ECON_ASSUMPT!E$4+(ECON_OUTPUT!G110*ECON_ASSUMPT!E$5)+(ECON_OUTPUT!BJ110*ECON_ASSUMPT!E$6)+(ECON_OUTPUT!BK110*ECON_ASSUMPT!E$7)+(ECON_OUTPUT!BL110*ECON_ASSUMPT!E$8)+(ECON_OUTPUT!BM110*ECON_ASSUMPT!E$9)+(ECON_OUTPUT!BN110*ECON_ASSUMPT!E$10)</f>
        <v>-383521.52437895956</v>
      </c>
      <c r="V110" s="241">
        <f>ECON_OUTPUT!Q110-U110</f>
        <v>1535233.5243789596</v>
      </c>
      <c r="W110" s="241">
        <f t="shared" si="11"/>
        <v>1535233.5243789596</v>
      </c>
      <c r="Y110" s="241"/>
      <c r="Z110" s="265">
        <v>429672.96225629601</v>
      </c>
      <c r="AA110" s="241">
        <f t="shared" si="13"/>
        <v>380712</v>
      </c>
      <c r="AB110" s="241">
        <f t="shared" si="14"/>
        <v>380712</v>
      </c>
    </row>
    <row r="111" spans="10:28" x14ac:dyDescent="0.25">
      <c r="J111" s="241">
        <f>ECON_OUTPUT!G111</f>
        <v>650000</v>
      </c>
      <c r="K111" s="241">
        <f>ECON_OUTPUT!Q111</f>
        <v>895220</v>
      </c>
      <c r="L111" s="241">
        <f t="shared" si="8"/>
        <v>245220</v>
      </c>
      <c r="M111" s="241">
        <f t="shared" si="9"/>
        <v>245220</v>
      </c>
      <c r="O111" s="244">
        <f>IF(ECON_OUTPUT!BG111=5,ECON_OUTPUT!G111*(ECON_ASSUMPT!G$13),0)</f>
        <v>0</v>
      </c>
      <c r="P111" s="244">
        <f>IF(ECON_OUTPUT!BE111="Other",ECON_OUTPUT!G111*ECON_ASSUMPT!G$14,0)</f>
        <v>37837.809070230454</v>
      </c>
      <c r="Q111" s="241">
        <f>ECON_OUTPUT!G111+O111+P111</f>
        <v>687837.80907023046</v>
      </c>
      <c r="R111" s="241">
        <f t="shared" si="12"/>
        <v>207382.19092976954</v>
      </c>
      <c r="S111" s="241">
        <f t="shared" si="10"/>
        <v>207382.19092976954</v>
      </c>
      <c r="U111" s="241">
        <f>ECON_ASSUMPT!E$4+(ECON_OUTPUT!G111*ECON_ASSUMPT!E$5)+(ECON_OUTPUT!BJ111*ECON_ASSUMPT!E$6)+(ECON_OUTPUT!BK111*ECON_ASSUMPT!E$7)+(ECON_OUTPUT!BL111*ECON_ASSUMPT!E$8)+(ECON_OUTPUT!BM111*ECON_ASSUMPT!E$9)+(ECON_OUTPUT!BN111*ECON_ASSUMPT!E$10)</f>
        <v>1430919.0843339784</v>
      </c>
      <c r="V111" s="241">
        <f>ECON_OUTPUT!Q111-U111</f>
        <v>-535699.08433397836</v>
      </c>
      <c r="W111" s="241">
        <f t="shared" si="11"/>
        <v>535699.08433397836</v>
      </c>
      <c r="Y111" s="241"/>
      <c r="Z111" s="265">
        <v>1734824.7689110199</v>
      </c>
      <c r="AA111" s="241">
        <f t="shared" si="13"/>
        <v>207382.19092976954</v>
      </c>
      <c r="AB111" s="241">
        <f t="shared" si="14"/>
        <v>207382.19092976954</v>
      </c>
    </row>
    <row r="112" spans="10:28" x14ac:dyDescent="0.25">
      <c r="J112" s="241">
        <f>ECON_OUTPUT!G112</f>
        <v>1070000</v>
      </c>
      <c r="K112" s="241">
        <f>ECON_OUTPUT!Q112</f>
        <v>789000</v>
      </c>
      <c r="L112" s="241">
        <f t="shared" si="8"/>
        <v>-281000</v>
      </c>
      <c r="M112" s="241">
        <f t="shared" si="9"/>
        <v>281000</v>
      </c>
      <c r="O112" s="244">
        <f>IF(ECON_OUTPUT!BG112=5,ECON_OUTPUT!G112*(ECON_ASSUMPT!G$13),0)</f>
        <v>0</v>
      </c>
      <c r="P112" s="244">
        <f>IF(ECON_OUTPUT!BE112="Other",ECON_OUTPUT!G112*ECON_ASSUMPT!G$14,0)</f>
        <v>62286.854930994756</v>
      </c>
      <c r="Q112" s="241">
        <f>ECON_OUTPUT!G112+O112+P112</f>
        <v>1132286.8549309948</v>
      </c>
      <c r="R112" s="241">
        <f t="shared" si="12"/>
        <v>-343286.8549309948</v>
      </c>
      <c r="S112" s="241">
        <f t="shared" si="10"/>
        <v>343286.8549309948</v>
      </c>
      <c r="U112" s="241">
        <f>ECON_ASSUMPT!E$4+(ECON_OUTPUT!G112*ECON_ASSUMPT!E$5)+(ECON_OUTPUT!BJ112*ECON_ASSUMPT!E$6)+(ECON_OUTPUT!BK112*ECON_ASSUMPT!E$7)+(ECON_OUTPUT!BL112*ECON_ASSUMPT!E$8)+(ECON_OUTPUT!BM112*ECON_ASSUMPT!E$9)+(ECON_OUTPUT!BN112*ECON_ASSUMPT!E$10)</f>
        <v>1796343.8856007033</v>
      </c>
      <c r="V112" s="241">
        <f>ECON_OUTPUT!Q112-U112</f>
        <v>-1007343.8856007033</v>
      </c>
      <c r="W112" s="241">
        <f t="shared" si="11"/>
        <v>1007343.8856007033</v>
      </c>
      <c r="Y112" s="241"/>
      <c r="Z112" s="265">
        <v>1538794.43295829</v>
      </c>
      <c r="AA112" s="241">
        <f t="shared" si="13"/>
        <v>-343286.8549309948</v>
      </c>
      <c r="AB112" s="241">
        <f t="shared" si="14"/>
        <v>343286.8549309948</v>
      </c>
    </row>
    <row r="113" spans="10:28" x14ac:dyDescent="0.25">
      <c r="J113" s="241">
        <f>ECON_OUTPUT!G113</f>
        <v>6445000</v>
      </c>
      <c r="K113" s="241">
        <f>ECON_OUTPUT!Q113</f>
        <v>7536916</v>
      </c>
      <c r="L113" s="241">
        <f t="shared" si="8"/>
        <v>1091916</v>
      </c>
      <c r="M113" s="241">
        <f t="shared" si="9"/>
        <v>1091916</v>
      </c>
      <c r="O113" s="244">
        <f>IF(ECON_OUTPUT!BG113=5,ECON_OUTPUT!G113*(ECON_ASSUMPT!G$13),0)</f>
        <v>0</v>
      </c>
      <c r="P113" s="244">
        <f>IF(ECON_OUTPUT!BE113="Other",ECON_OUTPUT!G113*ECON_ASSUMPT!G$14,0)</f>
        <v>375176.42993482354</v>
      </c>
      <c r="Q113" s="241">
        <f>ECON_OUTPUT!G113+O113+P113</f>
        <v>6820176.4299348239</v>
      </c>
      <c r="R113" s="241">
        <f t="shared" si="12"/>
        <v>716739.57006517611</v>
      </c>
      <c r="S113" s="241">
        <f t="shared" si="10"/>
        <v>716739.57006517611</v>
      </c>
      <c r="U113" s="241">
        <f>ECON_ASSUMPT!E$4+(ECON_OUTPUT!G113*ECON_ASSUMPT!E$5)+(ECON_OUTPUT!BJ113*ECON_ASSUMPT!E$6)+(ECON_OUTPUT!BK113*ECON_ASSUMPT!E$7)+(ECON_OUTPUT!BL113*ECON_ASSUMPT!E$8)+(ECON_OUTPUT!BM113*ECON_ASSUMPT!E$9)+(ECON_OUTPUT!BN113*ECON_ASSUMPT!E$10)</f>
        <v>7938427.8444967847</v>
      </c>
      <c r="V113" s="241">
        <f>ECON_OUTPUT!Q113-U113</f>
        <v>-401511.84449678473</v>
      </c>
      <c r="W113" s="241">
        <f t="shared" si="11"/>
        <v>401511.84449678473</v>
      </c>
      <c r="Y113" s="241"/>
      <c r="Z113" s="265">
        <v>8501986.2865785491</v>
      </c>
      <c r="AA113" s="241">
        <f t="shared" si="13"/>
        <v>716739.57006517611</v>
      </c>
      <c r="AB113" s="241">
        <f t="shared" si="14"/>
        <v>716739.57006517611</v>
      </c>
    </row>
    <row r="114" spans="10:28" x14ac:dyDescent="0.25">
      <c r="J114" s="241">
        <f>ECON_OUTPUT!G114</f>
        <v>2900000</v>
      </c>
      <c r="K114" s="241">
        <f>ECON_OUTPUT!Q114</f>
        <v>1179765</v>
      </c>
      <c r="L114" s="241">
        <f t="shared" si="8"/>
        <v>-1720235</v>
      </c>
      <c r="M114" s="241">
        <f t="shared" si="9"/>
        <v>1720235</v>
      </c>
      <c r="O114" s="244">
        <f>IF(ECON_OUTPUT!BG114=5,ECON_OUTPUT!G114*(ECON_ASSUMPT!G$13),0)</f>
        <v>0</v>
      </c>
      <c r="P114" s="244">
        <f>IF(ECON_OUTPUT!BE114="Other",ECON_OUTPUT!G114*ECON_ASSUMPT!G$14,0)</f>
        <v>168814.84046718205</v>
      </c>
      <c r="Q114" s="241">
        <f>ECON_OUTPUT!G114+O114+P114</f>
        <v>3068814.840467182</v>
      </c>
      <c r="R114" s="241">
        <f t="shared" si="12"/>
        <v>-1889049.840467182</v>
      </c>
      <c r="S114" s="241">
        <f t="shared" si="10"/>
        <v>1889049.840467182</v>
      </c>
      <c r="U114" s="241">
        <f>ECON_ASSUMPT!E$4+(ECON_OUTPUT!G114*ECON_ASSUMPT!E$5)+(ECON_OUTPUT!BJ114*ECON_ASSUMPT!E$6)+(ECON_OUTPUT!BK114*ECON_ASSUMPT!E$7)+(ECON_OUTPUT!BL114*ECON_ASSUMPT!E$8)+(ECON_OUTPUT!BM114*ECON_ASSUMPT!E$9)+(ECON_OUTPUT!BN114*ECON_ASSUMPT!E$10)</f>
        <v>3388551.948262861</v>
      </c>
      <c r="V114" s="241">
        <f>ECON_OUTPUT!Q114-U114</f>
        <v>-2208786.948262861</v>
      </c>
      <c r="W114" s="241">
        <f t="shared" si="11"/>
        <v>2208786.948262861</v>
      </c>
      <c r="Y114" s="241"/>
      <c r="Z114" s="265">
        <v>3655655.4547731099</v>
      </c>
      <c r="AA114" s="241">
        <f t="shared" si="13"/>
        <v>-1889049.840467182</v>
      </c>
      <c r="AB114" s="241">
        <f t="shared" si="14"/>
        <v>1889049.840467182</v>
      </c>
    </row>
    <row r="115" spans="10:28" x14ac:dyDescent="0.25">
      <c r="J115" s="241">
        <f>ECON_OUTPUT!G115</f>
        <v>850000</v>
      </c>
      <c r="K115" s="241">
        <f>ECON_OUTPUT!Q115</f>
        <v>992000</v>
      </c>
      <c r="L115" s="241">
        <f t="shared" si="8"/>
        <v>142000</v>
      </c>
      <c r="M115" s="241">
        <f t="shared" si="9"/>
        <v>142000</v>
      </c>
      <c r="O115" s="244">
        <f>IF(ECON_OUTPUT!BG115=5,ECON_OUTPUT!G115*(ECON_ASSUMPT!G$13),0)</f>
        <v>0</v>
      </c>
      <c r="P115" s="244">
        <f>IF(ECON_OUTPUT!BE115="Other",ECON_OUTPUT!G115*ECON_ASSUMPT!G$14,0)</f>
        <v>49480.211861070602</v>
      </c>
      <c r="Q115" s="241">
        <f>ECON_OUTPUT!G115+O115+P115</f>
        <v>899480.21186107059</v>
      </c>
      <c r="R115" s="241">
        <f t="shared" si="12"/>
        <v>92519.788138929405</v>
      </c>
      <c r="S115" s="241">
        <f t="shared" si="10"/>
        <v>92519.788138929405</v>
      </c>
      <c r="U115" s="241">
        <f>ECON_ASSUMPT!E$4+(ECON_OUTPUT!G115*ECON_ASSUMPT!E$5)+(ECON_OUTPUT!BJ115*ECON_ASSUMPT!E$6)+(ECON_OUTPUT!BK115*ECON_ASSUMPT!E$7)+(ECON_OUTPUT!BL115*ECON_ASSUMPT!E$8)+(ECON_OUTPUT!BM115*ECON_ASSUMPT!E$9)+(ECON_OUTPUT!BN115*ECON_ASSUMPT!E$10)</f>
        <v>1604930.8944609901</v>
      </c>
      <c r="V115" s="241">
        <f>ECON_OUTPUT!Q115-U115</f>
        <v>-612930.89446099009</v>
      </c>
      <c r="W115" s="241">
        <f t="shared" si="11"/>
        <v>612930.89446099009</v>
      </c>
      <c r="Y115" s="241"/>
      <c r="Z115" s="265">
        <v>1905565.2743209801</v>
      </c>
      <c r="AA115" s="241">
        <f t="shared" si="13"/>
        <v>92519.788138929405</v>
      </c>
      <c r="AB115" s="241">
        <f t="shared" si="14"/>
        <v>92519.788138929405</v>
      </c>
    </row>
    <row r="116" spans="10:28" x14ac:dyDescent="0.25">
      <c r="J116" s="241">
        <f>ECON_OUTPUT!G116</f>
        <v>1480000</v>
      </c>
      <c r="K116" s="241">
        <f>ECON_OUTPUT!Q116</f>
        <v>1764407</v>
      </c>
      <c r="L116" s="241">
        <f t="shared" si="8"/>
        <v>284407</v>
      </c>
      <c r="M116" s="241">
        <f t="shared" si="9"/>
        <v>284407</v>
      </c>
      <c r="O116" s="244">
        <f>IF(ECON_OUTPUT!BG116=5,ECON_OUTPUT!G116*(ECON_ASSUMPT!G$13),0)</f>
        <v>0</v>
      </c>
      <c r="P116" s="244">
        <f>IF(ECON_OUTPUT!BE116="Other",ECON_OUTPUT!G116*ECON_ASSUMPT!G$14,0)</f>
        <v>86153.780652217043</v>
      </c>
      <c r="Q116" s="241">
        <f>ECON_OUTPUT!G116+O116+P116</f>
        <v>1566153.7806522171</v>
      </c>
      <c r="R116" s="241">
        <f t="shared" si="12"/>
        <v>198253.2193477829</v>
      </c>
      <c r="S116" s="241">
        <f t="shared" si="10"/>
        <v>198253.2193477829</v>
      </c>
      <c r="U116" s="241">
        <f>ECON_ASSUMPT!E$4+(ECON_OUTPUT!G116*ECON_ASSUMPT!E$5)+(ECON_OUTPUT!BJ116*ECON_ASSUMPT!E$6)+(ECON_OUTPUT!BK116*ECON_ASSUMPT!E$7)+(ECON_OUTPUT!BL116*ECON_ASSUMPT!E$8)+(ECON_OUTPUT!BM116*ECON_ASSUMPT!E$9)+(ECON_OUTPUT!BN116*ECON_ASSUMPT!E$10)</f>
        <v>2784434.8072583633</v>
      </c>
      <c r="V116" s="241">
        <f>ECON_OUTPUT!Q116-U116</f>
        <v>-1020027.8072583633</v>
      </c>
      <c r="W116" s="241">
        <f t="shared" si="11"/>
        <v>1020027.8072583633</v>
      </c>
      <c r="Y116" s="241"/>
      <c r="Z116" s="265">
        <v>2661829.7998311599</v>
      </c>
      <c r="AA116" s="241">
        <f t="shared" si="13"/>
        <v>198253.2193477829</v>
      </c>
      <c r="AB116" s="241">
        <f t="shared" si="14"/>
        <v>198253.2193477829</v>
      </c>
    </row>
    <row r="117" spans="10:28" x14ac:dyDescent="0.25">
      <c r="J117" s="241">
        <f>ECON_OUTPUT!G117</f>
        <v>7200000</v>
      </c>
      <c r="K117" s="241">
        <f>ECON_OUTPUT!Q117</f>
        <v>4483190</v>
      </c>
      <c r="L117" s="241">
        <f t="shared" si="8"/>
        <v>-2716810</v>
      </c>
      <c r="M117" s="241">
        <f t="shared" si="9"/>
        <v>2716810</v>
      </c>
      <c r="O117" s="244">
        <f>IF(ECON_OUTPUT!BG117=5,ECON_OUTPUT!G117*(ECON_ASSUMPT!G$13),0)</f>
        <v>0</v>
      </c>
      <c r="P117" s="244">
        <f>IF(ECON_OUTPUT!BE117="Other",ECON_OUTPUT!G117*ECON_ASSUMPT!G$14,0)</f>
        <v>0</v>
      </c>
      <c r="Q117" s="241">
        <f>ECON_OUTPUT!G117+O117+P117</f>
        <v>7200000</v>
      </c>
      <c r="R117" s="241">
        <f t="shared" si="12"/>
        <v>-2716810</v>
      </c>
      <c r="S117" s="241">
        <f t="shared" si="10"/>
        <v>2716810</v>
      </c>
      <c r="U117" s="241">
        <f>ECON_ASSUMPT!E$4+(ECON_OUTPUT!G117*ECON_ASSUMPT!E$5)+(ECON_OUTPUT!BJ117*ECON_ASSUMPT!E$6)+(ECON_OUTPUT!BK117*ECON_ASSUMPT!E$7)+(ECON_OUTPUT!BL117*ECON_ASSUMPT!E$8)+(ECON_OUTPUT!BM117*ECON_ASSUMPT!E$9)+(ECON_OUTPUT!BN117*ECON_ASSUMPT!E$10)</f>
        <v>6583038.3743869234</v>
      </c>
      <c r="V117" s="241">
        <f>ECON_OUTPUT!Q117-U117</f>
        <v>-2099848.3743869234</v>
      </c>
      <c r="W117" s="241">
        <f t="shared" si="11"/>
        <v>2099848.3743869234</v>
      </c>
      <c r="Y117" s="241"/>
      <c r="Z117" s="265">
        <v>7371566.9013330601</v>
      </c>
      <c r="AA117" s="241">
        <f t="shared" si="13"/>
        <v>-2716810</v>
      </c>
      <c r="AB117" s="241">
        <f t="shared" si="14"/>
        <v>2716810</v>
      </c>
    </row>
    <row r="118" spans="10:28" x14ac:dyDescent="0.25">
      <c r="J118" s="241">
        <f>ECON_OUTPUT!G118</f>
        <v>700000</v>
      </c>
      <c r="K118" s="241">
        <f>ECON_OUTPUT!Q118</f>
        <v>838700</v>
      </c>
      <c r="L118" s="241">
        <f t="shared" si="8"/>
        <v>138700</v>
      </c>
      <c r="M118" s="241">
        <f t="shared" si="9"/>
        <v>138700</v>
      </c>
      <c r="O118" s="244">
        <f>IF(ECON_OUTPUT!BG118=5,ECON_OUTPUT!G118*(ECON_ASSUMPT!G$13),0)</f>
        <v>0</v>
      </c>
      <c r="P118" s="244">
        <f>IF(ECON_OUTPUT!BE118="Other",ECON_OUTPUT!G118*ECON_ASSUMPT!G$14,0)</f>
        <v>0</v>
      </c>
      <c r="Q118" s="241">
        <f>ECON_OUTPUT!G118+O118+P118</f>
        <v>700000</v>
      </c>
      <c r="R118" s="241">
        <f t="shared" si="12"/>
        <v>138700</v>
      </c>
      <c r="S118" s="241">
        <f t="shared" si="10"/>
        <v>138700</v>
      </c>
      <c r="U118" s="241">
        <f>ECON_ASSUMPT!E$4+(ECON_OUTPUT!G118*ECON_ASSUMPT!E$5)+(ECON_OUTPUT!BJ118*ECON_ASSUMPT!E$6)+(ECON_OUTPUT!BK118*ECON_ASSUMPT!E$7)+(ECON_OUTPUT!BL118*ECON_ASSUMPT!E$8)+(ECON_OUTPUT!BM118*ECON_ASSUMPT!E$9)+(ECON_OUTPUT!BN118*ECON_ASSUMPT!E$10)</f>
        <v>-445295.71697404876</v>
      </c>
      <c r="V118" s="241">
        <f>ECON_OUTPUT!Q118-U118</f>
        <v>1283995.7169740489</v>
      </c>
      <c r="W118" s="241">
        <f t="shared" si="11"/>
        <v>1283995.7169740489</v>
      </c>
      <c r="Y118" s="241"/>
      <c r="Z118" s="265">
        <v>1405314.9133482401</v>
      </c>
      <c r="AA118" s="241">
        <f t="shared" si="13"/>
        <v>138700</v>
      </c>
      <c r="AB118" s="241">
        <f t="shared" si="14"/>
        <v>138700</v>
      </c>
    </row>
    <row r="119" spans="10:28" x14ac:dyDescent="0.25">
      <c r="J119" s="241">
        <f>ECON_OUTPUT!G119</f>
        <v>1330000</v>
      </c>
      <c r="K119" s="241">
        <f>ECON_OUTPUT!Q119</f>
        <v>1097450</v>
      </c>
      <c r="L119" s="241">
        <f t="shared" si="8"/>
        <v>-232550</v>
      </c>
      <c r="M119" s="241">
        <f t="shared" si="9"/>
        <v>232550</v>
      </c>
      <c r="O119" s="244">
        <f>IF(ECON_OUTPUT!BG119=5,ECON_OUTPUT!G119*(ECON_ASSUMPT!G$13),0)</f>
        <v>0</v>
      </c>
      <c r="P119" s="244">
        <f>IF(ECON_OUTPUT!BE119="Other",ECON_OUTPUT!G119*ECON_ASSUMPT!G$14,0)</f>
        <v>0</v>
      </c>
      <c r="Q119" s="241">
        <f>ECON_OUTPUT!G119+O119+P119</f>
        <v>1330000</v>
      </c>
      <c r="R119" s="241">
        <f t="shared" si="12"/>
        <v>-232550</v>
      </c>
      <c r="S119" s="241">
        <f t="shared" si="10"/>
        <v>232550</v>
      </c>
      <c r="U119" s="241">
        <f>ECON_ASSUMPT!E$4+(ECON_OUTPUT!G119*ECON_ASSUMPT!E$5)+(ECON_OUTPUT!BJ119*ECON_ASSUMPT!E$6)+(ECON_OUTPUT!BK119*ECON_ASSUMPT!E$7)+(ECON_OUTPUT!BL119*ECON_ASSUMPT!E$8)+(ECON_OUTPUT!BM119*ECON_ASSUMPT!E$9)+(ECON_OUTPUT!BN119*ECON_ASSUMPT!E$10)</f>
        <v>102841.48492603842</v>
      </c>
      <c r="V119" s="241">
        <f>ECON_OUTPUT!Q119-U119</f>
        <v>994608.51507396158</v>
      </c>
      <c r="W119" s="241">
        <f t="shared" si="11"/>
        <v>994608.51507396158</v>
      </c>
      <c r="Y119" s="241"/>
      <c r="Z119" s="265">
        <v>1085069.2814928801</v>
      </c>
      <c r="AA119" s="241">
        <f t="shared" si="13"/>
        <v>-232550</v>
      </c>
      <c r="AB119" s="241">
        <f t="shared" si="14"/>
        <v>232550</v>
      </c>
    </row>
    <row r="120" spans="10:28" x14ac:dyDescent="0.25">
      <c r="J120" s="241">
        <f>ECON_OUTPUT!G120</f>
        <v>1650000</v>
      </c>
      <c r="K120" s="241">
        <f>ECON_OUTPUT!Q120</f>
        <v>1454175</v>
      </c>
      <c r="L120" s="241">
        <f t="shared" si="8"/>
        <v>-195825</v>
      </c>
      <c r="M120" s="241">
        <f t="shared" si="9"/>
        <v>195825</v>
      </c>
      <c r="O120" s="244">
        <f>IF(ECON_OUTPUT!BG120=5,ECON_OUTPUT!G120*(ECON_ASSUMPT!G$13),0)</f>
        <v>0</v>
      </c>
      <c r="P120" s="244">
        <f>IF(ECON_OUTPUT!BE120="Other",ECON_OUTPUT!G120*ECON_ASSUMPT!G$14,0)</f>
        <v>0</v>
      </c>
      <c r="Q120" s="241">
        <f>ECON_OUTPUT!G120+O120+P120</f>
        <v>1650000</v>
      </c>
      <c r="R120" s="241">
        <f t="shared" si="12"/>
        <v>-195825</v>
      </c>
      <c r="S120" s="241">
        <f t="shared" si="10"/>
        <v>195825</v>
      </c>
      <c r="U120" s="241">
        <f>ECON_ASSUMPT!E$4+(ECON_OUTPUT!G120*ECON_ASSUMPT!E$5)+(ECON_OUTPUT!BJ120*ECON_ASSUMPT!E$6)+(ECON_OUTPUT!BK120*ECON_ASSUMPT!E$7)+(ECON_OUTPUT!BL120*ECON_ASSUMPT!E$8)+(ECON_OUTPUT!BM120*ECON_ASSUMPT!E$9)+(ECON_OUTPUT!BN120*ECON_ASSUMPT!E$10)</f>
        <v>1012627.0920265431</v>
      </c>
      <c r="V120" s="241">
        <f>ECON_OUTPUT!Q120-U120</f>
        <v>441547.90797345689</v>
      </c>
      <c r="W120" s="241">
        <f t="shared" si="11"/>
        <v>441547.90797345689</v>
      </c>
      <c r="Y120" s="241"/>
      <c r="Z120" s="265">
        <v>1500812.8169718201</v>
      </c>
      <c r="AA120" s="241">
        <f t="shared" si="13"/>
        <v>-195825</v>
      </c>
      <c r="AB120" s="241">
        <f t="shared" si="14"/>
        <v>195825</v>
      </c>
    </row>
    <row r="121" spans="10:28" x14ac:dyDescent="0.25">
      <c r="J121" s="241">
        <f>ECON_OUTPUT!G121</f>
        <v>13720000</v>
      </c>
      <c r="K121" s="241">
        <f>ECON_OUTPUT!Q121</f>
        <v>14401250</v>
      </c>
      <c r="L121" s="241">
        <f t="shared" si="8"/>
        <v>681250</v>
      </c>
      <c r="M121" s="241">
        <f t="shared" si="9"/>
        <v>681250</v>
      </c>
      <c r="O121" s="244">
        <f>IF(ECON_OUTPUT!BG121=5,ECON_OUTPUT!G121*(ECON_ASSUMPT!G$13),0)</f>
        <v>426147.23944676114</v>
      </c>
      <c r="P121" s="244">
        <f>IF(ECON_OUTPUT!BE121="Other",ECON_OUTPUT!G121*ECON_ASSUMPT!G$14,0)</f>
        <v>798668.83145163371</v>
      </c>
      <c r="Q121" s="241">
        <f>ECON_OUTPUT!G121+O121+P121</f>
        <v>14944816.070898395</v>
      </c>
      <c r="R121" s="241">
        <f t="shared" si="12"/>
        <v>-543566.07089839503</v>
      </c>
      <c r="S121" s="241">
        <f t="shared" si="10"/>
        <v>543566.07089839503</v>
      </c>
      <c r="U121" s="241">
        <f>ECON_ASSUMPT!E$4+(ECON_OUTPUT!G121*ECON_ASSUMPT!E$5)+(ECON_OUTPUT!BJ121*ECON_ASSUMPT!E$6)+(ECON_OUTPUT!BK121*ECON_ASSUMPT!E$7)+(ECON_OUTPUT!BL121*ECON_ASSUMPT!E$8)+(ECON_OUTPUT!BM121*ECON_ASSUMPT!E$9)+(ECON_OUTPUT!BN121*ECON_ASSUMPT!E$10)</f>
        <v>16650367.990842408</v>
      </c>
      <c r="V121" s="241">
        <f>ECON_OUTPUT!Q121-U121</f>
        <v>-2249117.9908424076</v>
      </c>
      <c r="W121" s="241">
        <f t="shared" si="11"/>
        <v>2249117.9908424076</v>
      </c>
      <c r="Y121" s="241"/>
      <c r="Z121" s="265">
        <v>18004574.5500554</v>
      </c>
      <c r="AA121" s="241">
        <f t="shared" si="13"/>
        <v>-543566.07089839503</v>
      </c>
      <c r="AB121" s="241">
        <f t="shared" si="14"/>
        <v>543566.07089839503</v>
      </c>
    </row>
    <row r="122" spans="10:28" x14ac:dyDescent="0.25">
      <c r="J122" s="241">
        <f>ECON_OUTPUT!G122</f>
        <v>6040000</v>
      </c>
      <c r="K122" s="241">
        <f>ECON_OUTPUT!Q122</f>
        <v>5177075</v>
      </c>
      <c r="L122" s="241">
        <f t="shared" si="8"/>
        <v>-862925</v>
      </c>
      <c r="M122" s="241">
        <f t="shared" si="9"/>
        <v>862925</v>
      </c>
      <c r="O122" s="244">
        <f>IF(ECON_OUTPUT!BG122=5,ECON_OUTPUT!G122*(ECON_ASSUMPT!G$13),0)</f>
        <v>0</v>
      </c>
      <c r="P122" s="244">
        <f>IF(ECON_OUTPUT!BE122="Other",ECON_OUTPUT!G122*ECON_ASSUMPT!G$14,0)</f>
        <v>0</v>
      </c>
      <c r="Q122" s="241">
        <f>ECON_OUTPUT!G122+O122+P122</f>
        <v>6040000</v>
      </c>
      <c r="R122" s="241">
        <f t="shared" si="12"/>
        <v>-862925</v>
      </c>
      <c r="S122" s="241">
        <f t="shared" si="10"/>
        <v>862925</v>
      </c>
      <c r="U122" s="241">
        <f>ECON_ASSUMPT!E$4+(ECON_OUTPUT!G122*ECON_ASSUMPT!E$5)+(ECON_OUTPUT!BJ122*ECON_ASSUMPT!E$6)+(ECON_OUTPUT!BK122*ECON_ASSUMPT!E$7)+(ECON_OUTPUT!BL122*ECON_ASSUMPT!E$8)+(ECON_OUTPUT!BM122*ECON_ASSUMPT!E$9)+(ECON_OUTPUT!BN122*ECON_ASSUMPT!E$10)</f>
        <v>5666336.1751498058</v>
      </c>
      <c r="V122" s="241">
        <f>ECON_OUTPUT!Q122-U122</f>
        <v>-489261.17514980584</v>
      </c>
      <c r="W122" s="241">
        <f t="shared" si="11"/>
        <v>489261.17514980584</v>
      </c>
      <c r="Y122" s="241"/>
      <c r="Z122" s="265">
        <v>6458814.8969682399</v>
      </c>
      <c r="AA122" s="241">
        <f t="shared" si="13"/>
        <v>-862925</v>
      </c>
      <c r="AB122" s="241">
        <f t="shared" si="14"/>
        <v>862925</v>
      </c>
    </row>
    <row r="123" spans="10:28" x14ac:dyDescent="0.25">
      <c r="J123" s="241">
        <f>ECON_OUTPUT!G123</f>
        <v>8500000</v>
      </c>
      <c r="K123" s="241">
        <f>ECON_OUTPUT!Q123</f>
        <v>5778887</v>
      </c>
      <c r="L123" s="241">
        <f t="shared" si="8"/>
        <v>-2721113</v>
      </c>
      <c r="M123" s="241">
        <f t="shared" si="9"/>
        <v>2721113</v>
      </c>
      <c r="O123" s="244">
        <f>IF(ECON_OUTPUT!BG123=5,ECON_OUTPUT!G123*(ECON_ASSUMPT!G$13),0)</f>
        <v>0</v>
      </c>
      <c r="P123" s="244">
        <f>IF(ECON_OUTPUT!BE123="Other",ECON_OUTPUT!G123*ECON_ASSUMPT!G$14,0)</f>
        <v>494802.11861070601</v>
      </c>
      <c r="Q123" s="241">
        <f>ECON_OUTPUT!G123+O123+P123</f>
        <v>8994802.1186107062</v>
      </c>
      <c r="R123" s="241">
        <f t="shared" si="12"/>
        <v>-3215915.1186107062</v>
      </c>
      <c r="S123" s="241">
        <f t="shared" si="10"/>
        <v>3215915.1186107062</v>
      </c>
      <c r="U123" s="241">
        <f>ECON_ASSUMPT!E$4+(ECON_OUTPUT!G123*ECON_ASSUMPT!E$5)+(ECON_OUTPUT!BJ123*ECON_ASSUMPT!E$6)+(ECON_OUTPUT!BK123*ECON_ASSUMPT!E$7)+(ECON_OUTPUT!BL123*ECON_ASSUMPT!E$8)+(ECON_OUTPUT!BM123*ECON_ASSUMPT!E$9)+(ECON_OUTPUT!BN123*ECON_ASSUMPT!E$10)</f>
        <v>9726399.1935518309</v>
      </c>
      <c r="V123" s="241">
        <f>ECON_OUTPUT!Q123-U123</f>
        <v>-3947512.1935518309</v>
      </c>
      <c r="W123" s="241">
        <f t="shared" si="11"/>
        <v>3947512.1935518309</v>
      </c>
      <c r="Y123" s="241"/>
      <c r="Z123" s="265">
        <v>9249131.6948648896</v>
      </c>
      <c r="AA123" s="241">
        <f t="shared" si="13"/>
        <v>-3215915.1186107062</v>
      </c>
      <c r="AB123" s="241">
        <f t="shared" si="14"/>
        <v>3215915.1186107062</v>
      </c>
    </row>
    <row r="124" spans="10:28" x14ac:dyDescent="0.25">
      <c r="J124" s="241">
        <f>ECON_OUTPUT!G124</f>
        <v>1326000</v>
      </c>
      <c r="K124" s="241">
        <f>ECON_OUTPUT!Q124</f>
        <v>4197700</v>
      </c>
      <c r="L124" s="241">
        <f t="shared" si="8"/>
        <v>2871700</v>
      </c>
      <c r="M124" s="241">
        <f t="shared" si="9"/>
        <v>2871700</v>
      </c>
      <c r="O124" s="244">
        <f>IF(ECON_OUTPUT!BG124=5,ECON_OUTPUT!G124*(ECON_ASSUMPT!G$13),0)</f>
        <v>0</v>
      </c>
      <c r="P124" s="244">
        <f>IF(ECON_OUTPUT!BE124="Other",ECON_OUTPUT!G124*ECON_ASSUMPT!G$14,0)</f>
        <v>0</v>
      </c>
      <c r="Q124" s="241">
        <f>ECON_OUTPUT!G124+O124+P124</f>
        <v>1326000</v>
      </c>
      <c r="R124" s="241">
        <f t="shared" si="12"/>
        <v>2871700</v>
      </c>
      <c r="S124" s="241">
        <f t="shared" si="10"/>
        <v>2871700</v>
      </c>
      <c r="U124" s="241">
        <f>ECON_ASSUMPT!E$4+(ECON_OUTPUT!G124*ECON_ASSUMPT!E$5)+(ECON_OUTPUT!BJ124*ECON_ASSUMPT!E$6)+(ECON_OUTPUT!BK124*ECON_ASSUMPT!E$7)+(ECON_OUTPUT!BL124*ECON_ASSUMPT!E$8)+(ECON_OUTPUT!BM124*ECON_ASSUMPT!E$9)+(ECON_OUTPUT!BN124*ECON_ASSUMPT!E$10)</f>
        <v>1472311.510956588</v>
      </c>
      <c r="V124" s="241">
        <f>ECON_OUTPUT!Q124-U124</f>
        <v>2725388.4890434118</v>
      </c>
      <c r="W124" s="241">
        <f t="shared" si="11"/>
        <v>2725388.4890434118</v>
      </c>
      <c r="Y124" s="241"/>
      <c r="Z124" s="265">
        <v>2193262.42368236</v>
      </c>
      <c r="AA124" s="241">
        <f t="shared" si="13"/>
        <v>2871700</v>
      </c>
      <c r="AB124" s="241">
        <f t="shared" si="14"/>
        <v>2871700</v>
      </c>
    </row>
    <row r="125" spans="10:28" x14ac:dyDescent="0.25">
      <c r="J125" s="241">
        <f>ECON_OUTPUT!G125</f>
        <v>1250000</v>
      </c>
      <c r="K125" s="241">
        <f>ECON_OUTPUT!Q125</f>
        <v>1053180</v>
      </c>
      <c r="L125" s="241">
        <f t="shared" si="8"/>
        <v>-196820</v>
      </c>
      <c r="M125" s="241">
        <f t="shared" si="9"/>
        <v>196820</v>
      </c>
      <c r="O125" s="244">
        <f>IF(ECON_OUTPUT!BG125=5,ECON_OUTPUT!G125*(ECON_ASSUMPT!G$13),0)</f>
        <v>0</v>
      </c>
      <c r="P125" s="244">
        <f>IF(ECON_OUTPUT!BE125="Other",ECON_OUTPUT!G125*ECON_ASSUMPT!G$14,0)</f>
        <v>0</v>
      </c>
      <c r="Q125" s="241">
        <f>ECON_OUTPUT!G125+O125+P125</f>
        <v>1250000</v>
      </c>
      <c r="R125" s="241">
        <f t="shared" si="12"/>
        <v>-196820</v>
      </c>
      <c r="S125" s="241">
        <f t="shared" si="10"/>
        <v>196820</v>
      </c>
      <c r="U125" s="241">
        <f>ECON_ASSUMPT!E$4+(ECON_OUTPUT!G125*ECON_ASSUMPT!E$5)+(ECON_OUTPUT!BJ125*ECON_ASSUMPT!E$6)+(ECON_OUTPUT!BK125*ECON_ASSUMPT!E$7)+(ECON_OUTPUT!BL125*ECON_ASSUMPT!E$8)+(ECON_OUTPUT!BM125*ECON_ASSUMPT!E$9)+(ECON_OUTPUT!BN125*ECON_ASSUMPT!E$10)</f>
        <v>33236.760875233682</v>
      </c>
      <c r="V125" s="241">
        <f>ECON_OUTPUT!Q125-U125</f>
        <v>1019943.2391247663</v>
      </c>
      <c r="W125" s="241">
        <f t="shared" si="11"/>
        <v>1019943.2391247663</v>
      </c>
      <c r="Y125" s="241"/>
      <c r="Z125" s="265">
        <v>1168519.49262045</v>
      </c>
      <c r="AA125" s="241">
        <f t="shared" si="13"/>
        <v>-196820</v>
      </c>
      <c r="AB125" s="241">
        <f t="shared" si="14"/>
        <v>196820</v>
      </c>
    </row>
    <row r="126" spans="10:28" x14ac:dyDescent="0.25">
      <c r="J126" s="241">
        <f>ECON_OUTPUT!G126</f>
        <v>189900000</v>
      </c>
      <c r="K126" s="241">
        <f>ECON_OUTPUT!Q126</f>
        <v>175788235</v>
      </c>
      <c r="L126" s="241">
        <f t="shared" si="8"/>
        <v>-14111765</v>
      </c>
      <c r="M126" s="241">
        <f t="shared" si="9"/>
        <v>14111765</v>
      </c>
      <c r="O126" s="244">
        <f>IF(ECON_OUTPUT!BG126=5,ECON_OUTPUT!G126*(ECON_ASSUMPT!G$13),0)</f>
        <v>5898349.9104183624</v>
      </c>
      <c r="P126" s="244">
        <f>IF(ECON_OUTPUT!BE126="Other",ECON_OUTPUT!G126*ECON_ASSUMPT!G$14,0)</f>
        <v>11054461.449902713</v>
      </c>
      <c r="Q126" s="241">
        <f>ECON_OUTPUT!G126+O126+P126</f>
        <v>206852811.36032107</v>
      </c>
      <c r="R126" s="241">
        <f t="shared" si="12"/>
        <v>-31064576.360321075</v>
      </c>
      <c r="S126" s="241">
        <f t="shared" si="10"/>
        <v>31064576.360321075</v>
      </c>
      <c r="U126" s="241">
        <f>ECON_ASSUMPT!E$4+(ECON_OUTPUT!G126*ECON_ASSUMPT!E$5)+(ECON_OUTPUT!BJ126*ECON_ASSUMPT!E$6)+(ECON_OUTPUT!BK126*ECON_ASSUMPT!E$7)+(ECON_OUTPUT!BL126*ECON_ASSUMPT!E$8)+(ECON_OUTPUT!BM126*ECON_ASSUMPT!E$9)+(ECON_OUTPUT!BN126*ECON_ASSUMPT!E$10)</f>
        <v>169937371.53172711</v>
      </c>
      <c r="V126" s="241">
        <f>ECON_OUTPUT!Q126-U126</f>
        <v>5850863.4682728946</v>
      </c>
      <c r="W126" s="241">
        <f t="shared" si="11"/>
        <v>5850863.4682728946</v>
      </c>
      <c r="Y126" s="241"/>
      <c r="Z126" s="265">
        <v>169028780.839329</v>
      </c>
      <c r="AA126" s="241">
        <f t="shared" si="13"/>
        <v>-31064576.360321075</v>
      </c>
      <c r="AB126" s="241">
        <f t="shared" si="14"/>
        <v>31064576.360321075</v>
      </c>
    </row>
    <row r="127" spans="10:28" x14ac:dyDescent="0.25">
      <c r="J127" s="241">
        <f>ECON_OUTPUT!G127</f>
        <v>1250000</v>
      </c>
      <c r="K127" s="241">
        <f>ECON_OUTPUT!Q127</f>
        <v>2672000</v>
      </c>
      <c r="L127" s="241">
        <f t="shared" si="8"/>
        <v>1422000</v>
      </c>
      <c r="M127" s="241">
        <f t="shared" si="9"/>
        <v>1422000</v>
      </c>
      <c r="O127" s="244">
        <f>IF(ECON_OUTPUT!BG127=5,ECON_OUTPUT!G127*(ECON_ASSUMPT!G$13),0)</f>
        <v>0</v>
      </c>
      <c r="P127" s="244">
        <f>IF(ECON_OUTPUT!BE127="Other",ECON_OUTPUT!G127*ECON_ASSUMPT!G$14,0)</f>
        <v>0</v>
      </c>
      <c r="Q127" s="241">
        <f>ECON_OUTPUT!G127+O127+P127</f>
        <v>1250000</v>
      </c>
      <c r="R127" s="241">
        <f t="shared" si="12"/>
        <v>1422000</v>
      </c>
      <c r="S127" s="241">
        <f t="shared" si="10"/>
        <v>1422000</v>
      </c>
      <c r="U127" s="241">
        <f>ECON_ASSUMPT!E$4+(ECON_OUTPUT!G127*ECON_ASSUMPT!E$5)+(ECON_OUTPUT!BJ127*ECON_ASSUMPT!E$6)+(ECON_OUTPUT!BK127*ECON_ASSUMPT!E$7)+(ECON_OUTPUT!BL127*ECON_ASSUMPT!E$8)+(ECON_OUTPUT!BM127*ECON_ASSUMPT!E$9)+(ECON_OUTPUT!BN127*ECON_ASSUMPT!E$10)</f>
        <v>1406187.0231083236</v>
      </c>
      <c r="V127" s="241">
        <f>ECON_OUTPUT!Q127-U127</f>
        <v>1265812.9768916764</v>
      </c>
      <c r="W127" s="241">
        <f t="shared" si="11"/>
        <v>1265812.9768916764</v>
      </c>
      <c r="Y127" s="241"/>
      <c r="Z127" s="265">
        <v>1661232.3712834399</v>
      </c>
      <c r="AA127" s="241">
        <f t="shared" si="13"/>
        <v>1422000</v>
      </c>
      <c r="AB127" s="241">
        <f t="shared" si="14"/>
        <v>1422000</v>
      </c>
    </row>
    <row r="128" spans="10:28" x14ac:dyDescent="0.25">
      <c r="J128" s="241">
        <f>ECON_OUTPUT!G128</f>
        <v>609000</v>
      </c>
      <c r="K128" s="241">
        <f>ECON_OUTPUT!Q128</f>
        <v>1699000</v>
      </c>
      <c r="L128" s="241">
        <f t="shared" si="8"/>
        <v>1090000</v>
      </c>
      <c r="M128" s="241">
        <f t="shared" si="9"/>
        <v>1090000</v>
      </c>
      <c r="O128" s="244">
        <f>IF(ECON_OUTPUT!BG128=5,ECON_OUTPUT!G128*(ECON_ASSUMPT!G$13),0)</f>
        <v>0</v>
      </c>
      <c r="P128" s="244">
        <f>IF(ECON_OUTPUT!BE128="Other",ECON_OUTPUT!G128*ECON_ASSUMPT!G$14,0)</f>
        <v>35451.116498108226</v>
      </c>
      <c r="Q128" s="241">
        <f>ECON_OUTPUT!G128+O128+P128</f>
        <v>644451.11649810825</v>
      </c>
      <c r="R128" s="241">
        <f t="shared" si="12"/>
        <v>1054548.8835018917</v>
      </c>
      <c r="S128" s="241">
        <f t="shared" si="10"/>
        <v>1054548.8835018917</v>
      </c>
      <c r="U128" s="241">
        <f>ECON_ASSUMPT!E$4+(ECON_OUTPUT!G128*ECON_ASSUMPT!E$5)+(ECON_OUTPUT!BJ128*ECON_ASSUMPT!E$6)+(ECON_OUTPUT!BK128*ECON_ASSUMPT!E$7)+(ECON_OUTPUT!BL128*ECON_ASSUMPT!E$8)+(ECON_OUTPUT!BM128*ECON_ASSUMPT!E$9)+(ECON_OUTPUT!BN128*ECON_ASSUMPT!E$10)</f>
        <v>2026613.3741552269</v>
      </c>
      <c r="V128" s="241">
        <f>ECON_OUTPUT!Q128-U128</f>
        <v>-327613.37415522686</v>
      </c>
      <c r="W128" s="241">
        <f t="shared" si="11"/>
        <v>327613.37415522686</v>
      </c>
      <c r="Y128" s="241"/>
      <c r="Z128" s="265">
        <v>2247832.0285343002</v>
      </c>
      <c r="AA128" s="241">
        <f t="shared" si="13"/>
        <v>1054548.8835018917</v>
      </c>
      <c r="AB128" s="241">
        <f t="shared" si="14"/>
        <v>1054548.8835018917</v>
      </c>
    </row>
    <row r="129" spans="10:28" x14ac:dyDescent="0.25">
      <c r="J129" s="241">
        <f>ECON_OUTPUT!G129</f>
        <v>970000</v>
      </c>
      <c r="K129" s="241">
        <f>ECON_OUTPUT!Q129</f>
        <v>1541500</v>
      </c>
      <c r="L129" s="241">
        <f t="shared" si="8"/>
        <v>571500</v>
      </c>
      <c r="M129" s="241">
        <f t="shared" si="9"/>
        <v>571500</v>
      </c>
      <c r="O129" s="244">
        <f>IF(ECON_OUTPUT!BG129=5,ECON_OUTPUT!G129*(ECON_ASSUMPT!G$13),0)</f>
        <v>0</v>
      </c>
      <c r="P129" s="244">
        <f>IF(ECON_OUTPUT!BE129="Other",ECON_OUTPUT!G129*ECON_ASSUMPT!G$14,0)</f>
        <v>0</v>
      </c>
      <c r="Q129" s="241">
        <f>ECON_OUTPUT!G129+O129+P129</f>
        <v>970000</v>
      </c>
      <c r="R129" s="241">
        <f t="shared" si="12"/>
        <v>571500</v>
      </c>
      <c r="S129" s="241">
        <f t="shared" si="10"/>
        <v>571500</v>
      </c>
      <c r="U129" s="241">
        <f>ECON_ASSUMPT!E$4+(ECON_OUTPUT!G129*ECON_ASSUMPT!E$5)+(ECON_OUTPUT!BJ129*ECON_ASSUMPT!E$6)+(ECON_OUTPUT!BK129*ECON_ASSUMPT!E$7)+(ECON_OUTPUT!BL129*ECON_ASSUMPT!E$8)+(ECON_OUTPUT!BM129*ECON_ASSUMPT!E$9)+(ECON_OUTPUT!BN129*ECON_ASSUMPT!E$10)</f>
        <v>420986.93759470305</v>
      </c>
      <c r="V129" s="241">
        <f>ECON_OUTPUT!Q129-U129</f>
        <v>1120513.0624052971</v>
      </c>
      <c r="W129" s="241">
        <f t="shared" si="11"/>
        <v>1120513.0624052971</v>
      </c>
      <c r="Y129" s="241"/>
      <c r="Z129" s="265">
        <v>1112427.4651378701</v>
      </c>
      <c r="AA129" s="241">
        <f t="shared" si="13"/>
        <v>571500</v>
      </c>
      <c r="AB129" s="241">
        <f t="shared" si="14"/>
        <v>571500</v>
      </c>
    </row>
    <row r="130" spans="10:28" x14ac:dyDescent="0.25">
      <c r="J130" s="241">
        <f>ECON_OUTPUT!G130</f>
        <v>2800000</v>
      </c>
      <c r="K130" s="241">
        <f>ECON_OUTPUT!Q130</f>
        <v>3047960</v>
      </c>
      <c r="L130" s="241">
        <f t="shared" ref="L130:L193" si="15">$K130-J130</f>
        <v>247960</v>
      </c>
      <c r="M130" s="241">
        <f t="shared" ref="M130:M193" si="16">ABS(L130)</f>
        <v>247960</v>
      </c>
      <c r="O130" s="244">
        <f>IF(ECON_OUTPUT!BG130=5,ECON_OUTPUT!G130*(ECON_ASSUMPT!G$13),0)</f>
        <v>0</v>
      </c>
      <c r="P130" s="244">
        <f>IF(ECON_OUTPUT!BE130="Other",ECON_OUTPUT!G130*ECON_ASSUMPT!G$14,0)</f>
        <v>0</v>
      </c>
      <c r="Q130" s="241">
        <f>ECON_OUTPUT!G130+O130+P130</f>
        <v>2800000</v>
      </c>
      <c r="R130" s="241">
        <f t="shared" si="12"/>
        <v>247960</v>
      </c>
      <c r="S130" s="241">
        <f t="shared" ref="S130:S193" si="17">ABS(R130)</f>
        <v>247960</v>
      </c>
      <c r="U130" s="241">
        <f>ECON_ASSUMPT!E$4+(ECON_OUTPUT!G130*ECON_ASSUMPT!E$5)+(ECON_OUTPUT!BJ130*ECON_ASSUMPT!E$6)+(ECON_OUTPUT!BK130*ECON_ASSUMPT!E$7)+(ECON_OUTPUT!BL130*ECON_ASSUMPT!E$8)+(ECON_OUTPUT!BM130*ECON_ASSUMPT!E$9)+(ECON_OUTPUT!BN130*ECON_ASSUMPT!E$10)</f>
        <v>2754778.5515926648</v>
      </c>
      <c r="V130" s="241">
        <f>ECON_OUTPUT!Q130-U130</f>
        <v>293181.44840733521</v>
      </c>
      <c r="W130" s="241">
        <f t="shared" ref="W130:W193" si="18">ABS(V130)</f>
        <v>293181.44840733521</v>
      </c>
      <c r="Y130" s="241"/>
      <c r="Z130" s="265">
        <v>3165386.0145895998</v>
      </c>
      <c r="AA130" s="241">
        <f t="shared" si="13"/>
        <v>247960</v>
      </c>
      <c r="AB130" s="241">
        <f t="shared" si="14"/>
        <v>247960</v>
      </c>
    </row>
    <row r="131" spans="10:28" x14ac:dyDescent="0.25">
      <c r="J131" s="241">
        <f>ECON_OUTPUT!G131</f>
        <v>3000000</v>
      </c>
      <c r="K131" s="241">
        <f>ECON_OUTPUT!Q131</f>
        <v>4151000</v>
      </c>
      <c r="L131" s="241">
        <f t="shared" si="15"/>
        <v>1151000</v>
      </c>
      <c r="M131" s="241">
        <f t="shared" si="16"/>
        <v>1151000</v>
      </c>
      <c r="O131" s="244">
        <f>IF(ECON_OUTPUT!BG131=5,ECON_OUTPUT!G131*(ECON_ASSUMPT!G$13),0)</f>
        <v>0</v>
      </c>
      <c r="P131" s="244">
        <f>IF(ECON_OUTPUT!BE131="Other",ECON_OUTPUT!G131*ECON_ASSUMPT!G$14,0)</f>
        <v>0</v>
      </c>
      <c r="Q131" s="241">
        <f>ECON_OUTPUT!G131+O131+P131</f>
        <v>3000000</v>
      </c>
      <c r="R131" s="241">
        <f t="shared" ref="R131:R194" si="19">$K131-Q131</f>
        <v>1151000</v>
      </c>
      <c r="S131" s="241">
        <f t="shared" si="17"/>
        <v>1151000</v>
      </c>
      <c r="U131" s="241">
        <f>ECON_ASSUMPT!E$4+(ECON_OUTPUT!G131*ECON_ASSUMPT!E$5)+(ECON_OUTPUT!BJ131*ECON_ASSUMPT!E$6)+(ECON_OUTPUT!BK131*ECON_ASSUMPT!E$7)+(ECON_OUTPUT!BL131*ECON_ASSUMPT!E$8)+(ECON_OUTPUT!BM131*ECON_ASSUMPT!E$9)+(ECON_OUTPUT!BN131*ECON_ASSUMPT!E$10)</f>
        <v>2928790.3617196763</v>
      </c>
      <c r="V131" s="241">
        <f>ECON_OUTPUT!Q131-U131</f>
        <v>1222209.6382803237</v>
      </c>
      <c r="W131" s="241">
        <f t="shared" si="18"/>
        <v>1222209.6382803237</v>
      </c>
      <c r="Y131" s="241"/>
      <c r="Z131" s="265">
        <v>2868977.8596564098</v>
      </c>
      <c r="AA131" s="241">
        <f t="shared" ref="AA131:AA194" si="20">$K131-Q131</f>
        <v>1151000</v>
      </c>
      <c r="AB131" s="241">
        <f t="shared" ref="AB131:AB194" si="21">ABS(AA131)</f>
        <v>1151000</v>
      </c>
    </row>
    <row r="132" spans="10:28" x14ac:dyDescent="0.25">
      <c r="J132" s="241">
        <f>ECON_OUTPUT!G132</f>
        <v>2194000</v>
      </c>
      <c r="K132" s="241">
        <f>ECON_OUTPUT!Q132</f>
        <v>1488028</v>
      </c>
      <c r="L132" s="241">
        <f t="shared" si="15"/>
        <v>-705972</v>
      </c>
      <c r="M132" s="241">
        <f t="shared" si="16"/>
        <v>705972</v>
      </c>
      <c r="O132" s="244">
        <f>IF(ECON_OUTPUT!BG132=5,ECON_OUTPUT!G132*(ECON_ASSUMPT!G$13),0)</f>
        <v>0</v>
      </c>
      <c r="P132" s="244">
        <f>IF(ECON_OUTPUT!BE132="Other",ECON_OUTPUT!G132*ECON_ASSUMPT!G$14,0)</f>
        <v>127717.15861551634</v>
      </c>
      <c r="Q132" s="241">
        <f>ECON_OUTPUT!G132+O132+P132</f>
        <v>2321717.1586155165</v>
      </c>
      <c r="R132" s="241">
        <f t="shared" si="19"/>
        <v>-833689.1586155165</v>
      </c>
      <c r="S132" s="241">
        <f t="shared" si="17"/>
        <v>833689.1586155165</v>
      </c>
      <c r="U132" s="241">
        <f>ECON_ASSUMPT!E$4+(ECON_OUTPUT!G132*ECON_ASSUMPT!E$5)+(ECON_OUTPUT!BJ132*ECON_ASSUMPT!E$6)+(ECON_OUTPUT!BK132*ECON_ASSUMPT!E$7)+(ECON_OUTPUT!BL132*ECON_ASSUMPT!E$8)+(ECON_OUTPUT!BM132*ECON_ASSUMPT!E$9)+(ECON_OUTPUT!BN132*ECON_ASSUMPT!E$10)</f>
        <v>3405656.969411795</v>
      </c>
      <c r="V132" s="241">
        <f>ECON_OUTPUT!Q132-U132</f>
        <v>-1917628.969411795</v>
      </c>
      <c r="W132" s="241">
        <f t="shared" si="18"/>
        <v>1917628.969411795</v>
      </c>
      <c r="Y132" s="241"/>
      <c r="Z132" s="265">
        <v>3390589.80658984</v>
      </c>
      <c r="AA132" s="241">
        <f t="shared" si="20"/>
        <v>-833689.1586155165</v>
      </c>
      <c r="AB132" s="241">
        <f t="shared" si="21"/>
        <v>833689.1586155165</v>
      </c>
    </row>
    <row r="133" spans="10:28" x14ac:dyDescent="0.25">
      <c r="J133" s="241">
        <f>ECON_OUTPUT!G133</f>
        <v>26900000</v>
      </c>
      <c r="K133" s="241">
        <f>ECON_OUTPUT!Q133</f>
        <v>29473711</v>
      </c>
      <c r="L133" s="241">
        <f t="shared" si="15"/>
        <v>2573711</v>
      </c>
      <c r="M133" s="241">
        <f t="shared" si="16"/>
        <v>2573711</v>
      </c>
      <c r="O133" s="244">
        <f>IF(ECON_OUTPUT!BG133=5,ECON_OUTPUT!G133*(ECON_ASSUMPT!G$13),0)</f>
        <v>835521.91990655055</v>
      </c>
      <c r="P133" s="244">
        <f>IF(ECON_OUTPUT!BE133="Other",ECON_OUTPUT!G133*ECON_ASSUMPT!G$14,0)</f>
        <v>1565903.1753679989</v>
      </c>
      <c r="Q133" s="241">
        <f>ECON_OUTPUT!G133+O133+P133</f>
        <v>29301425.095274549</v>
      </c>
      <c r="R133" s="241">
        <f t="shared" si="19"/>
        <v>172285.90472545102</v>
      </c>
      <c r="S133" s="241">
        <f t="shared" si="17"/>
        <v>172285.90472545102</v>
      </c>
      <c r="U133" s="241">
        <f>ECON_ASSUMPT!E$4+(ECON_OUTPUT!G133*ECON_ASSUMPT!E$5)+(ECON_OUTPUT!BJ133*ECON_ASSUMPT!E$6)+(ECON_OUTPUT!BK133*ECON_ASSUMPT!E$7)+(ECON_OUTPUT!BL133*ECON_ASSUMPT!E$8)+(ECON_OUTPUT!BM133*ECON_ASSUMPT!E$9)+(ECON_OUTPUT!BN133*ECON_ASSUMPT!E$10)</f>
        <v>28117746.278212488</v>
      </c>
      <c r="V133" s="241">
        <f>ECON_OUTPUT!Q133-U133</f>
        <v>1355964.7217875123</v>
      </c>
      <c r="W133" s="241">
        <f t="shared" si="18"/>
        <v>1355964.7217875123</v>
      </c>
      <c r="Y133" s="241"/>
      <c r="Z133" s="265">
        <v>28100152.278242599</v>
      </c>
      <c r="AA133" s="241">
        <f t="shared" si="20"/>
        <v>172285.90472545102</v>
      </c>
      <c r="AB133" s="241">
        <f t="shared" si="21"/>
        <v>172285.90472545102</v>
      </c>
    </row>
    <row r="134" spans="10:28" x14ac:dyDescent="0.25">
      <c r="J134" s="241">
        <f>ECON_OUTPUT!G134</f>
        <v>1650000</v>
      </c>
      <c r="K134" s="241">
        <f>ECON_OUTPUT!Q134</f>
        <v>2656000</v>
      </c>
      <c r="L134" s="241">
        <f t="shared" si="15"/>
        <v>1006000</v>
      </c>
      <c r="M134" s="241">
        <f t="shared" si="16"/>
        <v>1006000</v>
      </c>
      <c r="O134" s="244">
        <f>IF(ECON_OUTPUT!BG134=5,ECON_OUTPUT!G134*(ECON_ASSUMPT!G$13),0)</f>
        <v>0</v>
      </c>
      <c r="P134" s="244">
        <f>IF(ECON_OUTPUT!BE134="Other",ECON_OUTPUT!G134*ECON_ASSUMPT!G$14,0)</f>
        <v>0</v>
      </c>
      <c r="Q134" s="241">
        <f>ECON_OUTPUT!G134+O134+P134</f>
        <v>1650000</v>
      </c>
      <c r="R134" s="241">
        <f t="shared" si="19"/>
        <v>1006000</v>
      </c>
      <c r="S134" s="241">
        <f t="shared" si="17"/>
        <v>1006000</v>
      </c>
      <c r="U134" s="241">
        <f>ECON_ASSUMPT!E$4+(ECON_OUTPUT!G134*ECON_ASSUMPT!E$5)+(ECON_OUTPUT!BJ134*ECON_ASSUMPT!E$6)+(ECON_OUTPUT!BK134*ECON_ASSUMPT!E$7)+(ECON_OUTPUT!BL134*ECON_ASSUMPT!E$8)+(ECON_OUTPUT!BM134*ECON_ASSUMPT!E$9)+(ECON_OUTPUT!BN134*ECON_ASSUMPT!E$10)</f>
        <v>1754210.643362347</v>
      </c>
      <c r="V134" s="241">
        <f>ECON_OUTPUT!Q134-U134</f>
        <v>901789.35663765296</v>
      </c>
      <c r="W134" s="241">
        <f t="shared" si="18"/>
        <v>901789.35663765296</v>
      </c>
      <c r="Y134" s="241"/>
      <c r="Z134" s="265">
        <v>2107409.0116927801</v>
      </c>
      <c r="AA134" s="241">
        <f t="shared" si="20"/>
        <v>1006000</v>
      </c>
      <c r="AB134" s="241">
        <f t="shared" si="21"/>
        <v>1006000</v>
      </c>
    </row>
    <row r="135" spans="10:28" x14ac:dyDescent="0.25">
      <c r="J135" s="241">
        <f>ECON_OUTPUT!G135</f>
        <v>4860000</v>
      </c>
      <c r="K135" s="241">
        <f>ECON_OUTPUT!Q135</f>
        <v>3675999</v>
      </c>
      <c r="L135" s="241">
        <f t="shared" si="15"/>
        <v>-1184001</v>
      </c>
      <c r="M135" s="241">
        <f t="shared" si="16"/>
        <v>1184001</v>
      </c>
      <c r="O135" s="244">
        <f>IF(ECON_OUTPUT!BG135=5,ECON_OUTPUT!G135*(ECON_ASSUMPT!G$13),0)</f>
        <v>0</v>
      </c>
      <c r="P135" s="244">
        <f>IF(ECON_OUTPUT!BE135="Other",ECON_OUTPUT!G135*ECON_ASSUMPT!G$14,0)</f>
        <v>0</v>
      </c>
      <c r="Q135" s="241">
        <f>ECON_OUTPUT!G135+O135+P135</f>
        <v>4860000</v>
      </c>
      <c r="R135" s="241">
        <f t="shared" si="19"/>
        <v>-1184001</v>
      </c>
      <c r="S135" s="241">
        <f t="shared" si="17"/>
        <v>1184001</v>
      </c>
      <c r="U135" s="241">
        <f>ECON_ASSUMPT!E$4+(ECON_OUTPUT!G135*ECON_ASSUMPT!E$5)+(ECON_OUTPUT!BJ135*ECON_ASSUMPT!E$6)+(ECON_OUTPUT!BK135*ECON_ASSUMPT!E$7)+(ECON_OUTPUT!BL135*ECON_ASSUMPT!E$8)+(ECON_OUTPUT!BM135*ECON_ASSUMPT!E$9)+(ECON_OUTPUT!BN135*ECON_ASSUMPT!E$10)</f>
        <v>4547100.1959008863</v>
      </c>
      <c r="V135" s="241">
        <f>ECON_OUTPUT!Q135-U135</f>
        <v>-871101.19590088632</v>
      </c>
      <c r="W135" s="241">
        <f t="shared" si="18"/>
        <v>871101.19590088632</v>
      </c>
      <c r="Y135" s="241"/>
      <c r="Z135" s="265">
        <v>4608610.9732606597</v>
      </c>
      <c r="AA135" s="241">
        <f t="shared" si="20"/>
        <v>-1184001</v>
      </c>
      <c r="AB135" s="241">
        <f t="shared" si="21"/>
        <v>1184001</v>
      </c>
    </row>
    <row r="136" spans="10:28" x14ac:dyDescent="0.25">
      <c r="J136" s="241">
        <f>ECON_OUTPUT!G136</f>
        <v>17250000</v>
      </c>
      <c r="K136" s="241">
        <f>ECON_OUTPUT!Q136</f>
        <v>26253000</v>
      </c>
      <c r="L136" s="241">
        <f t="shared" si="15"/>
        <v>9003000</v>
      </c>
      <c r="M136" s="241">
        <f t="shared" si="16"/>
        <v>9003000</v>
      </c>
      <c r="O136" s="244">
        <f>IF(ECON_OUTPUT!BG136=5,ECON_OUTPUT!G136*(ECON_ASSUMPT!G$13),0)</f>
        <v>535790.07875048323</v>
      </c>
      <c r="P136" s="244">
        <f>IF(ECON_OUTPUT!BE136="Other",ECON_OUTPUT!G136*ECON_ASSUMPT!G$14,0)</f>
        <v>1004157.2407099622</v>
      </c>
      <c r="Q136" s="241">
        <f>ECON_OUTPUT!G136+O136+P136</f>
        <v>18789947.319460444</v>
      </c>
      <c r="R136" s="241">
        <f t="shared" si="19"/>
        <v>7463052.6805395558</v>
      </c>
      <c r="S136" s="241">
        <f t="shared" si="17"/>
        <v>7463052.6805395558</v>
      </c>
      <c r="U136" s="241">
        <f>ECON_ASSUMPT!E$4+(ECON_OUTPUT!G136*ECON_ASSUMPT!E$5)+(ECON_OUTPUT!BJ136*ECON_ASSUMPT!E$6)+(ECON_OUTPUT!BK136*ECON_ASSUMPT!E$7)+(ECON_OUTPUT!BL136*ECON_ASSUMPT!E$8)+(ECON_OUTPUT!BM136*ECON_ASSUMPT!E$9)+(ECON_OUTPUT!BN136*ECON_ASSUMPT!E$10)</f>
        <v>19721676.439584166</v>
      </c>
      <c r="V136" s="241">
        <f>ECON_OUTPUT!Q136-U136</f>
        <v>6531323.5604158342</v>
      </c>
      <c r="W136" s="241">
        <f t="shared" si="18"/>
        <v>6531323.5604158342</v>
      </c>
      <c r="Y136" s="241"/>
      <c r="Z136" s="265">
        <v>21187149.776451699</v>
      </c>
      <c r="AA136" s="241">
        <f t="shared" si="20"/>
        <v>7463052.6805395558</v>
      </c>
      <c r="AB136" s="241">
        <f t="shared" si="21"/>
        <v>7463052.6805395558</v>
      </c>
    </row>
    <row r="137" spans="10:28" x14ac:dyDescent="0.25">
      <c r="J137" s="241">
        <f>ECON_OUTPUT!G137</f>
        <v>820000</v>
      </c>
      <c r="K137" s="241">
        <f>ECON_OUTPUT!Q137</f>
        <v>877300</v>
      </c>
      <c r="L137" s="241">
        <f t="shared" si="15"/>
        <v>57300</v>
      </c>
      <c r="M137" s="241">
        <f t="shared" si="16"/>
        <v>57300</v>
      </c>
      <c r="O137" s="244">
        <f>IF(ECON_OUTPUT!BG137=5,ECON_OUTPUT!G137*(ECON_ASSUMPT!G$13),0)</f>
        <v>0</v>
      </c>
      <c r="P137" s="244">
        <f>IF(ECON_OUTPUT!BE137="Other",ECON_OUTPUT!G137*ECON_ASSUMPT!G$14,0)</f>
        <v>47733.851442444575</v>
      </c>
      <c r="Q137" s="241">
        <f>ECON_OUTPUT!G137+O137+P137</f>
        <v>867733.8514424446</v>
      </c>
      <c r="R137" s="241">
        <f t="shared" si="19"/>
        <v>9566.1485575553961</v>
      </c>
      <c r="S137" s="241">
        <f t="shared" si="17"/>
        <v>9566.1485575553961</v>
      </c>
      <c r="U137" s="241">
        <f>ECON_ASSUMPT!E$4+(ECON_OUTPUT!G137*ECON_ASSUMPT!E$5)+(ECON_OUTPUT!BJ137*ECON_ASSUMPT!E$6)+(ECON_OUTPUT!BK137*ECON_ASSUMPT!E$7)+(ECON_OUTPUT!BL137*ECON_ASSUMPT!E$8)+(ECON_OUTPUT!BM137*ECON_ASSUMPT!E$9)+(ECON_OUTPUT!BN137*ECON_ASSUMPT!E$10)</f>
        <v>1578829.1229419382</v>
      </c>
      <c r="V137" s="241">
        <f>ECON_OUTPUT!Q137-U137</f>
        <v>-701529.12294193823</v>
      </c>
      <c r="W137" s="241">
        <f t="shared" si="18"/>
        <v>701529.12294193823</v>
      </c>
      <c r="Y137" s="241"/>
      <c r="Z137" s="265">
        <v>1999170.6009545999</v>
      </c>
      <c r="AA137" s="241">
        <f t="shared" si="20"/>
        <v>9566.1485575553961</v>
      </c>
      <c r="AB137" s="241">
        <f t="shared" si="21"/>
        <v>9566.1485575553961</v>
      </c>
    </row>
    <row r="138" spans="10:28" x14ac:dyDescent="0.25">
      <c r="J138" s="241">
        <f>ECON_OUTPUT!G138</f>
        <v>1350000</v>
      </c>
      <c r="K138" s="241">
        <f>ECON_OUTPUT!Q138</f>
        <v>2629000</v>
      </c>
      <c r="L138" s="241">
        <f t="shared" si="15"/>
        <v>1279000</v>
      </c>
      <c r="M138" s="241">
        <f t="shared" si="16"/>
        <v>1279000</v>
      </c>
      <c r="O138" s="244">
        <f>IF(ECON_OUTPUT!BG138=5,ECON_OUTPUT!G138*(ECON_ASSUMPT!G$13),0)</f>
        <v>0</v>
      </c>
      <c r="P138" s="244">
        <f>IF(ECON_OUTPUT!BE138="Other",ECON_OUTPUT!G138*ECON_ASSUMPT!G$14,0)</f>
        <v>0</v>
      </c>
      <c r="Q138" s="241">
        <f>ECON_OUTPUT!G138+O138+P138</f>
        <v>1350000</v>
      </c>
      <c r="R138" s="241">
        <f t="shared" si="19"/>
        <v>1279000</v>
      </c>
      <c r="S138" s="241">
        <f t="shared" si="17"/>
        <v>1279000</v>
      </c>
      <c r="U138" s="241">
        <f>ECON_ASSUMPT!E$4+(ECON_OUTPUT!G138*ECON_ASSUMPT!E$5)+(ECON_OUTPUT!BJ138*ECON_ASSUMPT!E$6)+(ECON_OUTPUT!BK138*ECON_ASSUMPT!E$7)+(ECON_OUTPUT!BL138*ECON_ASSUMPT!E$8)+(ECON_OUTPUT!BM138*ECON_ASSUMPT!E$9)+(ECON_OUTPUT!BN138*ECON_ASSUMPT!E$10)</f>
        <v>1493192.9281718293</v>
      </c>
      <c r="V138" s="241">
        <f>ECON_OUTPUT!Q138-U138</f>
        <v>1135807.0718281707</v>
      </c>
      <c r="W138" s="241">
        <f t="shared" si="18"/>
        <v>1135807.0718281707</v>
      </c>
      <c r="Y138" s="241"/>
      <c r="Z138" s="265">
        <v>1296712.85626419</v>
      </c>
      <c r="AA138" s="241">
        <f t="shared" si="20"/>
        <v>1279000</v>
      </c>
      <c r="AB138" s="241">
        <f t="shared" si="21"/>
        <v>1279000</v>
      </c>
    </row>
    <row r="139" spans="10:28" x14ac:dyDescent="0.25">
      <c r="J139" s="241">
        <f>ECON_OUTPUT!G139</f>
        <v>6600000</v>
      </c>
      <c r="K139" s="241">
        <f>ECON_OUTPUT!Q139</f>
        <v>5512686</v>
      </c>
      <c r="L139" s="241">
        <f t="shared" si="15"/>
        <v>-1087314</v>
      </c>
      <c r="M139" s="241">
        <f t="shared" si="16"/>
        <v>1087314</v>
      </c>
      <c r="O139" s="244">
        <f>IF(ECON_OUTPUT!BG139=5,ECON_OUTPUT!G139*(ECON_ASSUMPT!G$13),0)</f>
        <v>0</v>
      </c>
      <c r="P139" s="244">
        <f>IF(ECON_OUTPUT!BE139="Other",ECON_OUTPUT!G139*ECON_ASSUMPT!G$14,0)</f>
        <v>0</v>
      </c>
      <c r="Q139" s="241">
        <f>ECON_OUTPUT!G139+O139+P139</f>
        <v>6600000</v>
      </c>
      <c r="R139" s="241">
        <f t="shared" si="19"/>
        <v>-1087314</v>
      </c>
      <c r="S139" s="241">
        <f t="shared" si="17"/>
        <v>1087314</v>
      </c>
      <c r="U139" s="241">
        <f>ECON_ASSUMPT!E$4+(ECON_OUTPUT!G139*ECON_ASSUMPT!E$5)+(ECON_OUTPUT!BJ139*ECON_ASSUMPT!E$6)+(ECON_OUTPUT!BK139*ECON_ASSUMPT!E$7)+(ECON_OUTPUT!BL139*ECON_ASSUMPT!E$8)+(ECON_OUTPUT!BM139*ECON_ASSUMPT!E$9)+(ECON_OUTPUT!BN139*ECON_ASSUMPT!E$10)</f>
        <v>6153569.2435054388</v>
      </c>
      <c r="V139" s="241">
        <f>ECON_OUTPUT!Q139-U139</f>
        <v>-640883.24350543879</v>
      </c>
      <c r="W139" s="241">
        <f t="shared" si="18"/>
        <v>640883.24350543879</v>
      </c>
      <c r="Y139" s="241"/>
      <c r="Z139" s="265">
        <v>6019849.8840487702</v>
      </c>
      <c r="AA139" s="241">
        <f t="shared" si="20"/>
        <v>-1087314</v>
      </c>
      <c r="AB139" s="241">
        <f t="shared" si="21"/>
        <v>1087314</v>
      </c>
    </row>
    <row r="140" spans="10:28" x14ac:dyDescent="0.25">
      <c r="J140" s="241">
        <f>ECON_OUTPUT!G140</f>
        <v>1530000</v>
      </c>
      <c r="K140" s="241">
        <f>ECON_OUTPUT!Q140</f>
        <v>2100000</v>
      </c>
      <c r="L140" s="241">
        <f t="shared" si="15"/>
        <v>570000</v>
      </c>
      <c r="M140" s="241">
        <f t="shared" si="16"/>
        <v>570000</v>
      </c>
      <c r="O140" s="244">
        <f>IF(ECON_OUTPUT!BG140=5,ECON_OUTPUT!G140*(ECON_ASSUMPT!G$13),0)</f>
        <v>0</v>
      </c>
      <c r="P140" s="244">
        <f>IF(ECON_OUTPUT!BE140="Other",ECON_OUTPUT!G140*ECON_ASSUMPT!G$14,0)</f>
        <v>0</v>
      </c>
      <c r="Q140" s="241">
        <f>ECON_OUTPUT!G140+O140+P140</f>
        <v>1530000</v>
      </c>
      <c r="R140" s="241">
        <f t="shared" si="19"/>
        <v>570000</v>
      </c>
      <c r="S140" s="241">
        <f t="shared" si="17"/>
        <v>570000</v>
      </c>
      <c r="U140" s="241">
        <f>ECON_ASSUMPT!E$4+(ECON_OUTPUT!G140*ECON_ASSUMPT!E$5)+(ECON_OUTPUT!BJ140*ECON_ASSUMPT!E$6)+(ECON_OUTPUT!BK140*ECON_ASSUMPT!E$7)+(ECON_OUTPUT!BL140*ECON_ASSUMPT!E$8)+(ECON_OUTPUT!BM140*ECON_ASSUMPT!E$9)+(ECON_OUTPUT!BN140*ECON_ASSUMPT!E$10)</f>
        <v>908220.00595033611</v>
      </c>
      <c r="V140" s="241">
        <f>ECON_OUTPUT!Q140-U140</f>
        <v>1191779.9940496639</v>
      </c>
      <c r="W140" s="241">
        <f t="shared" si="18"/>
        <v>1191779.9940496639</v>
      </c>
      <c r="Y140" s="241"/>
      <c r="Z140" s="265">
        <v>1035915.48297211</v>
      </c>
      <c r="AA140" s="241">
        <f t="shared" si="20"/>
        <v>570000</v>
      </c>
      <c r="AB140" s="241">
        <f t="shared" si="21"/>
        <v>570000</v>
      </c>
    </row>
    <row r="141" spans="10:28" x14ac:dyDescent="0.25">
      <c r="J141" s="241">
        <f>ECON_OUTPUT!G141</f>
        <v>38000000</v>
      </c>
      <c r="K141" s="241">
        <f>ECON_OUTPUT!Q141</f>
        <v>33693128</v>
      </c>
      <c r="L141" s="241">
        <f t="shared" si="15"/>
        <v>-4306872</v>
      </c>
      <c r="M141" s="241">
        <f t="shared" si="16"/>
        <v>4306872</v>
      </c>
      <c r="O141" s="244">
        <f>IF(ECON_OUTPUT!BG141=5,ECON_OUTPUT!G141*(ECON_ASSUMPT!G$13),0)</f>
        <v>1180291.1879720788</v>
      </c>
      <c r="P141" s="244">
        <f>IF(ECON_OUTPUT!BE141="Other",ECON_OUTPUT!G141*ECON_ASSUMPT!G$14,0)</f>
        <v>0</v>
      </c>
      <c r="Q141" s="241">
        <f>ECON_OUTPUT!G141+O141+P141</f>
        <v>39180291.187972076</v>
      </c>
      <c r="R141" s="241">
        <f t="shared" si="19"/>
        <v>-5487163.1879720762</v>
      </c>
      <c r="S141" s="241">
        <f t="shared" si="17"/>
        <v>5487163.1879720762</v>
      </c>
      <c r="U141" s="241">
        <f>ECON_ASSUMPT!E$4+(ECON_OUTPUT!G141*ECON_ASSUMPT!E$5)+(ECON_OUTPUT!BJ141*ECON_ASSUMPT!E$6)+(ECON_OUTPUT!BK141*ECON_ASSUMPT!E$7)+(ECON_OUTPUT!BL141*ECON_ASSUMPT!E$8)+(ECON_OUTPUT!BM141*ECON_ASSUMPT!E$9)+(ECON_OUTPUT!BN141*ECON_ASSUMPT!E$10)</f>
        <v>35855683.986421861</v>
      </c>
      <c r="V141" s="241">
        <f>ECON_OUTPUT!Q141-U141</f>
        <v>-2162555.9864218608</v>
      </c>
      <c r="W141" s="241">
        <f t="shared" si="18"/>
        <v>2162555.9864218608</v>
      </c>
      <c r="Y141" s="241"/>
      <c r="Z141" s="265">
        <v>36886041.747141697</v>
      </c>
      <c r="AA141" s="241">
        <f t="shared" si="20"/>
        <v>-5487163.1879720762</v>
      </c>
      <c r="AB141" s="241">
        <f t="shared" si="21"/>
        <v>5487163.1879720762</v>
      </c>
    </row>
    <row r="142" spans="10:28" x14ac:dyDescent="0.25">
      <c r="J142" s="241">
        <f>ECON_OUTPUT!G142</f>
        <v>979000</v>
      </c>
      <c r="K142" s="241">
        <f>ECON_OUTPUT!Q142</f>
        <v>1736000</v>
      </c>
      <c r="L142" s="241">
        <f t="shared" si="15"/>
        <v>757000</v>
      </c>
      <c r="M142" s="241">
        <f t="shared" si="16"/>
        <v>757000</v>
      </c>
      <c r="O142" s="244">
        <f>IF(ECON_OUTPUT!BG142=5,ECON_OUTPUT!G142*(ECON_ASSUMPT!G$13),0)</f>
        <v>0</v>
      </c>
      <c r="P142" s="244">
        <f>IF(ECON_OUTPUT!BE142="Other",ECON_OUTPUT!G142*ECON_ASSUMPT!G$14,0)</f>
        <v>56989.561661162486</v>
      </c>
      <c r="Q142" s="241">
        <f>ECON_OUTPUT!G142+O142+P142</f>
        <v>1035989.5616611625</v>
      </c>
      <c r="R142" s="241">
        <f t="shared" si="19"/>
        <v>700010.43833883747</v>
      </c>
      <c r="S142" s="241">
        <f t="shared" si="17"/>
        <v>700010.43833883747</v>
      </c>
      <c r="U142" s="241">
        <f>ECON_ASSUMPT!E$4+(ECON_OUTPUT!G142*ECON_ASSUMPT!E$5)+(ECON_OUTPUT!BJ142*ECON_ASSUMPT!E$6)+(ECON_OUTPUT!BK142*ECON_ASSUMPT!E$7)+(ECON_OUTPUT!BL142*ECON_ASSUMPT!E$8)+(ECON_OUTPUT!BM142*ECON_ASSUMPT!E$9)+(ECON_OUTPUT!BN142*ECON_ASSUMPT!E$10)</f>
        <v>2348535.2228901987</v>
      </c>
      <c r="V142" s="241">
        <f>ECON_OUTPUT!Q142-U142</f>
        <v>-612535.2228901987</v>
      </c>
      <c r="W142" s="241">
        <f t="shared" si="18"/>
        <v>612535.2228901987</v>
      </c>
      <c r="Y142" s="241"/>
      <c r="Z142" s="265">
        <v>2277468.02957854</v>
      </c>
      <c r="AA142" s="241">
        <f t="shared" si="20"/>
        <v>700010.43833883747</v>
      </c>
      <c r="AB142" s="241">
        <f t="shared" si="21"/>
        <v>700010.43833883747</v>
      </c>
    </row>
    <row r="143" spans="10:28" x14ac:dyDescent="0.25">
      <c r="J143" s="241">
        <f>ECON_OUTPUT!G143</f>
        <v>4872000</v>
      </c>
      <c r="K143" s="241">
        <f>ECON_OUTPUT!Q143</f>
        <v>4763300</v>
      </c>
      <c r="L143" s="241">
        <f t="shared" si="15"/>
        <v>-108700</v>
      </c>
      <c r="M143" s="241">
        <f t="shared" si="16"/>
        <v>108700</v>
      </c>
      <c r="O143" s="244">
        <f>IF(ECON_OUTPUT!BG143=5,ECON_OUTPUT!G143*(ECON_ASSUMPT!G$13),0)</f>
        <v>0</v>
      </c>
      <c r="P143" s="244">
        <f>IF(ECON_OUTPUT!BE143="Other",ECON_OUTPUT!G143*ECON_ASSUMPT!G$14,0)</f>
        <v>283608.93198486581</v>
      </c>
      <c r="Q143" s="241">
        <f>ECON_OUTPUT!G143+O143+P143</f>
        <v>5155608.931984866</v>
      </c>
      <c r="R143" s="241">
        <f t="shared" si="19"/>
        <v>-392308.93198486604</v>
      </c>
      <c r="S143" s="241">
        <f t="shared" si="17"/>
        <v>392308.93198486604</v>
      </c>
      <c r="U143" s="241">
        <f>ECON_ASSUMPT!E$4+(ECON_OUTPUT!G143*ECON_ASSUMPT!E$5)+(ECON_OUTPUT!BJ143*ECON_ASSUMPT!E$6)+(ECON_OUTPUT!BK143*ECON_ASSUMPT!E$7)+(ECON_OUTPUT!BL143*ECON_ASSUMPT!E$8)+(ECON_OUTPUT!BM143*ECON_ASSUMPT!E$9)+(ECON_OUTPUT!BN143*ECON_ASSUMPT!E$10)</f>
        <v>6569824.9578478374</v>
      </c>
      <c r="V143" s="241">
        <f>ECON_OUTPUT!Q143-U143</f>
        <v>-1806524.9578478374</v>
      </c>
      <c r="W143" s="241">
        <f t="shared" si="18"/>
        <v>1806524.9578478374</v>
      </c>
      <c r="Y143" s="241"/>
      <c r="Z143" s="265">
        <v>6169157.81934701</v>
      </c>
      <c r="AA143" s="241">
        <f t="shared" si="20"/>
        <v>-392308.93198486604</v>
      </c>
      <c r="AB143" s="241">
        <f t="shared" si="21"/>
        <v>392308.93198486604</v>
      </c>
    </row>
    <row r="144" spans="10:28" x14ac:dyDescent="0.25">
      <c r="J144" s="241">
        <f>ECON_OUTPUT!G144</f>
        <v>795000</v>
      </c>
      <c r="K144" s="241">
        <f>ECON_OUTPUT!Q144</f>
        <v>568000</v>
      </c>
      <c r="L144" s="241">
        <f t="shared" si="15"/>
        <v>-227000</v>
      </c>
      <c r="M144" s="241">
        <f t="shared" si="16"/>
        <v>227000</v>
      </c>
      <c r="O144" s="244">
        <f>IF(ECON_OUTPUT!BG144=5,ECON_OUTPUT!G144*(ECON_ASSUMPT!G$13),0)</f>
        <v>0</v>
      </c>
      <c r="P144" s="244">
        <f>IF(ECON_OUTPUT!BE144="Other",ECON_OUTPUT!G144*ECON_ASSUMPT!G$14,0)</f>
        <v>46278.551093589558</v>
      </c>
      <c r="Q144" s="241">
        <f>ECON_OUTPUT!G144+O144+P144</f>
        <v>841278.55109358951</v>
      </c>
      <c r="R144" s="241">
        <f t="shared" si="19"/>
        <v>-273278.55109358951</v>
      </c>
      <c r="S144" s="241">
        <f t="shared" si="17"/>
        <v>273278.55109358951</v>
      </c>
      <c r="U144" s="241">
        <f>ECON_ASSUMPT!E$4+(ECON_OUTPUT!G144*ECON_ASSUMPT!E$5)+(ECON_OUTPUT!BJ144*ECON_ASSUMPT!E$6)+(ECON_OUTPUT!BK144*ECON_ASSUMPT!E$7)+(ECON_OUTPUT!BL144*ECON_ASSUMPT!E$8)+(ECON_OUTPUT!BM144*ECON_ASSUMPT!E$9)+(ECON_OUTPUT!BN144*ECON_ASSUMPT!E$10)</f>
        <v>1557077.6466760619</v>
      </c>
      <c r="V144" s="241">
        <f>ECON_OUTPUT!Q144-U144</f>
        <v>-989077.64667606191</v>
      </c>
      <c r="W144" s="241">
        <f t="shared" si="18"/>
        <v>989077.64667606191</v>
      </c>
      <c r="Y144" s="241"/>
      <c r="Z144" s="265">
        <v>1259586.80670471</v>
      </c>
      <c r="AA144" s="241">
        <f t="shared" si="20"/>
        <v>-273278.55109358951</v>
      </c>
      <c r="AB144" s="241">
        <f t="shared" si="21"/>
        <v>273278.55109358951</v>
      </c>
    </row>
    <row r="145" spans="10:28" x14ac:dyDescent="0.25">
      <c r="J145" s="241">
        <f>ECON_OUTPUT!G145</f>
        <v>8520000</v>
      </c>
      <c r="K145" s="241">
        <f>ECON_OUTPUT!Q145</f>
        <v>8226915</v>
      </c>
      <c r="L145" s="241">
        <f t="shared" si="15"/>
        <v>-293085</v>
      </c>
      <c r="M145" s="241">
        <f t="shared" si="16"/>
        <v>293085</v>
      </c>
      <c r="O145" s="244">
        <f>IF(ECON_OUTPUT!BG145=5,ECON_OUTPUT!G145*(ECON_ASSUMPT!G$13),0)</f>
        <v>0</v>
      </c>
      <c r="P145" s="244">
        <f>IF(ECON_OUTPUT!BE145="Other",ECON_OUTPUT!G145*ECON_ASSUMPT!G$14,0)</f>
        <v>495966.35888979002</v>
      </c>
      <c r="Q145" s="241">
        <f>ECON_OUTPUT!G145+O145+P145</f>
        <v>9015966.3588897903</v>
      </c>
      <c r="R145" s="241">
        <f t="shared" si="19"/>
        <v>-789051.35888979025</v>
      </c>
      <c r="S145" s="241">
        <f t="shared" si="17"/>
        <v>789051.35888979025</v>
      </c>
      <c r="U145" s="241">
        <f>ECON_ASSUMPT!E$4+(ECON_OUTPUT!G145*ECON_ASSUMPT!E$5)+(ECON_OUTPUT!BJ145*ECON_ASSUMPT!E$6)+(ECON_OUTPUT!BK145*ECON_ASSUMPT!E$7)+(ECON_OUTPUT!BL145*ECON_ASSUMPT!E$8)+(ECON_OUTPUT!BM145*ECON_ASSUMPT!E$9)+(ECON_OUTPUT!BN145*ECON_ASSUMPT!E$10)</f>
        <v>9743800.3745645322</v>
      </c>
      <c r="V145" s="241">
        <f>ECON_OUTPUT!Q145-U145</f>
        <v>-1516885.3745645322</v>
      </c>
      <c r="W145" s="241">
        <f t="shared" si="18"/>
        <v>1516885.3745645322</v>
      </c>
      <c r="Y145" s="241"/>
      <c r="Z145" s="265">
        <v>8464905.7699571494</v>
      </c>
      <c r="AA145" s="241">
        <f t="shared" si="20"/>
        <v>-789051.35888979025</v>
      </c>
      <c r="AB145" s="241">
        <f t="shared" si="21"/>
        <v>789051.35888979025</v>
      </c>
    </row>
    <row r="146" spans="10:28" x14ac:dyDescent="0.25">
      <c r="J146" s="241">
        <f>ECON_OUTPUT!G146</f>
        <v>200000000</v>
      </c>
      <c r="K146" s="241">
        <f>ECON_OUTPUT!Q146</f>
        <v>112537000</v>
      </c>
      <c r="L146" s="241">
        <f t="shared" si="15"/>
        <v>-87463000</v>
      </c>
      <c r="M146" s="241">
        <f t="shared" si="16"/>
        <v>87463000</v>
      </c>
      <c r="O146" s="244">
        <f>IF(ECON_OUTPUT!BG146=5,ECON_OUTPUT!G146*(ECON_ASSUMPT!G$13),0)</f>
        <v>6212058.8840635736</v>
      </c>
      <c r="P146" s="244">
        <f>IF(ECON_OUTPUT!BE146="Other",ECON_OUTPUT!G146*ECON_ASSUMPT!G$14,0)</f>
        <v>11642402.790840141</v>
      </c>
      <c r="Q146" s="241">
        <f>ECON_OUTPUT!G146+O146+P146</f>
        <v>217854461.67490372</v>
      </c>
      <c r="R146" s="241">
        <f t="shared" si="19"/>
        <v>-105317461.67490372</v>
      </c>
      <c r="S146" s="241">
        <f t="shared" si="17"/>
        <v>105317461.67490372</v>
      </c>
      <c r="U146" s="241">
        <f>ECON_ASSUMPT!E$4+(ECON_OUTPUT!G146*ECON_ASSUMPT!E$5)+(ECON_OUTPUT!BJ146*ECON_ASSUMPT!E$6)+(ECON_OUTPUT!BK146*ECON_ASSUMPT!E$7)+(ECON_OUTPUT!BL146*ECON_ASSUMPT!E$8)+(ECON_OUTPUT!BM146*ECON_ASSUMPT!E$9)+(ECON_OUTPUT!BN146*ECON_ASSUMPT!E$10)</f>
        <v>178724967.94314119</v>
      </c>
      <c r="V146" s="241">
        <f>ECON_OUTPUT!Q146-U146</f>
        <v>-66187967.943141192</v>
      </c>
      <c r="W146" s="241">
        <f t="shared" si="18"/>
        <v>66187967.943141192</v>
      </c>
      <c r="Y146" s="241"/>
      <c r="Z146" s="265">
        <v>174362732.56222001</v>
      </c>
      <c r="AA146" s="241">
        <f t="shared" si="20"/>
        <v>-105317461.67490372</v>
      </c>
      <c r="AB146" s="241">
        <f t="shared" si="21"/>
        <v>105317461.67490372</v>
      </c>
    </row>
    <row r="147" spans="10:28" x14ac:dyDescent="0.25">
      <c r="J147" s="241">
        <f>ECON_OUTPUT!G147</f>
        <v>26900000</v>
      </c>
      <c r="K147" s="241">
        <f>ECON_OUTPUT!Q147</f>
        <v>45044000</v>
      </c>
      <c r="L147" s="241">
        <f t="shared" si="15"/>
        <v>18144000</v>
      </c>
      <c r="M147" s="241">
        <f t="shared" si="16"/>
        <v>18144000</v>
      </c>
      <c r="O147" s="244">
        <f>IF(ECON_OUTPUT!BG147=5,ECON_OUTPUT!G147*(ECON_ASSUMPT!G$13),0)</f>
        <v>835521.91990655055</v>
      </c>
      <c r="P147" s="244">
        <f>IF(ECON_OUTPUT!BE147="Other",ECON_OUTPUT!G147*ECON_ASSUMPT!G$14,0)</f>
        <v>1565903.1753679989</v>
      </c>
      <c r="Q147" s="241">
        <f>ECON_OUTPUT!G147+O147+P147</f>
        <v>29301425.095274549</v>
      </c>
      <c r="R147" s="241">
        <f t="shared" si="19"/>
        <v>15742574.904725451</v>
      </c>
      <c r="S147" s="241">
        <f t="shared" si="17"/>
        <v>15742574.904725451</v>
      </c>
      <c r="U147" s="241">
        <f>ECON_ASSUMPT!E$4+(ECON_OUTPUT!G147*ECON_ASSUMPT!E$5)+(ECON_OUTPUT!BJ147*ECON_ASSUMPT!E$6)+(ECON_OUTPUT!BK147*ECON_ASSUMPT!E$7)+(ECON_OUTPUT!BL147*ECON_ASSUMPT!E$8)+(ECON_OUTPUT!BM147*ECON_ASSUMPT!E$9)+(ECON_OUTPUT!BN147*ECON_ASSUMPT!E$10)</f>
        <v>28117746.278212488</v>
      </c>
      <c r="V147" s="241">
        <f>ECON_OUTPUT!Q147-U147</f>
        <v>16926253.721787512</v>
      </c>
      <c r="W147" s="241">
        <f t="shared" si="18"/>
        <v>16926253.721787512</v>
      </c>
      <c r="Y147" s="241"/>
      <c r="Z147" s="265">
        <v>27141410.527208202</v>
      </c>
      <c r="AA147" s="241">
        <f t="shared" si="20"/>
        <v>15742574.904725451</v>
      </c>
      <c r="AB147" s="241">
        <f t="shared" si="21"/>
        <v>15742574.904725451</v>
      </c>
    </row>
    <row r="148" spans="10:28" x14ac:dyDescent="0.25">
      <c r="J148" s="241">
        <f>ECON_OUTPUT!G148</f>
        <v>22000000</v>
      </c>
      <c r="K148" s="241">
        <f>ECON_OUTPUT!Q148</f>
        <v>22332146</v>
      </c>
      <c r="L148" s="241">
        <f t="shared" si="15"/>
        <v>332146</v>
      </c>
      <c r="M148" s="241">
        <f t="shared" si="16"/>
        <v>332146</v>
      </c>
      <c r="O148" s="244">
        <f>IF(ECON_OUTPUT!BG148=5,ECON_OUTPUT!G148*(ECON_ASSUMPT!G$13),0)</f>
        <v>683326.4772469931</v>
      </c>
      <c r="P148" s="244">
        <f>IF(ECON_OUTPUT!BE148="Other",ECON_OUTPUT!G148*ECON_ASSUMPT!G$14,0)</f>
        <v>0</v>
      </c>
      <c r="Q148" s="241">
        <f>ECON_OUTPUT!G148+O148+P148</f>
        <v>22683326.477246992</v>
      </c>
      <c r="R148" s="241">
        <f t="shared" si="19"/>
        <v>-351180.47724699229</v>
      </c>
      <c r="S148" s="241">
        <f t="shared" si="17"/>
        <v>351180.47724699229</v>
      </c>
      <c r="U148" s="241">
        <f>ECON_ASSUMPT!E$4+(ECON_OUTPUT!G148*ECON_ASSUMPT!E$5)+(ECON_OUTPUT!BJ148*ECON_ASSUMPT!E$6)+(ECON_OUTPUT!BK148*ECON_ASSUMPT!E$7)+(ECON_OUTPUT!BL148*ECON_ASSUMPT!E$8)+(ECON_OUTPUT!BM148*ECON_ASSUMPT!E$9)+(ECON_OUTPUT!BN148*ECON_ASSUMPT!E$10)</f>
        <v>21934739.176260918</v>
      </c>
      <c r="V148" s="241">
        <f>ECON_OUTPUT!Q148-U148</f>
        <v>397406.82373908162</v>
      </c>
      <c r="W148" s="241">
        <f t="shared" si="18"/>
        <v>397406.82373908162</v>
      </c>
      <c r="Y148" s="241"/>
      <c r="Z148" s="265">
        <v>21147325.238357902</v>
      </c>
      <c r="AA148" s="241">
        <f t="shared" si="20"/>
        <v>-351180.47724699229</v>
      </c>
      <c r="AB148" s="241">
        <f t="shared" si="21"/>
        <v>351180.47724699229</v>
      </c>
    </row>
    <row r="149" spans="10:28" x14ac:dyDescent="0.25">
      <c r="J149" s="241">
        <f>ECON_OUTPUT!G149</f>
        <v>1700000</v>
      </c>
      <c r="K149" s="241">
        <f>ECON_OUTPUT!Q149</f>
        <v>1647000</v>
      </c>
      <c r="L149" s="241">
        <f t="shared" si="15"/>
        <v>-53000</v>
      </c>
      <c r="M149" s="241">
        <f t="shared" si="16"/>
        <v>53000</v>
      </c>
      <c r="O149" s="244">
        <f>IF(ECON_OUTPUT!BG149=5,ECON_OUTPUT!G149*(ECON_ASSUMPT!G$13),0)</f>
        <v>0</v>
      </c>
      <c r="P149" s="244">
        <f>IF(ECON_OUTPUT!BE149="Other",ECON_OUTPUT!G149*ECON_ASSUMPT!G$14,0)</f>
        <v>0</v>
      </c>
      <c r="Q149" s="241">
        <f>ECON_OUTPUT!G149+O149+P149</f>
        <v>1700000</v>
      </c>
      <c r="R149" s="241">
        <f t="shared" si="19"/>
        <v>-53000</v>
      </c>
      <c r="S149" s="241">
        <f t="shared" si="17"/>
        <v>53000</v>
      </c>
      <c r="U149" s="241">
        <f>ECON_ASSUMPT!E$4+(ECON_OUTPUT!G149*ECON_ASSUMPT!E$5)+(ECON_OUTPUT!BJ149*ECON_ASSUMPT!E$6)+(ECON_OUTPUT!BK149*ECON_ASSUMPT!E$7)+(ECON_OUTPUT!BL149*ECON_ASSUMPT!E$8)+(ECON_OUTPUT!BM149*ECON_ASSUMPT!E$9)+(ECON_OUTPUT!BN149*ECON_ASSUMPT!E$10)</f>
        <v>1056130.0445582962</v>
      </c>
      <c r="V149" s="241">
        <f>ECON_OUTPUT!Q149-U149</f>
        <v>590869.95544170379</v>
      </c>
      <c r="W149" s="241">
        <f t="shared" si="18"/>
        <v>590869.95544170379</v>
      </c>
      <c r="Y149" s="241"/>
      <c r="Z149" s="265">
        <v>526141.878262977</v>
      </c>
      <c r="AA149" s="241">
        <f t="shared" si="20"/>
        <v>-53000</v>
      </c>
      <c r="AB149" s="241">
        <f t="shared" si="21"/>
        <v>53000</v>
      </c>
    </row>
    <row r="150" spans="10:28" x14ac:dyDescent="0.25">
      <c r="J150" s="241">
        <f>ECON_OUTPUT!G150</f>
        <v>1056000</v>
      </c>
      <c r="K150" s="241">
        <f>ECON_OUTPUT!Q150</f>
        <v>931795</v>
      </c>
      <c r="L150" s="241">
        <f t="shared" si="15"/>
        <v>-124205</v>
      </c>
      <c r="M150" s="241">
        <f t="shared" si="16"/>
        <v>124205</v>
      </c>
      <c r="O150" s="244">
        <f>IF(ECON_OUTPUT!BG150=5,ECON_OUTPUT!G150*(ECON_ASSUMPT!G$13),0)</f>
        <v>0</v>
      </c>
      <c r="P150" s="244">
        <f>IF(ECON_OUTPUT!BE150="Other",ECON_OUTPUT!G150*ECON_ASSUMPT!G$14,0)</f>
        <v>61471.886735635941</v>
      </c>
      <c r="Q150" s="241">
        <f>ECON_OUTPUT!G150+O150+P150</f>
        <v>1117471.886735636</v>
      </c>
      <c r="R150" s="241">
        <f t="shared" si="19"/>
        <v>-185676.88673563604</v>
      </c>
      <c r="S150" s="241">
        <f t="shared" si="17"/>
        <v>185676.88673563604</v>
      </c>
      <c r="U150" s="241">
        <f>ECON_ASSUMPT!E$4+(ECON_OUTPUT!G150*ECON_ASSUMPT!E$5)+(ECON_OUTPUT!BJ150*ECON_ASSUMPT!E$6)+(ECON_OUTPUT!BK150*ECON_ASSUMPT!E$7)+(ECON_OUTPUT!BL150*ECON_ASSUMPT!E$8)+(ECON_OUTPUT!BM150*ECON_ASSUMPT!E$9)+(ECON_OUTPUT!BN150*ECON_ASSUMPT!E$10)</f>
        <v>1784163.0588918123</v>
      </c>
      <c r="V150" s="241">
        <f>ECON_OUTPUT!Q150-U150</f>
        <v>-852368.05889181234</v>
      </c>
      <c r="W150" s="241">
        <f t="shared" si="18"/>
        <v>852368.05889181234</v>
      </c>
      <c r="Y150" s="241"/>
      <c r="Z150" s="265">
        <v>272914.73464345298</v>
      </c>
      <c r="AA150" s="241">
        <f t="shared" si="20"/>
        <v>-185676.88673563604</v>
      </c>
      <c r="AB150" s="241">
        <f t="shared" si="21"/>
        <v>185676.88673563604</v>
      </c>
    </row>
    <row r="151" spans="10:28" x14ac:dyDescent="0.25">
      <c r="J151" s="241">
        <f>ECON_OUTPUT!G151</f>
        <v>10590000</v>
      </c>
      <c r="K151" s="241">
        <f>ECON_OUTPUT!Q151</f>
        <v>9832834</v>
      </c>
      <c r="L151" s="241">
        <f t="shared" si="15"/>
        <v>-757166</v>
      </c>
      <c r="M151" s="241">
        <f t="shared" si="16"/>
        <v>757166</v>
      </c>
      <c r="O151" s="244">
        <f>IF(ECON_OUTPUT!BG151=5,ECON_OUTPUT!G151*(ECON_ASSUMPT!G$13),0)</f>
        <v>0</v>
      </c>
      <c r="P151" s="244">
        <f>IF(ECON_OUTPUT!BE151="Other",ECON_OUTPUT!G151*ECON_ASSUMPT!G$14,0)</f>
        <v>616465.22777498548</v>
      </c>
      <c r="Q151" s="241">
        <f>ECON_OUTPUT!G151+O151+P151</f>
        <v>11206465.227774985</v>
      </c>
      <c r="R151" s="241">
        <f t="shared" si="19"/>
        <v>-1373631.2277749851</v>
      </c>
      <c r="S151" s="241">
        <f t="shared" si="17"/>
        <v>1373631.2277749851</v>
      </c>
      <c r="U151" s="241">
        <f>ECON_ASSUMPT!E$4+(ECON_OUTPUT!G151*ECON_ASSUMPT!E$5)+(ECON_OUTPUT!BJ151*ECON_ASSUMPT!E$6)+(ECON_OUTPUT!BK151*ECON_ASSUMPT!E$7)+(ECON_OUTPUT!BL151*ECON_ASSUMPT!E$8)+(ECON_OUTPUT!BM151*ECON_ASSUMPT!E$9)+(ECON_OUTPUT!BN151*ECON_ASSUMPT!E$10)</f>
        <v>11544822.609379105</v>
      </c>
      <c r="V151" s="241">
        <f>ECON_OUTPUT!Q151-U151</f>
        <v>-1711988.6093791053</v>
      </c>
      <c r="W151" s="241">
        <f t="shared" si="18"/>
        <v>1711988.6093791053</v>
      </c>
      <c r="Y151" s="241"/>
      <c r="Z151" s="265">
        <v>9373991.7770535294</v>
      </c>
      <c r="AA151" s="241">
        <f t="shared" si="20"/>
        <v>-1373631.2277749851</v>
      </c>
      <c r="AB151" s="241">
        <f t="shared" si="21"/>
        <v>1373631.2277749851</v>
      </c>
    </row>
    <row r="152" spans="10:28" x14ac:dyDescent="0.25">
      <c r="J152" s="241">
        <f>ECON_OUTPUT!G152</f>
        <v>23100000</v>
      </c>
      <c r="K152" s="241">
        <f>ECON_OUTPUT!Q152</f>
        <v>18987000</v>
      </c>
      <c r="L152" s="241">
        <f t="shared" si="15"/>
        <v>-4113000</v>
      </c>
      <c r="M152" s="241">
        <f t="shared" si="16"/>
        <v>4113000</v>
      </c>
      <c r="O152" s="244">
        <f>IF(ECON_OUTPUT!BG152=5,ECON_OUTPUT!G152*(ECON_ASSUMPT!G$13),0)</f>
        <v>717492.80110934272</v>
      </c>
      <c r="P152" s="244">
        <f>IF(ECON_OUTPUT!BE152="Other",ECON_OUTPUT!G152*ECON_ASSUMPT!G$14,0)</f>
        <v>0</v>
      </c>
      <c r="Q152" s="241">
        <f>ECON_OUTPUT!G152+O152+P152</f>
        <v>23817492.801109344</v>
      </c>
      <c r="R152" s="241">
        <f t="shared" si="19"/>
        <v>-4830492.8011093438</v>
      </c>
      <c r="S152" s="241">
        <f t="shared" si="17"/>
        <v>4830492.8011093438</v>
      </c>
      <c r="U152" s="241">
        <f>ECON_ASSUMPT!E$4+(ECON_OUTPUT!G152*ECON_ASSUMPT!E$5)+(ECON_OUTPUT!BJ152*ECON_ASSUMPT!E$6)+(ECON_OUTPUT!BK152*ECON_ASSUMPT!E$7)+(ECON_OUTPUT!BL152*ECON_ASSUMPT!E$8)+(ECON_OUTPUT!BM152*ECON_ASSUMPT!E$9)+(ECON_OUTPUT!BN152*ECON_ASSUMPT!E$10)</f>
        <v>22891804.131959483</v>
      </c>
      <c r="V152" s="241">
        <f>ECON_OUTPUT!Q152-U152</f>
        <v>-3904804.131959483</v>
      </c>
      <c r="W152" s="241">
        <f t="shared" si="18"/>
        <v>3904804.131959483</v>
      </c>
      <c r="Y152" s="241"/>
      <c r="Z152" s="265">
        <v>23043822.399448499</v>
      </c>
      <c r="AA152" s="241">
        <f t="shared" si="20"/>
        <v>-4830492.8011093438</v>
      </c>
      <c r="AB152" s="241">
        <f t="shared" si="21"/>
        <v>4830492.8011093438</v>
      </c>
    </row>
    <row r="153" spans="10:28" x14ac:dyDescent="0.25">
      <c r="J153" s="241">
        <f>ECON_OUTPUT!G153</f>
        <v>1273000</v>
      </c>
      <c r="K153" s="241">
        <f>ECON_OUTPUT!Q153</f>
        <v>1249893</v>
      </c>
      <c r="L153" s="241">
        <f t="shared" si="15"/>
        <v>-23107</v>
      </c>
      <c r="M153" s="241">
        <f t="shared" si="16"/>
        <v>23107</v>
      </c>
      <c r="O153" s="244">
        <f>IF(ECON_OUTPUT!BG153=5,ECON_OUTPUT!G153*(ECON_ASSUMPT!G$13),0)</f>
        <v>0</v>
      </c>
      <c r="P153" s="244">
        <f>IF(ECON_OUTPUT!BE153="Other",ECON_OUTPUT!G153*ECON_ASSUMPT!G$14,0)</f>
        <v>0</v>
      </c>
      <c r="Q153" s="241">
        <f>ECON_OUTPUT!G153+O153+P153</f>
        <v>1273000</v>
      </c>
      <c r="R153" s="241">
        <f t="shared" si="19"/>
        <v>-23107</v>
      </c>
      <c r="S153" s="241">
        <f t="shared" si="17"/>
        <v>23107</v>
      </c>
      <c r="U153" s="241">
        <f>ECON_ASSUMPT!E$4+(ECON_OUTPUT!G153*ECON_ASSUMPT!E$5)+(ECON_OUTPUT!BJ153*ECON_ASSUMPT!E$6)+(ECON_OUTPUT!BK153*ECON_ASSUMPT!E$7)+(ECON_OUTPUT!BL153*ECON_ASSUMPT!E$8)+(ECON_OUTPUT!BM153*ECON_ASSUMPT!E$9)+(ECON_OUTPUT!BN153*ECON_ASSUMPT!E$10)</f>
        <v>53248.119039840065</v>
      </c>
      <c r="V153" s="241">
        <f>ECON_OUTPUT!Q153-U153</f>
        <v>1196644.8809601599</v>
      </c>
      <c r="W153" s="241">
        <f t="shared" si="18"/>
        <v>1196644.8809601599</v>
      </c>
      <c r="Y153" s="241"/>
      <c r="Z153" s="265">
        <v>-1557267.28258071</v>
      </c>
      <c r="AA153" s="241">
        <f t="shared" si="20"/>
        <v>-23107</v>
      </c>
      <c r="AB153" s="241">
        <f t="shared" si="21"/>
        <v>23107</v>
      </c>
    </row>
    <row r="154" spans="10:28" x14ac:dyDescent="0.25">
      <c r="J154" s="241">
        <f>ECON_OUTPUT!G154</f>
        <v>1600000</v>
      </c>
      <c r="K154" s="241">
        <f>ECON_OUTPUT!Q154</f>
        <v>2759000</v>
      </c>
      <c r="L154" s="241">
        <f t="shared" si="15"/>
        <v>1159000</v>
      </c>
      <c r="M154" s="241">
        <f t="shared" si="16"/>
        <v>1159000</v>
      </c>
      <c r="O154" s="244">
        <f>IF(ECON_OUTPUT!BG154=5,ECON_OUTPUT!G154*(ECON_ASSUMPT!G$13),0)</f>
        <v>0</v>
      </c>
      <c r="P154" s="244">
        <f>IF(ECON_OUTPUT!BE154="Other",ECON_OUTPUT!G154*ECON_ASSUMPT!G$14,0)</f>
        <v>0</v>
      </c>
      <c r="Q154" s="241">
        <f>ECON_OUTPUT!G154+O154+P154</f>
        <v>1600000</v>
      </c>
      <c r="R154" s="241">
        <f t="shared" si="19"/>
        <v>1159000</v>
      </c>
      <c r="S154" s="241">
        <f t="shared" si="17"/>
        <v>1159000</v>
      </c>
      <c r="U154" s="241">
        <f>ECON_ASSUMPT!E$4+(ECON_OUTPUT!G154*ECON_ASSUMPT!E$5)+(ECON_OUTPUT!BJ154*ECON_ASSUMPT!E$6)+(ECON_OUTPUT!BK154*ECON_ASSUMPT!E$7)+(ECON_OUTPUT!BL154*ECON_ASSUMPT!E$8)+(ECON_OUTPUT!BM154*ECON_ASSUMPT!E$9)+(ECON_OUTPUT!BN154*ECON_ASSUMPT!E$10)</f>
        <v>1710707.6908305942</v>
      </c>
      <c r="V154" s="241">
        <f>ECON_OUTPUT!Q154-U154</f>
        <v>1048292.3091694058</v>
      </c>
      <c r="W154" s="241">
        <f t="shared" si="18"/>
        <v>1048292.3091694058</v>
      </c>
      <c r="Y154" s="241"/>
      <c r="Z154" s="265">
        <v>627615.83378169301</v>
      </c>
      <c r="AA154" s="241">
        <f t="shared" si="20"/>
        <v>1159000</v>
      </c>
      <c r="AB154" s="241">
        <f t="shared" si="21"/>
        <v>1159000</v>
      </c>
    </row>
    <row r="155" spans="10:28" x14ac:dyDescent="0.25">
      <c r="J155" s="241">
        <f>ECON_OUTPUT!G155</f>
        <v>10900000</v>
      </c>
      <c r="K155" s="241">
        <f>ECON_OUTPUT!Q155</f>
        <v>10424000</v>
      </c>
      <c r="L155" s="241">
        <f t="shared" si="15"/>
        <v>-476000</v>
      </c>
      <c r="M155" s="241">
        <f t="shared" si="16"/>
        <v>476000</v>
      </c>
      <c r="O155" s="244">
        <f>IF(ECON_OUTPUT!BG155=5,ECON_OUTPUT!G155*(ECON_ASSUMPT!G$13),0)</f>
        <v>0</v>
      </c>
      <c r="P155" s="244">
        <f>IF(ECON_OUTPUT!BE155="Other",ECON_OUTPUT!G155*ECON_ASSUMPT!G$14,0)</f>
        <v>0</v>
      </c>
      <c r="Q155" s="241">
        <f>ECON_OUTPUT!G155+O155+P155</f>
        <v>10900000</v>
      </c>
      <c r="R155" s="241">
        <f t="shared" si="19"/>
        <v>-476000</v>
      </c>
      <c r="S155" s="241">
        <f t="shared" si="17"/>
        <v>476000</v>
      </c>
      <c r="U155" s="241">
        <f>ECON_ASSUMPT!E$4+(ECON_OUTPUT!G155*ECON_ASSUMPT!E$5)+(ECON_OUTPUT!BJ155*ECON_ASSUMPT!E$6)+(ECON_OUTPUT!BK155*ECON_ASSUMPT!E$7)+(ECON_OUTPUT!BL155*ECON_ASSUMPT!E$8)+(ECON_OUTPUT!BM155*ECON_ASSUMPT!E$9)+(ECON_OUTPUT!BN155*ECON_ASSUMPT!E$10)</f>
        <v>9894823.161236193</v>
      </c>
      <c r="V155" s="241">
        <f>ECON_OUTPUT!Q155-U155</f>
        <v>529176.83876380697</v>
      </c>
      <c r="W155" s="241">
        <f t="shared" si="18"/>
        <v>529176.83876380697</v>
      </c>
      <c r="Y155" s="241"/>
      <c r="Z155" s="265">
        <v>8014133.6583986497</v>
      </c>
      <c r="AA155" s="241">
        <f t="shared" si="20"/>
        <v>-476000</v>
      </c>
      <c r="AB155" s="241">
        <f t="shared" si="21"/>
        <v>476000</v>
      </c>
    </row>
    <row r="156" spans="10:28" x14ac:dyDescent="0.25">
      <c r="J156" s="241">
        <f>ECON_OUTPUT!G156</f>
        <v>600000</v>
      </c>
      <c r="K156" s="241">
        <f>ECON_OUTPUT!Q156</f>
        <v>888000</v>
      </c>
      <c r="L156" s="241">
        <f t="shared" si="15"/>
        <v>288000</v>
      </c>
      <c r="M156" s="241">
        <f t="shared" si="16"/>
        <v>288000</v>
      </c>
      <c r="O156" s="244">
        <f>IF(ECON_OUTPUT!BG156=5,ECON_OUTPUT!G156*(ECON_ASSUMPT!G$13),0)</f>
        <v>0</v>
      </c>
      <c r="P156" s="244">
        <f>IF(ECON_OUTPUT!BE156="Other",ECON_OUTPUT!G156*ECON_ASSUMPT!G$14,0)</f>
        <v>34927.208372520421</v>
      </c>
      <c r="Q156" s="241">
        <f>ECON_OUTPUT!G156+O156+P156</f>
        <v>634927.2083725204</v>
      </c>
      <c r="R156" s="241">
        <f t="shared" si="19"/>
        <v>253072.7916274796</v>
      </c>
      <c r="S156" s="241">
        <f t="shared" si="17"/>
        <v>253072.7916274796</v>
      </c>
      <c r="U156" s="241">
        <f>ECON_ASSUMPT!E$4+(ECON_OUTPUT!G156*ECON_ASSUMPT!E$5)+(ECON_OUTPUT!BJ156*ECON_ASSUMPT!E$6)+(ECON_OUTPUT!BK156*ECON_ASSUMPT!E$7)+(ECON_OUTPUT!BL156*ECON_ASSUMPT!E$8)+(ECON_OUTPUT!BM156*ECON_ASSUMPT!E$9)+(ECON_OUTPUT!BN156*ECON_ASSUMPT!E$10)</f>
        <v>1387416.1318022255</v>
      </c>
      <c r="V156" s="241">
        <f>ECON_OUTPUT!Q156-U156</f>
        <v>-499416.13180222549</v>
      </c>
      <c r="W156" s="241">
        <f t="shared" si="18"/>
        <v>499416.13180222549</v>
      </c>
      <c r="Y156" s="241"/>
      <c r="Z156" s="265">
        <v>-116373.61769128501</v>
      </c>
      <c r="AA156" s="241">
        <f t="shared" si="20"/>
        <v>253072.7916274796</v>
      </c>
      <c r="AB156" s="241">
        <f t="shared" si="21"/>
        <v>253072.7916274796</v>
      </c>
    </row>
    <row r="157" spans="10:28" x14ac:dyDescent="0.25">
      <c r="J157" s="241">
        <f>ECON_OUTPUT!G157</f>
        <v>1150000</v>
      </c>
      <c r="K157" s="241">
        <f>ECON_OUTPUT!Q157</f>
        <v>1415318</v>
      </c>
      <c r="L157" s="241">
        <f t="shared" si="15"/>
        <v>265318</v>
      </c>
      <c r="M157" s="241">
        <f t="shared" si="16"/>
        <v>265318</v>
      </c>
      <c r="O157" s="244">
        <f>IF(ECON_OUTPUT!BG157=5,ECON_OUTPUT!G157*(ECON_ASSUMPT!G$13),0)</f>
        <v>0</v>
      </c>
      <c r="P157" s="244">
        <f>IF(ECON_OUTPUT!BE157="Other",ECON_OUTPUT!G157*ECON_ASSUMPT!G$14,0)</f>
        <v>0</v>
      </c>
      <c r="Q157" s="241">
        <f>ECON_OUTPUT!G157+O157+P157</f>
        <v>1150000</v>
      </c>
      <c r="R157" s="241">
        <f t="shared" si="19"/>
        <v>265318</v>
      </c>
      <c r="S157" s="241">
        <f t="shared" si="17"/>
        <v>265318</v>
      </c>
      <c r="U157" s="241">
        <f>ECON_ASSUMPT!E$4+(ECON_OUTPUT!G157*ECON_ASSUMPT!E$5)+(ECON_OUTPUT!BJ157*ECON_ASSUMPT!E$6)+(ECON_OUTPUT!BK157*ECON_ASSUMPT!E$7)+(ECON_OUTPUT!BL157*ECON_ASSUMPT!E$8)+(ECON_OUTPUT!BM157*ECON_ASSUMPT!E$9)+(ECON_OUTPUT!BN157*ECON_ASSUMPT!E$10)</f>
        <v>-53769.144188272301</v>
      </c>
      <c r="V157" s="241">
        <f>ECON_OUTPUT!Q157-U157</f>
        <v>1469087.1441882723</v>
      </c>
      <c r="W157" s="241">
        <f t="shared" si="18"/>
        <v>1469087.1441882723</v>
      </c>
      <c r="Y157" s="241"/>
      <c r="Z157" s="265">
        <v>-337045.80916796101</v>
      </c>
      <c r="AA157" s="241">
        <f t="shared" si="20"/>
        <v>265318</v>
      </c>
      <c r="AB157" s="241">
        <f t="shared" si="21"/>
        <v>265318</v>
      </c>
    </row>
    <row r="158" spans="10:28" x14ac:dyDescent="0.25">
      <c r="J158" s="241">
        <f>ECON_OUTPUT!G158</f>
        <v>1440000</v>
      </c>
      <c r="K158" s="241">
        <f>ECON_OUTPUT!Q158</f>
        <v>2160125</v>
      </c>
      <c r="L158" s="241">
        <f t="shared" si="15"/>
        <v>720125</v>
      </c>
      <c r="M158" s="241">
        <f t="shared" si="16"/>
        <v>720125</v>
      </c>
      <c r="O158" s="244">
        <f>IF(ECON_OUTPUT!BG158=5,ECON_OUTPUT!G158*(ECON_ASSUMPT!G$13),0)</f>
        <v>0</v>
      </c>
      <c r="P158" s="244">
        <f>IF(ECON_OUTPUT!BE158="Other",ECON_OUTPUT!G158*ECON_ASSUMPT!G$14,0)</f>
        <v>0</v>
      </c>
      <c r="Q158" s="241">
        <f>ECON_OUTPUT!G158+O158+P158</f>
        <v>1440000</v>
      </c>
      <c r="R158" s="241">
        <f t="shared" si="19"/>
        <v>720125</v>
      </c>
      <c r="S158" s="241">
        <f t="shared" si="17"/>
        <v>720125</v>
      </c>
      <c r="U158" s="241">
        <f>ECON_ASSUMPT!E$4+(ECON_OUTPUT!G158*ECON_ASSUMPT!E$5)+(ECON_OUTPUT!BJ158*ECON_ASSUMPT!E$6)+(ECON_OUTPUT!BK158*ECON_ASSUMPT!E$7)+(ECON_OUTPUT!BL158*ECON_ASSUMPT!E$8)+(ECON_OUTPUT!BM158*ECON_ASSUMPT!E$9)+(ECON_OUTPUT!BN158*ECON_ASSUMPT!E$10)</f>
        <v>829914.69139318075</v>
      </c>
      <c r="V158" s="241">
        <f>ECON_OUTPUT!Q158-U158</f>
        <v>1330210.3086068192</v>
      </c>
      <c r="W158" s="241">
        <f t="shared" si="18"/>
        <v>1330210.3086068192</v>
      </c>
      <c r="Y158" s="241"/>
      <c r="Z158" s="265">
        <v>-250406.176083614</v>
      </c>
      <c r="AA158" s="241">
        <f t="shared" si="20"/>
        <v>720125</v>
      </c>
      <c r="AB158" s="241">
        <f t="shared" si="21"/>
        <v>720125</v>
      </c>
    </row>
    <row r="159" spans="10:28" x14ac:dyDescent="0.25">
      <c r="J159" s="241">
        <f>ECON_OUTPUT!G159</f>
        <v>27125000</v>
      </c>
      <c r="K159" s="241">
        <f>ECON_OUTPUT!Q159</f>
        <v>25742285</v>
      </c>
      <c r="L159" s="241">
        <f t="shared" si="15"/>
        <v>-1382715</v>
      </c>
      <c r="M159" s="241">
        <f t="shared" si="16"/>
        <v>1382715</v>
      </c>
      <c r="O159" s="244">
        <f>IF(ECON_OUTPUT!BG159=5,ECON_OUTPUT!G159*(ECON_ASSUMPT!G$13),0)</f>
        <v>842510.48615112214</v>
      </c>
      <c r="P159" s="244">
        <f>IF(ECON_OUTPUT!BE159="Other",ECON_OUTPUT!G159*ECON_ASSUMPT!G$14,0)</f>
        <v>0</v>
      </c>
      <c r="Q159" s="241">
        <f>ECON_OUTPUT!G159+O159+P159</f>
        <v>27967510.486151122</v>
      </c>
      <c r="R159" s="241">
        <f t="shared" si="19"/>
        <v>-2225225.4861511216</v>
      </c>
      <c r="S159" s="241">
        <f t="shared" si="17"/>
        <v>2225225.4861511216</v>
      </c>
      <c r="U159" s="241">
        <f>ECON_ASSUMPT!E$4+(ECON_OUTPUT!G159*ECON_ASSUMPT!E$5)+(ECON_OUTPUT!BJ159*ECON_ASSUMPT!E$6)+(ECON_OUTPUT!BK159*ECON_ASSUMPT!E$7)+(ECON_OUTPUT!BL159*ECON_ASSUMPT!E$8)+(ECON_OUTPUT!BM159*ECON_ASSUMPT!E$9)+(ECON_OUTPUT!BN159*ECON_ASSUMPT!E$10)</f>
        <v>26393791.810765594</v>
      </c>
      <c r="V159" s="241">
        <f>ECON_OUTPUT!Q159-U159</f>
        <v>-651506.81076559424</v>
      </c>
      <c r="W159" s="241">
        <f t="shared" si="18"/>
        <v>651506.81076559424</v>
      </c>
      <c r="Y159" s="241"/>
      <c r="Z159" s="265">
        <v>25294585.179407299</v>
      </c>
      <c r="AA159" s="241">
        <f t="shared" si="20"/>
        <v>-2225225.4861511216</v>
      </c>
      <c r="AB159" s="241">
        <f t="shared" si="21"/>
        <v>2225225.4861511216</v>
      </c>
    </row>
    <row r="160" spans="10:28" x14ac:dyDescent="0.25">
      <c r="J160" s="241">
        <f>ECON_OUTPUT!G160</f>
        <v>9140000</v>
      </c>
      <c r="K160" s="241">
        <f>ECON_OUTPUT!Q160</f>
        <v>9983390</v>
      </c>
      <c r="L160" s="241">
        <f t="shared" si="15"/>
        <v>843390</v>
      </c>
      <c r="M160" s="241">
        <f t="shared" si="16"/>
        <v>843390</v>
      </c>
      <c r="O160" s="244">
        <f>IF(ECON_OUTPUT!BG160=5,ECON_OUTPUT!G160*(ECON_ASSUMPT!G$13),0)</f>
        <v>0</v>
      </c>
      <c r="P160" s="244">
        <f>IF(ECON_OUTPUT!BE160="Other",ECON_OUTPUT!G160*ECON_ASSUMPT!G$14,0)</f>
        <v>0</v>
      </c>
      <c r="Q160" s="241">
        <f>ECON_OUTPUT!G160+O160+P160</f>
        <v>9140000</v>
      </c>
      <c r="R160" s="241">
        <f t="shared" si="19"/>
        <v>843390</v>
      </c>
      <c r="S160" s="241">
        <f t="shared" si="17"/>
        <v>843390</v>
      </c>
      <c r="U160" s="241">
        <f>ECON_ASSUMPT!E$4+(ECON_OUTPUT!G160*ECON_ASSUMPT!E$5)+(ECON_OUTPUT!BJ160*ECON_ASSUMPT!E$6)+(ECON_OUTPUT!BK160*ECON_ASSUMPT!E$7)+(ECON_OUTPUT!BL160*ECON_ASSUMPT!E$8)+(ECON_OUTPUT!BM160*ECON_ASSUMPT!E$9)+(ECON_OUTPUT!BN160*ECON_ASSUMPT!E$10)</f>
        <v>8363519.2321184892</v>
      </c>
      <c r="V160" s="241">
        <f>ECON_OUTPUT!Q160-U160</f>
        <v>1619870.7678815108</v>
      </c>
      <c r="W160" s="241">
        <f t="shared" si="18"/>
        <v>1619870.7678815108</v>
      </c>
      <c r="Y160" s="241"/>
      <c r="Z160" s="265">
        <v>7322615.3468697304</v>
      </c>
      <c r="AA160" s="241">
        <f t="shared" si="20"/>
        <v>843390</v>
      </c>
      <c r="AB160" s="241">
        <f t="shared" si="21"/>
        <v>843390</v>
      </c>
    </row>
    <row r="161" spans="10:28" x14ac:dyDescent="0.25">
      <c r="J161" s="241">
        <f>ECON_OUTPUT!G161</f>
        <v>3441000</v>
      </c>
      <c r="K161" s="241">
        <f>ECON_OUTPUT!Q161</f>
        <v>3769000</v>
      </c>
      <c r="L161" s="241">
        <f t="shared" si="15"/>
        <v>328000</v>
      </c>
      <c r="M161" s="241">
        <f t="shared" si="16"/>
        <v>328000</v>
      </c>
      <c r="O161" s="244">
        <f>IF(ECON_OUTPUT!BG161=5,ECON_OUTPUT!G161*(ECON_ASSUMPT!G$13),0)</f>
        <v>0</v>
      </c>
      <c r="P161" s="244">
        <f>IF(ECON_OUTPUT!BE161="Other",ECON_OUTPUT!G161*ECON_ASSUMPT!G$14,0)</f>
        <v>0</v>
      </c>
      <c r="Q161" s="241">
        <f>ECON_OUTPUT!G161+O161+P161</f>
        <v>3441000</v>
      </c>
      <c r="R161" s="241">
        <f t="shared" si="19"/>
        <v>328000</v>
      </c>
      <c r="S161" s="241">
        <f t="shared" si="17"/>
        <v>328000</v>
      </c>
      <c r="U161" s="241">
        <f>ECON_ASSUMPT!E$4+(ECON_OUTPUT!G161*ECON_ASSUMPT!E$5)+(ECON_OUTPUT!BJ161*ECON_ASSUMPT!E$6)+(ECON_OUTPUT!BK161*ECON_ASSUMPT!E$7)+(ECON_OUTPUT!BL161*ECON_ASSUMPT!E$8)+(ECON_OUTPUT!BM161*ECON_ASSUMPT!E$9)+(ECON_OUTPUT!BN161*ECON_ASSUMPT!E$10)</f>
        <v>3312486.4030497372</v>
      </c>
      <c r="V161" s="241">
        <f>ECON_OUTPUT!Q161-U161</f>
        <v>456513.59695026278</v>
      </c>
      <c r="W161" s="241">
        <f t="shared" si="18"/>
        <v>456513.59695026278</v>
      </c>
      <c r="Y161" s="241"/>
      <c r="Z161" s="265">
        <v>1760926.64456507</v>
      </c>
      <c r="AA161" s="241">
        <f t="shared" si="20"/>
        <v>328000</v>
      </c>
      <c r="AB161" s="241">
        <f t="shared" si="21"/>
        <v>328000</v>
      </c>
    </row>
    <row r="162" spans="10:28" x14ac:dyDescent="0.25">
      <c r="J162" s="241">
        <f>ECON_OUTPUT!G162</f>
        <v>1520000</v>
      </c>
      <c r="K162" s="241">
        <f>ECON_OUTPUT!Q162</f>
        <v>1593000</v>
      </c>
      <c r="L162" s="241">
        <f t="shared" si="15"/>
        <v>73000</v>
      </c>
      <c r="M162" s="241">
        <f t="shared" si="16"/>
        <v>73000</v>
      </c>
      <c r="O162" s="244">
        <f>IF(ECON_OUTPUT!BG162=5,ECON_OUTPUT!G162*(ECON_ASSUMPT!G$13),0)</f>
        <v>0</v>
      </c>
      <c r="P162" s="244">
        <f>IF(ECON_OUTPUT!BE162="Other",ECON_OUTPUT!G162*ECON_ASSUMPT!G$14,0)</f>
        <v>0</v>
      </c>
      <c r="Q162" s="241">
        <f>ECON_OUTPUT!G162+O162+P162</f>
        <v>1520000</v>
      </c>
      <c r="R162" s="241">
        <f t="shared" si="19"/>
        <v>73000</v>
      </c>
      <c r="S162" s="241">
        <f t="shared" si="17"/>
        <v>73000</v>
      </c>
      <c r="U162" s="241">
        <f>ECON_ASSUMPT!E$4+(ECON_OUTPUT!G162*ECON_ASSUMPT!E$5)+(ECON_OUTPUT!BJ162*ECON_ASSUMPT!E$6)+(ECON_OUTPUT!BK162*ECON_ASSUMPT!E$7)+(ECON_OUTPUT!BL162*ECON_ASSUMPT!E$8)+(ECON_OUTPUT!BM162*ECON_ASSUMPT!E$9)+(ECON_OUTPUT!BN162*ECON_ASSUMPT!E$10)</f>
        <v>899519.41544398549</v>
      </c>
      <c r="V162" s="241">
        <f>ECON_OUTPUT!Q162-U162</f>
        <v>693480.58455601451</v>
      </c>
      <c r="W162" s="241">
        <f t="shared" si="18"/>
        <v>693480.58455601451</v>
      </c>
      <c r="Y162" s="241"/>
      <c r="Z162" s="265">
        <v>727888.42945439206</v>
      </c>
      <c r="AA162" s="241">
        <f t="shared" si="20"/>
        <v>73000</v>
      </c>
      <c r="AB162" s="241">
        <f t="shared" si="21"/>
        <v>73000</v>
      </c>
    </row>
    <row r="163" spans="10:28" x14ac:dyDescent="0.25">
      <c r="J163" s="241">
        <f>ECON_OUTPUT!G163</f>
        <v>960000</v>
      </c>
      <c r="K163" s="241">
        <f>ECON_OUTPUT!Q163</f>
        <v>615185</v>
      </c>
      <c r="L163" s="241">
        <f t="shared" si="15"/>
        <v>-344815</v>
      </c>
      <c r="M163" s="241">
        <f t="shared" si="16"/>
        <v>344815</v>
      </c>
      <c r="O163" s="244">
        <f>IF(ECON_OUTPUT!BG163=5,ECON_OUTPUT!G163*(ECON_ASSUMPT!G$13),0)</f>
        <v>0</v>
      </c>
      <c r="P163" s="244">
        <f>IF(ECON_OUTPUT!BE163="Other",ECON_OUTPUT!G163*ECON_ASSUMPT!G$14,0)</f>
        <v>55883.533396032675</v>
      </c>
      <c r="Q163" s="241">
        <f>ECON_OUTPUT!G163+O163+P163</f>
        <v>1015883.5333960326</v>
      </c>
      <c r="R163" s="241">
        <f t="shared" si="19"/>
        <v>-400698.53339603264</v>
      </c>
      <c r="S163" s="241">
        <f t="shared" si="17"/>
        <v>400698.53339603264</v>
      </c>
      <c r="U163" s="241">
        <f>ECON_ASSUMPT!E$4+(ECON_OUTPUT!G163*ECON_ASSUMPT!E$5)+(ECON_OUTPUT!BJ163*ECON_ASSUMPT!E$6)+(ECON_OUTPUT!BK163*ECON_ASSUMPT!E$7)+(ECON_OUTPUT!BL163*ECON_ASSUMPT!E$8)+(ECON_OUTPUT!BM163*ECON_ASSUMPT!E$9)+(ECON_OUTPUT!BN163*ECON_ASSUMPT!E$10)</f>
        <v>1700637.3900308467</v>
      </c>
      <c r="V163" s="241">
        <f>ECON_OUTPUT!Q163-U163</f>
        <v>-1085452.3900308467</v>
      </c>
      <c r="W163" s="241">
        <f t="shared" si="18"/>
        <v>1085452.3900308467</v>
      </c>
      <c r="Y163" s="241"/>
      <c r="Z163" s="265">
        <v>1404796.4121475101</v>
      </c>
      <c r="AA163" s="241">
        <f t="shared" si="20"/>
        <v>-400698.53339603264</v>
      </c>
      <c r="AB163" s="241">
        <f t="shared" si="21"/>
        <v>400698.53339603264</v>
      </c>
    </row>
    <row r="164" spans="10:28" x14ac:dyDescent="0.25">
      <c r="J164" s="241">
        <f>ECON_OUTPUT!G164</f>
        <v>4390000</v>
      </c>
      <c r="K164" s="241">
        <f>ECON_OUTPUT!Q164</f>
        <v>5305000</v>
      </c>
      <c r="L164" s="241">
        <f t="shared" si="15"/>
        <v>915000</v>
      </c>
      <c r="M164" s="241">
        <f t="shared" si="16"/>
        <v>915000</v>
      </c>
      <c r="O164" s="244">
        <f>IF(ECON_OUTPUT!BG164=5,ECON_OUTPUT!G164*(ECON_ASSUMPT!G$13),0)</f>
        <v>0</v>
      </c>
      <c r="P164" s="244">
        <f>IF(ECON_OUTPUT!BE164="Other",ECON_OUTPUT!G164*ECON_ASSUMPT!G$14,0)</f>
        <v>0</v>
      </c>
      <c r="Q164" s="241">
        <f>ECON_OUTPUT!G164+O164+P164</f>
        <v>4390000</v>
      </c>
      <c r="R164" s="241">
        <f t="shared" si="19"/>
        <v>915000</v>
      </c>
      <c r="S164" s="241">
        <f t="shared" si="17"/>
        <v>915000</v>
      </c>
      <c r="U164" s="241">
        <f>ECON_ASSUMPT!E$4+(ECON_OUTPUT!G164*ECON_ASSUMPT!E$5)+(ECON_OUTPUT!BJ164*ECON_ASSUMPT!E$6)+(ECON_OUTPUT!BK164*ECON_ASSUMPT!E$7)+(ECON_OUTPUT!BL164*ECON_ASSUMPT!E$8)+(ECON_OUTPUT!BM164*ECON_ASSUMPT!E$9)+(ECON_OUTPUT!BN164*ECON_ASSUMPT!E$10)</f>
        <v>4230738.7416019589</v>
      </c>
      <c r="V164" s="241">
        <f>ECON_OUTPUT!Q164-U164</f>
        <v>1074261.2583980411</v>
      </c>
      <c r="W164" s="241">
        <f t="shared" si="18"/>
        <v>1074261.2583980411</v>
      </c>
      <c r="Y164" s="241"/>
      <c r="Z164" s="265">
        <v>3822113.74069669</v>
      </c>
      <c r="AA164" s="241">
        <f t="shared" si="20"/>
        <v>915000</v>
      </c>
      <c r="AB164" s="241">
        <f t="shared" si="21"/>
        <v>915000</v>
      </c>
    </row>
    <row r="165" spans="10:28" x14ac:dyDescent="0.25">
      <c r="J165" s="241">
        <f>ECON_OUTPUT!G165</f>
        <v>153277500</v>
      </c>
      <c r="K165" s="241">
        <f>ECON_OUTPUT!Q165</f>
        <v>123456789</v>
      </c>
      <c r="L165" s="241">
        <f t="shared" si="15"/>
        <v>-29820711</v>
      </c>
      <c r="M165" s="241">
        <f t="shared" si="16"/>
        <v>29820711</v>
      </c>
      <c r="O165" s="244">
        <f>IF(ECON_OUTPUT!BG165=5,ECON_OUTPUT!G165*(ECON_ASSUMPT!G$13),0)</f>
        <v>4760844.2780102715</v>
      </c>
      <c r="P165" s="244">
        <f>IF(ECON_OUTPUT!BE165="Other",ECON_OUTPUT!G165*ECON_ASSUMPT!G$14,0)</f>
        <v>0</v>
      </c>
      <c r="Q165" s="241">
        <f>ECON_OUTPUT!G165+O165+P165</f>
        <v>158038344.27801028</v>
      </c>
      <c r="R165" s="241">
        <f t="shared" si="19"/>
        <v>-34581555.278010279</v>
      </c>
      <c r="S165" s="241">
        <f t="shared" si="17"/>
        <v>34581555.278010279</v>
      </c>
      <c r="U165" s="241">
        <f>ECON_ASSUMPT!E$4+(ECON_OUTPUT!G165*ECON_ASSUMPT!E$5)+(ECON_OUTPUT!BJ165*ECON_ASSUMPT!E$6)+(ECON_OUTPUT!BK165*ECON_ASSUMPT!E$7)+(ECON_OUTPUT!BL165*ECON_ASSUMPT!E$8)+(ECON_OUTPUT!BM165*ECON_ASSUMPT!E$9)+(ECON_OUTPUT!BN165*ECON_ASSUMPT!E$10)</f>
        <v>136153916.19600487</v>
      </c>
      <c r="V165" s="241">
        <f>ECON_OUTPUT!Q165-U165</f>
        <v>-12697127.196004868</v>
      </c>
      <c r="W165" s="241">
        <f t="shared" si="18"/>
        <v>12697127.196004868</v>
      </c>
      <c r="Y165" s="241"/>
      <c r="Z165" s="265">
        <v>133901637.516578</v>
      </c>
      <c r="AA165" s="241">
        <f t="shared" si="20"/>
        <v>-34581555.278010279</v>
      </c>
      <c r="AB165" s="241">
        <f t="shared" si="21"/>
        <v>34581555.278010279</v>
      </c>
    </row>
    <row r="166" spans="10:28" x14ac:dyDescent="0.25">
      <c r="J166" s="241">
        <f>ECON_OUTPUT!G166</f>
        <v>1567000</v>
      </c>
      <c r="K166" s="241">
        <f>ECON_OUTPUT!Q166</f>
        <v>2147450</v>
      </c>
      <c r="L166" s="241">
        <f t="shared" si="15"/>
        <v>580450</v>
      </c>
      <c r="M166" s="241">
        <f t="shared" si="16"/>
        <v>580450</v>
      </c>
      <c r="O166" s="244">
        <f>IF(ECON_OUTPUT!BG166=5,ECON_OUTPUT!G166*(ECON_ASSUMPT!G$13),0)</f>
        <v>0</v>
      </c>
      <c r="P166" s="244">
        <f>IF(ECON_OUTPUT!BE166="Other",ECON_OUTPUT!G166*ECON_ASSUMPT!G$14,0)</f>
        <v>0</v>
      </c>
      <c r="Q166" s="241">
        <f>ECON_OUTPUT!G166+O166+P166</f>
        <v>1567000</v>
      </c>
      <c r="R166" s="241">
        <f t="shared" si="19"/>
        <v>580450</v>
      </c>
      <c r="S166" s="241">
        <f t="shared" si="17"/>
        <v>580450</v>
      </c>
      <c r="U166" s="241">
        <f>ECON_ASSUMPT!E$4+(ECON_OUTPUT!G166*ECON_ASSUMPT!E$5)+(ECON_OUTPUT!BJ166*ECON_ASSUMPT!E$6)+(ECON_OUTPUT!BK166*ECON_ASSUMPT!E$7)+(ECON_OUTPUT!BL166*ECON_ASSUMPT!E$8)+(ECON_OUTPUT!BM166*ECON_ASSUMPT!E$9)+(ECON_OUTPUT!BN166*ECON_ASSUMPT!E$10)</f>
        <v>940412.19082383323</v>
      </c>
      <c r="V166" s="241">
        <f>ECON_OUTPUT!Q166-U166</f>
        <v>1207037.8091761668</v>
      </c>
      <c r="W166" s="241">
        <f t="shared" si="18"/>
        <v>1207037.8091761668</v>
      </c>
      <c r="Y166" s="241"/>
      <c r="Z166" s="265">
        <v>768012.44822574302</v>
      </c>
      <c r="AA166" s="241">
        <f t="shared" si="20"/>
        <v>580450</v>
      </c>
      <c r="AB166" s="241">
        <f t="shared" si="21"/>
        <v>580450</v>
      </c>
    </row>
    <row r="167" spans="10:28" x14ac:dyDescent="0.25">
      <c r="J167" s="241">
        <f>ECON_OUTPUT!G167</f>
        <v>2770000</v>
      </c>
      <c r="K167" s="241">
        <f>ECON_OUTPUT!Q167</f>
        <v>3396000</v>
      </c>
      <c r="L167" s="241">
        <f t="shared" si="15"/>
        <v>626000</v>
      </c>
      <c r="M167" s="241">
        <f t="shared" si="16"/>
        <v>626000</v>
      </c>
      <c r="O167" s="244">
        <f>IF(ECON_OUTPUT!BG167=5,ECON_OUTPUT!G167*(ECON_ASSUMPT!G$13),0)</f>
        <v>0</v>
      </c>
      <c r="P167" s="244">
        <f>IF(ECON_OUTPUT!BE167="Other",ECON_OUTPUT!G167*ECON_ASSUMPT!G$14,0)</f>
        <v>161247.27865313596</v>
      </c>
      <c r="Q167" s="241">
        <f>ECON_OUTPUT!G167+O167+P167</f>
        <v>2931247.278653136</v>
      </c>
      <c r="R167" s="241">
        <f t="shared" si="19"/>
        <v>464752.72134686401</v>
      </c>
      <c r="S167" s="241">
        <f t="shared" si="17"/>
        <v>464752.72134686401</v>
      </c>
      <c r="U167" s="241">
        <f>ECON_ASSUMPT!E$4+(ECON_OUTPUT!G167*ECON_ASSUMPT!E$5)+(ECON_OUTPUT!BJ167*ECON_ASSUMPT!E$6)+(ECON_OUTPUT!BK167*ECON_ASSUMPT!E$7)+(ECON_OUTPUT!BL167*ECON_ASSUMPT!E$8)+(ECON_OUTPUT!BM167*ECON_ASSUMPT!E$9)+(ECON_OUTPUT!BN167*ECON_ASSUMPT!E$10)</f>
        <v>4648394.5339133926</v>
      </c>
      <c r="V167" s="241">
        <f>ECON_OUTPUT!Q167-U167</f>
        <v>-1252394.5339133926</v>
      </c>
      <c r="W167" s="241">
        <f t="shared" si="18"/>
        <v>1252394.5339133926</v>
      </c>
      <c r="Y167" s="241"/>
      <c r="Z167" s="265">
        <v>3139218.0381876002</v>
      </c>
      <c r="AA167" s="241">
        <f t="shared" si="20"/>
        <v>464752.72134686401</v>
      </c>
      <c r="AB167" s="241">
        <f t="shared" si="21"/>
        <v>464752.72134686401</v>
      </c>
    </row>
    <row r="168" spans="10:28" x14ac:dyDescent="0.25">
      <c r="J168" s="241">
        <f>ECON_OUTPUT!G168</f>
        <v>38600000</v>
      </c>
      <c r="K168" s="241">
        <f>ECON_OUTPUT!Q168</f>
        <v>43894000</v>
      </c>
      <c r="L168" s="241">
        <f t="shared" si="15"/>
        <v>5294000</v>
      </c>
      <c r="M168" s="241">
        <f t="shared" si="16"/>
        <v>5294000</v>
      </c>
      <c r="O168" s="244">
        <f>IF(ECON_OUTPUT!BG168=5,ECON_OUTPUT!G168*(ECON_ASSUMPT!G$13),0)</f>
        <v>1198927.3646242695</v>
      </c>
      <c r="P168" s="244">
        <f>IF(ECON_OUTPUT!BE168="Other",ECON_OUTPUT!G168*ECON_ASSUMPT!G$14,0)</f>
        <v>0</v>
      </c>
      <c r="Q168" s="241">
        <f>ECON_OUTPUT!G168+O168+P168</f>
        <v>39798927.364624269</v>
      </c>
      <c r="R168" s="241">
        <f t="shared" si="19"/>
        <v>4095072.6353757307</v>
      </c>
      <c r="S168" s="241">
        <f t="shared" si="17"/>
        <v>4095072.6353757307</v>
      </c>
      <c r="U168" s="241">
        <f>ECON_ASSUMPT!E$4+(ECON_OUTPUT!G168*ECON_ASSUMPT!E$5)+(ECON_OUTPUT!BJ168*ECON_ASSUMPT!E$6)+(ECON_OUTPUT!BK168*ECON_ASSUMPT!E$7)+(ECON_OUTPUT!BL168*ECON_ASSUMPT!E$8)+(ECON_OUTPUT!BM168*ECON_ASSUMPT!E$9)+(ECON_OUTPUT!BN168*ECON_ASSUMPT!E$10)</f>
        <v>36377719.416802891</v>
      </c>
      <c r="V168" s="241">
        <f>ECON_OUTPUT!Q168-U168</f>
        <v>7516280.5831971094</v>
      </c>
      <c r="W168" s="241">
        <f t="shared" si="18"/>
        <v>7516280.5831971094</v>
      </c>
      <c r="Y168" s="241"/>
      <c r="Z168" s="265">
        <v>36631624.574781202</v>
      </c>
      <c r="AA168" s="241">
        <f t="shared" si="20"/>
        <v>4095072.6353757307</v>
      </c>
      <c r="AB168" s="241">
        <f t="shared" si="21"/>
        <v>4095072.6353757307</v>
      </c>
    </row>
    <row r="169" spans="10:28" x14ac:dyDescent="0.25">
      <c r="J169" s="241">
        <f>ECON_OUTPUT!G169</f>
        <v>3730000</v>
      </c>
      <c r="K169" s="241">
        <f>ECON_OUTPUT!Q169</f>
        <v>4649000</v>
      </c>
      <c r="L169" s="241">
        <f t="shared" si="15"/>
        <v>919000</v>
      </c>
      <c r="M169" s="241">
        <f t="shared" si="16"/>
        <v>919000</v>
      </c>
      <c r="O169" s="244">
        <f>IF(ECON_OUTPUT!BG169=5,ECON_OUTPUT!G169*(ECON_ASSUMPT!G$13),0)</f>
        <v>0</v>
      </c>
      <c r="P169" s="244">
        <f>IF(ECON_OUTPUT!BE169="Other",ECON_OUTPUT!G169*ECON_ASSUMPT!G$14,0)</f>
        <v>217130.81204916863</v>
      </c>
      <c r="Q169" s="241">
        <f>ECON_OUTPUT!G169+O169+P169</f>
        <v>3947130.8120491686</v>
      </c>
      <c r="R169" s="241">
        <f t="shared" si="19"/>
        <v>701869.18795083137</v>
      </c>
      <c r="S169" s="241">
        <f t="shared" si="17"/>
        <v>701869.18795083137</v>
      </c>
      <c r="U169" s="241">
        <f>ECON_ASSUMPT!E$4+(ECON_OUTPUT!G169*ECON_ASSUMPT!E$5)+(ECON_OUTPUT!BJ169*ECON_ASSUMPT!E$6)+(ECON_OUTPUT!BK169*ECON_ASSUMPT!E$7)+(ECON_OUTPUT!BL169*ECON_ASSUMPT!E$8)+(ECON_OUTPUT!BM169*ECON_ASSUMPT!E$9)+(ECON_OUTPUT!BN169*ECON_ASSUMPT!E$10)</f>
        <v>5483651.2225230504</v>
      </c>
      <c r="V169" s="241">
        <f>ECON_OUTPUT!Q169-U169</f>
        <v>-834651.22252305038</v>
      </c>
      <c r="W169" s="241">
        <f t="shared" si="18"/>
        <v>834651.22252305038</v>
      </c>
      <c r="Y169" s="241"/>
      <c r="Z169" s="265">
        <v>4937914.53946028</v>
      </c>
      <c r="AA169" s="241">
        <f t="shared" si="20"/>
        <v>701869.18795083137</v>
      </c>
      <c r="AB169" s="241">
        <f t="shared" si="21"/>
        <v>701869.18795083137</v>
      </c>
    </row>
    <row r="170" spans="10:28" x14ac:dyDescent="0.25">
      <c r="J170" s="241">
        <f>ECON_OUTPUT!G170</f>
        <v>34796400</v>
      </c>
      <c r="K170" s="241">
        <f>ECON_OUTPUT!Q170</f>
        <v>36459000</v>
      </c>
      <c r="L170" s="241">
        <f t="shared" si="15"/>
        <v>1662600</v>
      </c>
      <c r="M170" s="241">
        <f t="shared" si="16"/>
        <v>1662600</v>
      </c>
      <c r="O170" s="244">
        <f>IF(ECON_OUTPUT!BG170=5,ECON_OUTPUT!G170*(ECON_ASSUMPT!G$13),0)</f>
        <v>1080786.4287671486</v>
      </c>
      <c r="P170" s="244">
        <f>IF(ECON_OUTPUT!BE170="Other",ECON_OUTPUT!G170*ECON_ASSUMPT!G$14,0)</f>
        <v>2025568.5223559495</v>
      </c>
      <c r="Q170" s="241">
        <f>ECON_OUTPUT!G170+O170+P170</f>
        <v>37902754.951123103</v>
      </c>
      <c r="R170" s="241">
        <f t="shared" si="19"/>
        <v>-1443754.9511231035</v>
      </c>
      <c r="S170" s="241">
        <f t="shared" si="17"/>
        <v>1443754.9511231035</v>
      </c>
      <c r="U170" s="241">
        <f>ECON_ASSUMPT!E$4+(ECON_OUTPUT!G170*ECON_ASSUMPT!E$5)+(ECON_OUTPUT!BJ170*ECON_ASSUMPT!E$6)+(ECON_OUTPUT!BK170*ECON_ASSUMPT!E$7)+(ECON_OUTPUT!BL170*ECON_ASSUMPT!E$8)+(ECON_OUTPUT!BM170*ECON_ASSUMPT!E$9)+(ECON_OUTPUT!BN170*ECON_ASSUMPT!E$10)</f>
        <v>34988080.56564717</v>
      </c>
      <c r="V170" s="241">
        <f>ECON_OUTPUT!Q170-U170</f>
        <v>1470919.4343528301</v>
      </c>
      <c r="W170" s="241">
        <f t="shared" si="18"/>
        <v>1470919.4343528301</v>
      </c>
      <c r="Y170" s="241"/>
      <c r="Z170" s="265">
        <v>35596854.166542299</v>
      </c>
      <c r="AA170" s="241">
        <f t="shared" si="20"/>
        <v>-1443754.9511231035</v>
      </c>
      <c r="AB170" s="241">
        <f t="shared" si="21"/>
        <v>1443754.9511231035</v>
      </c>
    </row>
    <row r="171" spans="10:28" x14ac:dyDescent="0.25">
      <c r="J171" s="241">
        <f>ECON_OUTPUT!G171</f>
        <v>3570000</v>
      </c>
      <c r="K171" s="241">
        <f>ECON_OUTPUT!Q171</f>
        <v>4779000</v>
      </c>
      <c r="L171" s="241">
        <f t="shared" si="15"/>
        <v>1209000</v>
      </c>
      <c r="M171" s="241">
        <f t="shared" si="16"/>
        <v>1209000</v>
      </c>
      <c r="O171" s="244">
        <f>IF(ECON_OUTPUT!BG171=5,ECON_OUTPUT!G171*(ECON_ASSUMPT!G$13),0)</f>
        <v>0</v>
      </c>
      <c r="P171" s="244">
        <f>IF(ECON_OUTPUT!BE171="Other",ECON_OUTPUT!G171*ECON_ASSUMPT!G$14,0)</f>
        <v>0</v>
      </c>
      <c r="Q171" s="241">
        <f>ECON_OUTPUT!G171+O171+P171</f>
        <v>3570000</v>
      </c>
      <c r="R171" s="241">
        <f t="shared" si="19"/>
        <v>1209000</v>
      </c>
      <c r="S171" s="241">
        <f t="shared" si="17"/>
        <v>1209000</v>
      </c>
      <c r="U171" s="241">
        <f>ECON_ASSUMPT!E$4+(ECON_OUTPUT!G171*ECON_ASSUMPT!E$5)+(ECON_OUTPUT!BJ171*ECON_ASSUMPT!E$6)+(ECON_OUTPUT!BK171*ECON_ASSUMPT!E$7)+(ECON_OUTPUT!BL171*ECON_ASSUMPT!E$8)+(ECON_OUTPUT!BM171*ECON_ASSUMPT!E$9)+(ECON_OUTPUT!BN171*ECON_ASSUMPT!E$10)</f>
        <v>3517290.3200812102</v>
      </c>
      <c r="V171" s="241">
        <f>ECON_OUTPUT!Q171-U171</f>
        <v>1261709.6799187898</v>
      </c>
      <c r="W171" s="241">
        <f t="shared" si="18"/>
        <v>1261709.6799187898</v>
      </c>
      <c r="Y171" s="241"/>
      <c r="Z171" s="265">
        <v>4112437.3840017002</v>
      </c>
      <c r="AA171" s="241">
        <f t="shared" si="20"/>
        <v>1209000</v>
      </c>
      <c r="AB171" s="241">
        <f t="shared" si="21"/>
        <v>1209000</v>
      </c>
    </row>
    <row r="172" spans="10:28" x14ac:dyDescent="0.25">
      <c r="J172" s="241">
        <f>ECON_OUTPUT!G172</f>
        <v>9350000</v>
      </c>
      <c r="K172" s="241">
        <f>ECON_OUTPUT!Q172</f>
        <v>11420920</v>
      </c>
      <c r="L172" s="241">
        <f t="shared" si="15"/>
        <v>2070920</v>
      </c>
      <c r="M172" s="241">
        <f t="shared" si="16"/>
        <v>2070920</v>
      </c>
      <c r="O172" s="244">
        <f>IF(ECON_OUTPUT!BG172=5,ECON_OUTPUT!G172*(ECON_ASSUMPT!G$13),0)</f>
        <v>0</v>
      </c>
      <c r="P172" s="244">
        <f>IF(ECON_OUTPUT!BE172="Other",ECON_OUTPUT!G172*ECON_ASSUMPT!G$14,0)</f>
        <v>544282.33047177654</v>
      </c>
      <c r="Q172" s="241">
        <f>ECON_OUTPUT!G172+O172+P172</f>
        <v>9894282.3304717764</v>
      </c>
      <c r="R172" s="241">
        <f t="shared" si="19"/>
        <v>1526637.6695282236</v>
      </c>
      <c r="S172" s="241">
        <f t="shared" si="17"/>
        <v>1526637.6695282236</v>
      </c>
      <c r="U172" s="241">
        <f>ECON_ASSUMPT!E$4+(ECON_OUTPUT!G172*ECON_ASSUMPT!E$5)+(ECON_OUTPUT!BJ172*ECON_ASSUMPT!E$6)+(ECON_OUTPUT!BK172*ECON_ASSUMPT!E$7)+(ECON_OUTPUT!BL172*ECON_ASSUMPT!E$8)+(ECON_OUTPUT!BM172*ECON_ASSUMPT!E$9)+(ECON_OUTPUT!BN172*ECON_ASSUMPT!E$10)</f>
        <v>10465949.386591632</v>
      </c>
      <c r="V172" s="241">
        <f>ECON_OUTPUT!Q172-U172</f>
        <v>954970.61340836808</v>
      </c>
      <c r="W172" s="241">
        <f t="shared" si="18"/>
        <v>954970.61340836808</v>
      </c>
      <c r="Y172" s="241"/>
      <c r="Z172" s="265">
        <v>9813265.6684933007</v>
      </c>
      <c r="AA172" s="241">
        <f t="shared" si="20"/>
        <v>1526637.6695282236</v>
      </c>
      <c r="AB172" s="241">
        <f t="shared" si="21"/>
        <v>1526637.6695282236</v>
      </c>
    </row>
    <row r="173" spans="10:28" x14ac:dyDescent="0.25">
      <c r="J173" s="241">
        <f>ECON_OUTPUT!G173</f>
        <v>1980000</v>
      </c>
      <c r="K173" s="241">
        <f>ECON_OUTPUT!Q173</f>
        <v>2991000</v>
      </c>
      <c r="L173" s="241">
        <f t="shared" si="15"/>
        <v>1011000</v>
      </c>
      <c r="M173" s="241">
        <f t="shared" si="16"/>
        <v>1011000</v>
      </c>
      <c r="O173" s="244">
        <f>IF(ECON_OUTPUT!BG173=5,ECON_OUTPUT!G173*(ECON_ASSUMPT!G$13),0)</f>
        <v>0</v>
      </c>
      <c r="P173" s="244">
        <f>IF(ECON_OUTPUT!BE173="Other",ECON_OUTPUT!G173*ECON_ASSUMPT!G$14,0)</f>
        <v>115259.78762931739</v>
      </c>
      <c r="Q173" s="241">
        <f>ECON_OUTPUT!G173+O173+P173</f>
        <v>2095259.7876293175</v>
      </c>
      <c r="R173" s="241">
        <f t="shared" si="19"/>
        <v>895740.21237068251</v>
      </c>
      <c r="S173" s="241">
        <f t="shared" si="17"/>
        <v>895740.21237068251</v>
      </c>
      <c r="U173" s="241">
        <f>ECON_ASSUMPT!E$4+(ECON_OUTPUT!G173*ECON_ASSUMPT!E$5)+(ECON_OUTPUT!BJ173*ECON_ASSUMPT!E$6)+(ECON_OUTPUT!BK173*ECON_ASSUMPT!E$7)+(ECON_OUTPUT!BL173*ECON_ASSUMPT!E$8)+(ECON_OUTPUT!BM173*ECON_ASSUMPT!E$9)+(ECON_OUTPUT!BN173*ECON_ASSUMPT!E$10)</f>
        <v>3961047.8839116967</v>
      </c>
      <c r="V173" s="241">
        <f>ECON_OUTPUT!Q173-U173</f>
        <v>-970047.88391169673</v>
      </c>
      <c r="W173" s="241">
        <f t="shared" si="18"/>
        <v>970047.88391169673</v>
      </c>
      <c r="Y173" s="241"/>
      <c r="Z173" s="265">
        <v>4704852.3250419302</v>
      </c>
      <c r="AA173" s="241">
        <f t="shared" si="20"/>
        <v>895740.21237068251</v>
      </c>
      <c r="AB173" s="241">
        <f t="shared" si="21"/>
        <v>895740.21237068251</v>
      </c>
    </row>
    <row r="174" spans="10:28" x14ac:dyDescent="0.25">
      <c r="J174" s="241">
        <f>ECON_OUTPUT!G174</f>
        <v>54744000</v>
      </c>
      <c r="K174" s="241">
        <f>ECON_OUTPUT!Q174</f>
        <v>48040040</v>
      </c>
      <c r="L174" s="241">
        <f t="shared" si="15"/>
        <v>-6703960</v>
      </c>
      <c r="M174" s="241">
        <f t="shared" si="16"/>
        <v>6703960</v>
      </c>
      <c r="O174" s="244">
        <f>IF(ECON_OUTPUT!BG174=5,ECON_OUTPUT!G174*(ECON_ASSUMPT!G$13),0)</f>
        <v>1700364.7577458813</v>
      </c>
      <c r="P174" s="244">
        <f>IF(ECON_OUTPUT!BE174="Other",ECON_OUTPUT!G174*ECON_ASSUMPT!G$14,0)</f>
        <v>0</v>
      </c>
      <c r="Q174" s="241">
        <f>ECON_OUTPUT!G174+O174+P174</f>
        <v>56444364.757745884</v>
      </c>
      <c r="R174" s="241">
        <f t="shared" si="19"/>
        <v>-8404324.7577458844</v>
      </c>
      <c r="S174" s="241">
        <f t="shared" si="17"/>
        <v>8404324.7577458844</v>
      </c>
      <c r="U174" s="241">
        <f>ECON_ASSUMPT!E$4+(ECON_OUTPUT!G174*ECON_ASSUMPT!E$5)+(ECON_OUTPUT!BJ174*ECON_ASSUMPT!E$6)+(ECON_OUTPUT!BK174*ECON_ASSUMPT!E$7)+(ECON_OUTPUT!BL174*ECON_ASSUMPT!E$8)+(ECON_OUTPUT!BM174*ECON_ASSUMPT!E$9)+(ECON_OUTPUT!BN174*ECON_ASSUMPT!E$10)</f>
        <v>50423952.730255283</v>
      </c>
      <c r="V174" s="241">
        <f>ECON_OUTPUT!Q174-U174</f>
        <v>-2383912.7302552834</v>
      </c>
      <c r="W174" s="241">
        <f t="shared" si="18"/>
        <v>2383912.7302552834</v>
      </c>
      <c r="Y174" s="241"/>
      <c r="Z174" s="265">
        <v>51772306.2800074</v>
      </c>
      <c r="AA174" s="241">
        <f t="shared" si="20"/>
        <v>-8404324.7577458844</v>
      </c>
      <c r="AB174" s="241">
        <f t="shared" si="21"/>
        <v>8404324.7577458844</v>
      </c>
    </row>
    <row r="175" spans="10:28" x14ac:dyDescent="0.25">
      <c r="J175" s="241">
        <f>ECON_OUTPUT!G175</f>
        <v>1300000</v>
      </c>
      <c r="K175" s="241">
        <f>ECON_OUTPUT!Q175</f>
        <v>1419200</v>
      </c>
      <c r="L175" s="241">
        <f t="shared" si="15"/>
        <v>119200</v>
      </c>
      <c r="M175" s="241">
        <f t="shared" si="16"/>
        <v>119200</v>
      </c>
      <c r="O175" s="244">
        <f>IF(ECON_OUTPUT!BG175=5,ECON_OUTPUT!G175*(ECON_ASSUMPT!G$13),0)</f>
        <v>0</v>
      </c>
      <c r="P175" s="244">
        <f>IF(ECON_OUTPUT!BE175="Other",ECON_OUTPUT!G175*ECON_ASSUMPT!G$14,0)</f>
        <v>75675.618140460909</v>
      </c>
      <c r="Q175" s="241">
        <f>ECON_OUTPUT!G175+O175+P175</f>
        <v>1375675.6181404609</v>
      </c>
      <c r="R175" s="241">
        <f t="shared" si="19"/>
        <v>43524.381859539077</v>
      </c>
      <c r="S175" s="241">
        <f t="shared" si="17"/>
        <v>43524.381859539077</v>
      </c>
      <c r="U175" s="241">
        <f>ECON_ASSUMPT!E$4+(ECON_OUTPUT!G175*ECON_ASSUMPT!E$5)+(ECON_OUTPUT!BJ175*ECON_ASSUMPT!E$6)+(ECON_OUTPUT!BK175*ECON_ASSUMPT!E$7)+(ECON_OUTPUT!BL175*ECON_ASSUMPT!E$8)+(ECON_OUTPUT!BM175*ECON_ASSUMPT!E$9)+(ECON_OUTPUT!BN175*ECON_ASSUMPT!E$10)</f>
        <v>1996457.4672467667</v>
      </c>
      <c r="V175" s="241">
        <f>ECON_OUTPUT!Q175-U175</f>
        <v>-577257.46724676667</v>
      </c>
      <c r="W175" s="241">
        <f t="shared" si="18"/>
        <v>577257.46724676667</v>
      </c>
      <c r="Y175" s="241"/>
      <c r="Z175" s="265">
        <v>1424497.7789115</v>
      </c>
      <c r="AA175" s="241">
        <f t="shared" si="20"/>
        <v>43524.381859539077</v>
      </c>
      <c r="AB175" s="241">
        <f t="shared" si="21"/>
        <v>43524.381859539077</v>
      </c>
    </row>
    <row r="176" spans="10:28" x14ac:dyDescent="0.25">
      <c r="J176" s="241">
        <f>ECON_OUTPUT!G176</f>
        <v>2500000</v>
      </c>
      <c r="K176" s="241">
        <f>ECON_OUTPUT!Q176</f>
        <v>3234700</v>
      </c>
      <c r="L176" s="241">
        <f t="shared" si="15"/>
        <v>734700</v>
      </c>
      <c r="M176" s="241">
        <f t="shared" si="16"/>
        <v>734700</v>
      </c>
      <c r="O176" s="244">
        <f>IF(ECON_OUTPUT!BG176=5,ECON_OUTPUT!G176*(ECON_ASSUMPT!G$13),0)</f>
        <v>0</v>
      </c>
      <c r="P176" s="244">
        <f>IF(ECON_OUTPUT!BE176="Other",ECON_OUTPUT!G176*ECON_ASSUMPT!G$14,0)</f>
        <v>0</v>
      </c>
      <c r="Q176" s="241">
        <f>ECON_OUTPUT!G176+O176+P176</f>
        <v>2500000</v>
      </c>
      <c r="R176" s="241">
        <f t="shared" si="19"/>
        <v>734700</v>
      </c>
      <c r="S176" s="241">
        <f t="shared" si="17"/>
        <v>734700</v>
      </c>
      <c r="U176" s="241">
        <f>ECON_ASSUMPT!E$4+(ECON_OUTPUT!G176*ECON_ASSUMPT!E$5)+(ECON_OUTPUT!BJ176*ECON_ASSUMPT!E$6)+(ECON_OUTPUT!BK176*ECON_ASSUMPT!E$7)+(ECON_OUTPUT!BL176*ECON_ASSUMPT!E$8)+(ECON_OUTPUT!BM176*ECON_ASSUMPT!E$9)+(ECON_OUTPUT!BN176*ECON_ASSUMPT!E$10)</f>
        <v>2493760.8364021471</v>
      </c>
      <c r="V176" s="241">
        <f>ECON_OUTPUT!Q176-U176</f>
        <v>740939.16359785292</v>
      </c>
      <c r="W176" s="241">
        <f t="shared" si="18"/>
        <v>740939.16359785292</v>
      </c>
      <c r="Y176" s="241"/>
      <c r="Z176" s="265">
        <v>3501144.6764180399</v>
      </c>
      <c r="AA176" s="241">
        <f t="shared" si="20"/>
        <v>734700</v>
      </c>
      <c r="AB176" s="241">
        <f t="shared" si="21"/>
        <v>734700</v>
      </c>
    </row>
    <row r="177" spans="10:28" x14ac:dyDescent="0.25">
      <c r="J177" s="241">
        <f>ECON_OUTPUT!G177</f>
        <v>17920000</v>
      </c>
      <c r="K177" s="241">
        <f>ECON_OUTPUT!Q177</f>
        <v>24477000</v>
      </c>
      <c r="L177" s="241">
        <f t="shared" si="15"/>
        <v>6557000</v>
      </c>
      <c r="M177" s="241">
        <f t="shared" si="16"/>
        <v>6557000</v>
      </c>
      <c r="O177" s="244">
        <f>IF(ECON_OUTPUT!BG177=5,ECON_OUTPUT!G177*(ECON_ASSUMPT!G$13),0)</f>
        <v>556600.47601209616</v>
      </c>
      <c r="P177" s="244">
        <f>IF(ECON_OUTPUT!BE177="Other",ECON_OUTPUT!G177*ECON_ASSUMPT!G$14,0)</f>
        <v>0</v>
      </c>
      <c r="Q177" s="241">
        <f>ECON_OUTPUT!G177+O177+P177</f>
        <v>18476600.476012096</v>
      </c>
      <c r="R177" s="241">
        <f t="shared" si="19"/>
        <v>6000399.5239879042</v>
      </c>
      <c r="S177" s="241">
        <f t="shared" si="17"/>
        <v>6000399.5239879042</v>
      </c>
      <c r="U177" s="241">
        <f>ECON_ASSUMPT!E$4+(ECON_OUTPUT!G177*ECON_ASSUMPT!E$5)+(ECON_OUTPUT!BJ177*ECON_ASSUMPT!E$6)+(ECON_OUTPUT!BK177*ECON_ASSUMPT!E$7)+(ECON_OUTPUT!BL177*ECON_ASSUMPT!E$8)+(ECON_OUTPUT!BM177*ECON_ASSUMPT!E$9)+(ECON_OUTPUT!BN177*ECON_ASSUMPT!E$10)</f>
        <v>18384898.249669876</v>
      </c>
      <c r="V177" s="241">
        <f>ECON_OUTPUT!Q177-U177</f>
        <v>6092101.7503301241</v>
      </c>
      <c r="W177" s="241">
        <f t="shared" si="18"/>
        <v>6092101.7503301241</v>
      </c>
      <c r="Y177" s="241"/>
      <c r="Z177" s="265">
        <v>20586656.994655099</v>
      </c>
      <c r="AA177" s="241">
        <f t="shared" si="20"/>
        <v>6000399.5239879042</v>
      </c>
      <c r="AB177" s="241">
        <f t="shared" si="21"/>
        <v>6000399.5239879042</v>
      </c>
    </row>
    <row r="178" spans="10:28" x14ac:dyDescent="0.25">
      <c r="J178" s="241">
        <f>ECON_OUTPUT!G178</f>
        <v>5960000</v>
      </c>
      <c r="K178" s="241">
        <f>ECON_OUTPUT!Q178</f>
        <v>8447200</v>
      </c>
      <c r="L178" s="241">
        <f t="shared" si="15"/>
        <v>2487200</v>
      </c>
      <c r="M178" s="241">
        <f t="shared" si="16"/>
        <v>2487200</v>
      </c>
      <c r="O178" s="244">
        <f>IF(ECON_OUTPUT!BG178=5,ECON_OUTPUT!G178*(ECON_ASSUMPT!G$13),0)</f>
        <v>0</v>
      </c>
      <c r="P178" s="244">
        <f>IF(ECON_OUTPUT!BE178="Other",ECON_OUTPUT!G178*ECON_ASSUMPT!G$14,0)</f>
        <v>0</v>
      </c>
      <c r="Q178" s="241">
        <f>ECON_OUTPUT!G178+O178+P178</f>
        <v>5960000</v>
      </c>
      <c r="R178" s="241">
        <f t="shared" si="19"/>
        <v>2487200</v>
      </c>
      <c r="S178" s="241">
        <f t="shared" si="17"/>
        <v>2487200</v>
      </c>
      <c r="U178" s="241">
        <f>ECON_ASSUMPT!E$4+(ECON_OUTPUT!G178*ECON_ASSUMPT!E$5)+(ECON_OUTPUT!BJ178*ECON_ASSUMPT!E$6)+(ECON_OUTPUT!BK178*ECON_ASSUMPT!E$7)+(ECON_OUTPUT!BL178*ECON_ASSUMPT!E$8)+(ECON_OUTPUT!BM178*ECON_ASSUMPT!E$9)+(ECON_OUTPUT!BN178*ECON_ASSUMPT!E$10)</f>
        <v>5596731.4510990009</v>
      </c>
      <c r="V178" s="241">
        <f>ECON_OUTPUT!Q178-U178</f>
        <v>2850468.5489009991</v>
      </c>
      <c r="W178" s="241">
        <f t="shared" si="18"/>
        <v>2850468.5489009991</v>
      </c>
      <c r="Y178" s="241"/>
      <c r="Z178" s="265">
        <v>6392315.4640566101</v>
      </c>
      <c r="AA178" s="241">
        <f t="shared" si="20"/>
        <v>2487200</v>
      </c>
      <c r="AB178" s="241">
        <f t="shared" si="21"/>
        <v>2487200</v>
      </c>
    </row>
    <row r="179" spans="10:28" x14ac:dyDescent="0.25">
      <c r="J179" s="241">
        <f>ECON_OUTPUT!G179</f>
        <v>1700000</v>
      </c>
      <c r="K179" s="241">
        <f>ECON_OUTPUT!Q179</f>
        <v>3851000</v>
      </c>
      <c r="L179" s="241">
        <f t="shared" si="15"/>
        <v>2151000</v>
      </c>
      <c r="M179" s="241">
        <f t="shared" si="16"/>
        <v>2151000</v>
      </c>
      <c r="O179" s="244">
        <f>IF(ECON_OUTPUT!BG179=5,ECON_OUTPUT!G179*(ECON_ASSUMPT!G$13),0)</f>
        <v>0</v>
      </c>
      <c r="P179" s="244">
        <f>IF(ECON_OUTPUT!BE179="Other",ECON_OUTPUT!G179*ECON_ASSUMPT!G$14,0)</f>
        <v>98960.423722141204</v>
      </c>
      <c r="Q179" s="241">
        <f>ECON_OUTPUT!G179+O179+P179</f>
        <v>1798960.4237221412</v>
      </c>
      <c r="R179" s="241">
        <f t="shared" si="19"/>
        <v>2052039.5762778588</v>
      </c>
      <c r="S179" s="241">
        <f t="shared" si="17"/>
        <v>2052039.5762778588</v>
      </c>
      <c r="U179" s="241">
        <f>ECON_ASSUMPT!E$4+(ECON_OUTPUT!G179*ECON_ASSUMPT!E$5)+(ECON_OUTPUT!BJ179*ECON_ASSUMPT!E$6)+(ECON_OUTPUT!BK179*ECON_ASSUMPT!E$7)+(ECON_OUTPUT!BL179*ECON_ASSUMPT!E$8)+(ECON_OUTPUT!BM179*ECON_ASSUMPT!E$9)+(ECON_OUTPUT!BN179*ECON_ASSUMPT!E$10)</f>
        <v>3717431.3497338803</v>
      </c>
      <c r="V179" s="241">
        <f>ECON_OUTPUT!Q179-U179</f>
        <v>133568.65026611974</v>
      </c>
      <c r="W179" s="241">
        <f t="shared" si="18"/>
        <v>133568.65026611974</v>
      </c>
      <c r="Y179" s="241"/>
      <c r="Z179" s="265">
        <v>4389942.4108221903</v>
      </c>
      <c r="AA179" s="241">
        <f t="shared" si="20"/>
        <v>2052039.5762778588</v>
      </c>
      <c r="AB179" s="241">
        <f t="shared" si="21"/>
        <v>2052039.5762778588</v>
      </c>
    </row>
    <row r="180" spans="10:28" x14ac:dyDescent="0.25">
      <c r="J180" s="241">
        <f>ECON_OUTPUT!G180</f>
        <v>64356250</v>
      </c>
      <c r="K180" s="241">
        <f>ECON_OUTPUT!Q180</f>
        <v>70400000</v>
      </c>
      <c r="L180" s="241">
        <f t="shared" si="15"/>
        <v>6043750</v>
      </c>
      <c r="M180" s="241">
        <f t="shared" si="16"/>
        <v>6043750</v>
      </c>
      <c r="O180" s="244">
        <f>IF(ECON_OUTPUT!BG180=5,ECON_OUTPUT!G180*(ECON_ASSUMPT!G$13),0)</f>
        <v>1998924.0727875817</v>
      </c>
      <c r="P180" s="244">
        <f>IF(ECON_OUTPUT!BE180="Other",ECON_OUTPUT!G180*ECON_ASSUMPT!G$14,0)</f>
        <v>0</v>
      </c>
      <c r="Q180" s="241">
        <f>ECON_OUTPUT!G180+O180+P180</f>
        <v>66355174.072787583</v>
      </c>
      <c r="R180" s="241">
        <f t="shared" si="19"/>
        <v>4044825.9272124171</v>
      </c>
      <c r="S180" s="241">
        <f t="shared" si="17"/>
        <v>4044825.9272124171</v>
      </c>
      <c r="U180" s="241">
        <f>ECON_ASSUMPT!E$4+(ECON_OUTPUT!G180*ECON_ASSUMPT!E$5)+(ECON_OUTPUT!BJ180*ECON_ASSUMPT!E$6)+(ECON_OUTPUT!BK180*ECON_ASSUMPT!E$7)+(ECON_OUTPUT!BL180*ECON_ASSUMPT!E$8)+(ECON_OUTPUT!BM180*ECON_ASSUMPT!E$9)+(ECON_OUTPUT!BN180*ECON_ASSUMPT!E$10)</f>
        <v>58787177.839722134</v>
      </c>
      <c r="V180" s="241">
        <f>ECON_OUTPUT!Q180-U180</f>
        <v>11612822.160277866</v>
      </c>
      <c r="W180" s="241">
        <f t="shared" si="18"/>
        <v>11612822.160277866</v>
      </c>
      <c r="Y180" s="241"/>
      <c r="Z180" s="265">
        <v>59511159.735298999</v>
      </c>
      <c r="AA180" s="241">
        <f t="shared" si="20"/>
        <v>4044825.9272124171</v>
      </c>
      <c r="AB180" s="241">
        <f t="shared" si="21"/>
        <v>4044825.9272124171</v>
      </c>
    </row>
    <row r="181" spans="10:28" x14ac:dyDescent="0.25">
      <c r="J181" s="241">
        <f>ECON_OUTPUT!G181</f>
        <v>760000</v>
      </c>
      <c r="K181" s="241">
        <f>ECON_OUTPUT!Q181</f>
        <v>1449000</v>
      </c>
      <c r="L181" s="241">
        <f t="shared" si="15"/>
        <v>689000</v>
      </c>
      <c r="M181" s="241">
        <f t="shared" si="16"/>
        <v>689000</v>
      </c>
      <c r="O181" s="244">
        <f>IF(ECON_OUTPUT!BG181=5,ECON_OUTPUT!G181*(ECON_ASSUMPT!G$13),0)</f>
        <v>0</v>
      </c>
      <c r="P181" s="244">
        <f>IF(ECON_OUTPUT!BE181="Other",ECON_OUTPUT!G181*ECON_ASSUMPT!G$14,0)</f>
        <v>44241.130605192535</v>
      </c>
      <c r="Q181" s="241">
        <f>ECON_OUTPUT!G181+O181+P181</f>
        <v>804241.13060519251</v>
      </c>
      <c r="R181" s="241">
        <f t="shared" si="19"/>
        <v>644758.86939480749</v>
      </c>
      <c r="S181" s="241">
        <f t="shared" si="17"/>
        <v>644758.86939480749</v>
      </c>
      <c r="U181" s="241">
        <f>ECON_ASSUMPT!E$4+(ECON_OUTPUT!G181*ECON_ASSUMPT!E$5)+(ECON_OUTPUT!BJ181*ECON_ASSUMPT!E$6)+(ECON_OUTPUT!BK181*ECON_ASSUMPT!E$7)+(ECON_OUTPUT!BL181*ECON_ASSUMPT!E$8)+(ECON_OUTPUT!BM181*ECON_ASSUMPT!E$9)+(ECON_OUTPUT!BN181*ECON_ASSUMPT!E$10)</f>
        <v>2157992.2908011209</v>
      </c>
      <c r="V181" s="241">
        <f>ECON_OUTPUT!Q181-U181</f>
        <v>-708992.29080112092</v>
      </c>
      <c r="W181" s="241">
        <f t="shared" si="18"/>
        <v>708992.29080112092</v>
      </c>
      <c r="Y181" s="241"/>
      <c r="Z181" s="265">
        <v>2933469.1668285299</v>
      </c>
      <c r="AA181" s="241">
        <f t="shared" si="20"/>
        <v>644758.86939480749</v>
      </c>
      <c r="AB181" s="241">
        <f t="shared" si="21"/>
        <v>644758.86939480749</v>
      </c>
    </row>
    <row r="182" spans="10:28" x14ac:dyDescent="0.25">
      <c r="J182" s="241">
        <f>ECON_OUTPUT!G182</f>
        <v>21700000</v>
      </c>
      <c r="K182" s="241">
        <f>ECON_OUTPUT!Q182</f>
        <v>18669580</v>
      </c>
      <c r="L182" s="241">
        <f t="shared" si="15"/>
        <v>-3030420</v>
      </c>
      <c r="M182" s="241">
        <f t="shared" si="16"/>
        <v>3030420</v>
      </c>
      <c r="O182" s="244">
        <f>IF(ECON_OUTPUT!BG182=5,ECON_OUTPUT!G182*(ECON_ASSUMPT!G$13),0)</f>
        <v>674008.38892089773</v>
      </c>
      <c r="P182" s="244">
        <f>IF(ECON_OUTPUT!BE182="Other",ECON_OUTPUT!G182*ECON_ASSUMPT!G$14,0)</f>
        <v>0</v>
      </c>
      <c r="Q182" s="241">
        <f>ECON_OUTPUT!G182+O182+P182</f>
        <v>22374008.388920899</v>
      </c>
      <c r="R182" s="241">
        <f t="shared" si="19"/>
        <v>-3704428.3889208995</v>
      </c>
      <c r="S182" s="241">
        <f t="shared" si="17"/>
        <v>3704428.3889208995</v>
      </c>
      <c r="U182" s="241">
        <f>ECON_ASSUMPT!E$4+(ECON_OUTPUT!G182*ECON_ASSUMPT!E$5)+(ECON_OUTPUT!BJ182*ECON_ASSUMPT!E$6)+(ECON_OUTPUT!BK182*ECON_ASSUMPT!E$7)+(ECON_OUTPUT!BL182*ECON_ASSUMPT!E$8)+(ECON_OUTPUT!BM182*ECON_ASSUMPT!E$9)+(ECON_OUTPUT!BN182*ECON_ASSUMPT!E$10)</f>
        <v>21673721.4610704</v>
      </c>
      <c r="V182" s="241">
        <f>ECON_OUTPUT!Q182-U182</f>
        <v>-3004141.4610703997</v>
      </c>
      <c r="W182" s="241">
        <f t="shared" si="18"/>
        <v>3004141.4610703997</v>
      </c>
      <c r="Y182" s="241"/>
      <c r="Z182" s="265">
        <v>23080534.050743401</v>
      </c>
      <c r="AA182" s="241">
        <f t="shared" si="20"/>
        <v>-3704428.3889208995</v>
      </c>
      <c r="AB182" s="241">
        <f t="shared" si="21"/>
        <v>3704428.3889208995</v>
      </c>
    </row>
    <row r="183" spans="10:28" x14ac:dyDescent="0.25">
      <c r="J183" s="241">
        <f>ECON_OUTPUT!G183</f>
        <v>1130000</v>
      </c>
      <c r="K183" s="241">
        <f>ECON_OUTPUT!Q183</f>
        <v>1529500</v>
      </c>
      <c r="L183" s="241">
        <f t="shared" si="15"/>
        <v>399500</v>
      </c>
      <c r="M183" s="241">
        <f t="shared" si="16"/>
        <v>399500</v>
      </c>
      <c r="O183" s="244">
        <f>IF(ECON_OUTPUT!BG183=5,ECON_OUTPUT!G183*(ECON_ASSUMPT!G$13),0)</f>
        <v>0</v>
      </c>
      <c r="P183" s="244">
        <f>IF(ECON_OUTPUT!BE183="Other",ECON_OUTPUT!G183*ECON_ASSUMPT!G$14,0)</f>
        <v>0</v>
      </c>
      <c r="Q183" s="241">
        <f>ECON_OUTPUT!G183+O183+P183</f>
        <v>1130000</v>
      </c>
      <c r="R183" s="241">
        <f t="shared" si="19"/>
        <v>399500</v>
      </c>
      <c r="S183" s="241">
        <f t="shared" si="17"/>
        <v>399500</v>
      </c>
      <c r="U183" s="241">
        <f>ECON_ASSUMPT!E$4+(ECON_OUTPUT!G183*ECON_ASSUMPT!E$5)+(ECON_OUTPUT!BJ183*ECON_ASSUMPT!E$6)+(ECON_OUTPUT!BK183*ECON_ASSUMPT!E$7)+(ECON_OUTPUT!BL183*ECON_ASSUMPT!E$8)+(ECON_OUTPUT!BM183*ECON_ASSUMPT!E$9)+(ECON_OUTPUT!BN183*ECON_ASSUMPT!E$10)</f>
        <v>560196.38569631253</v>
      </c>
      <c r="V183" s="241">
        <f>ECON_OUTPUT!Q183-U183</f>
        <v>969303.61430368747</v>
      </c>
      <c r="W183" s="241">
        <f t="shared" si="18"/>
        <v>969303.61430368747</v>
      </c>
      <c r="Y183" s="241"/>
      <c r="Z183" s="265">
        <v>944460.84963298705</v>
      </c>
      <c r="AA183" s="241">
        <f t="shared" si="20"/>
        <v>399500</v>
      </c>
      <c r="AB183" s="241">
        <f t="shared" si="21"/>
        <v>399500</v>
      </c>
    </row>
    <row r="184" spans="10:28" x14ac:dyDescent="0.25">
      <c r="J184" s="241">
        <f>ECON_OUTPUT!G184</f>
        <v>3800000</v>
      </c>
      <c r="K184" s="241">
        <f>ECON_OUTPUT!Q184</f>
        <v>4026180</v>
      </c>
      <c r="L184" s="241">
        <f t="shared" si="15"/>
        <v>226180</v>
      </c>
      <c r="M184" s="241">
        <f t="shared" si="16"/>
        <v>226180</v>
      </c>
      <c r="O184" s="244">
        <f>IF(ECON_OUTPUT!BG184=5,ECON_OUTPUT!G184*(ECON_ASSUMPT!G$13),0)</f>
        <v>0</v>
      </c>
      <c r="P184" s="244">
        <f>IF(ECON_OUTPUT!BE184="Other",ECON_OUTPUT!G184*ECON_ASSUMPT!G$14,0)</f>
        <v>0</v>
      </c>
      <c r="Q184" s="241">
        <f>ECON_OUTPUT!G184+O184+P184</f>
        <v>3800000</v>
      </c>
      <c r="R184" s="241">
        <f t="shared" si="19"/>
        <v>226180</v>
      </c>
      <c r="S184" s="241">
        <f t="shared" si="17"/>
        <v>226180</v>
      </c>
      <c r="U184" s="241">
        <f>ECON_ASSUMPT!E$4+(ECON_OUTPUT!G184*ECON_ASSUMPT!E$5)+(ECON_OUTPUT!BJ184*ECON_ASSUMPT!E$6)+(ECON_OUTPUT!BK184*ECON_ASSUMPT!E$7)+(ECON_OUTPUT!BL184*ECON_ASSUMPT!E$8)+(ECON_OUTPUT!BM184*ECON_ASSUMPT!E$9)+(ECON_OUTPUT!BN184*ECON_ASSUMPT!E$10)</f>
        <v>3624837.6022277242</v>
      </c>
      <c r="V184" s="241">
        <f>ECON_OUTPUT!Q184-U184</f>
        <v>401342.39777227584</v>
      </c>
      <c r="W184" s="241">
        <f t="shared" si="18"/>
        <v>401342.39777227584</v>
      </c>
      <c r="Y184" s="241"/>
      <c r="Z184" s="265">
        <v>3965622.0925370799</v>
      </c>
      <c r="AA184" s="241">
        <f t="shared" si="20"/>
        <v>226180</v>
      </c>
      <c r="AB184" s="241">
        <f t="shared" si="21"/>
        <v>226180</v>
      </c>
    </row>
    <row r="185" spans="10:28" x14ac:dyDescent="0.25">
      <c r="J185" s="241">
        <f>ECON_OUTPUT!G185</f>
        <v>7950000</v>
      </c>
      <c r="K185" s="241">
        <f>ECON_OUTPUT!Q185</f>
        <v>8027025</v>
      </c>
      <c r="L185" s="241">
        <f t="shared" si="15"/>
        <v>77025</v>
      </c>
      <c r="M185" s="241">
        <f t="shared" si="16"/>
        <v>77025</v>
      </c>
      <c r="O185" s="244">
        <f>IF(ECON_OUTPUT!BG185=5,ECON_OUTPUT!G185*(ECON_ASSUMPT!G$13),0)</f>
        <v>0</v>
      </c>
      <c r="P185" s="244">
        <f>IF(ECON_OUTPUT!BE185="Other",ECON_OUTPUT!G185*ECON_ASSUMPT!G$14,0)</f>
        <v>0</v>
      </c>
      <c r="Q185" s="241">
        <f>ECON_OUTPUT!G185+O185+P185</f>
        <v>7950000</v>
      </c>
      <c r="R185" s="241">
        <f t="shared" si="19"/>
        <v>77025</v>
      </c>
      <c r="S185" s="241">
        <f t="shared" si="17"/>
        <v>77025</v>
      </c>
      <c r="U185" s="241">
        <f>ECON_ASSUMPT!E$4+(ECON_OUTPUT!G185*ECON_ASSUMPT!E$5)+(ECON_OUTPUT!BJ185*ECON_ASSUMPT!E$6)+(ECON_OUTPUT!BK185*ECON_ASSUMPT!E$7)+(ECON_OUTPUT!BL185*ECON_ASSUMPT!E$8)+(ECON_OUTPUT!BM185*ECON_ASSUMPT!E$9)+(ECON_OUTPUT!BN185*ECON_ASSUMPT!E$10)</f>
        <v>7328148.961862769</v>
      </c>
      <c r="V185" s="241">
        <f>ECON_OUTPUT!Q185-U185</f>
        <v>698876.03813723102</v>
      </c>
      <c r="W185" s="241">
        <f t="shared" si="18"/>
        <v>698876.03813723102</v>
      </c>
      <c r="Y185" s="241"/>
      <c r="Z185" s="265">
        <v>7334937.9360763002</v>
      </c>
      <c r="AA185" s="241">
        <f t="shared" si="20"/>
        <v>77025</v>
      </c>
      <c r="AB185" s="241">
        <f t="shared" si="21"/>
        <v>77025</v>
      </c>
    </row>
    <row r="186" spans="10:28" x14ac:dyDescent="0.25">
      <c r="J186" s="241">
        <f>ECON_OUTPUT!G186</f>
        <v>2971000</v>
      </c>
      <c r="K186" s="241">
        <f>ECON_OUTPUT!Q186</f>
        <v>4199000</v>
      </c>
      <c r="L186" s="241">
        <f t="shared" si="15"/>
        <v>1228000</v>
      </c>
      <c r="M186" s="241">
        <f t="shared" si="16"/>
        <v>1228000</v>
      </c>
      <c r="O186" s="244">
        <f>IF(ECON_OUTPUT!BG186=5,ECON_OUTPUT!G186*(ECON_ASSUMPT!G$13),0)</f>
        <v>0</v>
      </c>
      <c r="P186" s="244">
        <f>IF(ECON_OUTPUT!BE186="Other",ECON_OUTPUT!G186*ECON_ASSUMPT!G$14,0)</f>
        <v>0</v>
      </c>
      <c r="Q186" s="241">
        <f>ECON_OUTPUT!G186+O186+P186</f>
        <v>2971000</v>
      </c>
      <c r="R186" s="241">
        <f t="shared" si="19"/>
        <v>1228000</v>
      </c>
      <c r="S186" s="241">
        <f t="shared" si="17"/>
        <v>1228000</v>
      </c>
      <c r="U186" s="241">
        <f>ECON_ASSUMPT!E$4+(ECON_OUTPUT!G186*ECON_ASSUMPT!E$5)+(ECON_OUTPUT!BJ186*ECON_ASSUMPT!E$6)+(ECON_OUTPUT!BK186*ECON_ASSUMPT!E$7)+(ECON_OUTPUT!BL186*ECON_ASSUMPT!E$8)+(ECON_OUTPUT!BM186*ECON_ASSUMPT!E$9)+(ECON_OUTPUT!BN186*ECON_ASSUMPT!E$10)</f>
        <v>2903558.6492512599</v>
      </c>
      <c r="V186" s="241">
        <f>ECON_OUTPUT!Q186-U186</f>
        <v>1295441.3507487401</v>
      </c>
      <c r="W186" s="241">
        <f t="shared" si="18"/>
        <v>1295441.3507487401</v>
      </c>
      <c r="Y186" s="241"/>
      <c r="Z186" s="265">
        <v>2866627.2439154098</v>
      </c>
      <c r="AA186" s="241">
        <f t="shared" si="20"/>
        <v>1228000</v>
      </c>
      <c r="AB186" s="241">
        <f t="shared" si="21"/>
        <v>1228000</v>
      </c>
    </row>
    <row r="187" spans="10:28" x14ac:dyDescent="0.25">
      <c r="J187" s="241">
        <f>ECON_OUTPUT!G187</f>
        <v>6500000</v>
      </c>
      <c r="K187" s="241">
        <f>ECON_OUTPUT!Q187</f>
        <v>4860440</v>
      </c>
      <c r="L187" s="241">
        <f t="shared" si="15"/>
        <v>-1639560</v>
      </c>
      <c r="M187" s="241">
        <f t="shared" si="16"/>
        <v>1639560</v>
      </c>
      <c r="O187" s="244">
        <f>IF(ECON_OUTPUT!BG187=5,ECON_OUTPUT!G187*(ECON_ASSUMPT!G$13),0)</f>
        <v>0</v>
      </c>
      <c r="P187" s="244">
        <f>IF(ECON_OUTPUT!BE187="Other",ECON_OUTPUT!G187*ECON_ASSUMPT!G$14,0)</f>
        <v>0</v>
      </c>
      <c r="Q187" s="241">
        <f>ECON_OUTPUT!G187+O187+P187</f>
        <v>6500000</v>
      </c>
      <c r="R187" s="241">
        <f t="shared" si="19"/>
        <v>-1639560</v>
      </c>
      <c r="S187" s="241">
        <f t="shared" si="17"/>
        <v>1639560</v>
      </c>
      <c r="U187" s="241">
        <f>ECON_ASSUMPT!E$4+(ECON_OUTPUT!G187*ECON_ASSUMPT!E$5)+(ECON_OUTPUT!BJ187*ECON_ASSUMPT!E$6)+(ECON_OUTPUT!BK187*ECON_ASSUMPT!E$7)+(ECON_OUTPUT!BL187*ECON_ASSUMPT!E$8)+(ECON_OUTPUT!BM187*ECON_ASSUMPT!E$9)+(ECON_OUTPUT!BN187*ECON_ASSUMPT!E$10)</f>
        <v>6066563.3384419344</v>
      </c>
      <c r="V187" s="241">
        <f>ECON_OUTPUT!Q187-U187</f>
        <v>-1206123.3384419344</v>
      </c>
      <c r="W187" s="241">
        <f t="shared" si="18"/>
        <v>1206123.3384419344</v>
      </c>
      <c r="Y187" s="241"/>
      <c r="Z187" s="265">
        <v>5956886.3888872499</v>
      </c>
      <c r="AA187" s="241">
        <f t="shared" si="20"/>
        <v>-1639560</v>
      </c>
      <c r="AB187" s="241">
        <f t="shared" si="21"/>
        <v>1639560</v>
      </c>
    </row>
    <row r="188" spans="10:28" x14ac:dyDescent="0.25">
      <c r="J188" s="241">
        <f>ECON_OUTPUT!G188</f>
        <v>9650000</v>
      </c>
      <c r="K188" s="241">
        <f>ECON_OUTPUT!Q188</f>
        <v>9200000</v>
      </c>
      <c r="L188" s="241">
        <f t="shared" si="15"/>
        <v>-450000</v>
      </c>
      <c r="M188" s="241">
        <f t="shared" si="16"/>
        <v>450000</v>
      </c>
      <c r="O188" s="244">
        <f>IF(ECON_OUTPUT!BG188=5,ECON_OUTPUT!G188*(ECON_ASSUMPT!G$13),0)</f>
        <v>0</v>
      </c>
      <c r="P188" s="244">
        <f>IF(ECON_OUTPUT!BE188="Other",ECON_OUTPUT!G188*ECON_ASSUMPT!G$14,0)</f>
        <v>0</v>
      </c>
      <c r="Q188" s="241">
        <f>ECON_OUTPUT!G188+O188+P188</f>
        <v>9650000</v>
      </c>
      <c r="R188" s="241">
        <f t="shared" si="19"/>
        <v>-450000</v>
      </c>
      <c r="S188" s="241">
        <f t="shared" si="17"/>
        <v>450000</v>
      </c>
      <c r="U188" s="241">
        <f>ECON_ASSUMPT!E$4+(ECON_OUTPUT!G188*ECON_ASSUMPT!E$5)+(ECON_OUTPUT!BJ188*ECON_ASSUMPT!E$6)+(ECON_OUTPUT!BK188*ECON_ASSUMPT!E$7)+(ECON_OUTPUT!BL188*ECON_ASSUMPT!E$8)+(ECON_OUTPUT!BM188*ECON_ASSUMPT!E$9)+(ECON_OUTPUT!BN188*ECON_ASSUMPT!E$10)</f>
        <v>8807249.3479423691</v>
      </c>
      <c r="V188" s="241">
        <f>ECON_OUTPUT!Q188-U188</f>
        <v>392750.65205763094</v>
      </c>
      <c r="W188" s="241">
        <f t="shared" si="18"/>
        <v>392750.65205763094</v>
      </c>
      <c r="Y188" s="241"/>
      <c r="Z188" s="265">
        <v>9200634.7464078292</v>
      </c>
      <c r="AA188" s="241">
        <f t="shared" si="20"/>
        <v>-450000</v>
      </c>
      <c r="AB188" s="241">
        <f t="shared" si="21"/>
        <v>450000</v>
      </c>
    </row>
    <row r="189" spans="10:28" x14ac:dyDescent="0.25">
      <c r="J189" s="241">
        <f>ECON_OUTPUT!G189</f>
        <v>2215000</v>
      </c>
      <c r="K189" s="241">
        <f>ECON_OUTPUT!Q189</f>
        <v>2311622</v>
      </c>
      <c r="L189" s="241">
        <f t="shared" si="15"/>
        <v>96622</v>
      </c>
      <c r="M189" s="241">
        <f t="shared" si="16"/>
        <v>96622</v>
      </c>
      <c r="O189" s="244">
        <f>IF(ECON_OUTPUT!BG189=5,ECON_OUTPUT!G189*(ECON_ASSUMPT!G$13),0)</f>
        <v>0</v>
      </c>
      <c r="P189" s="244">
        <f>IF(ECON_OUTPUT!BE189="Other",ECON_OUTPUT!G189*ECON_ASSUMPT!G$14,0)</f>
        <v>128939.61090855456</v>
      </c>
      <c r="Q189" s="241">
        <f>ECON_OUTPUT!G189+O189+P189</f>
        <v>2343939.6109085544</v>
      </c>
      <c r="R189" s="241">
        <f t="shared" si="19"/>
        <v>-32317.610908554401</v>
      </c>
      <c r="S189" s="241">
        <f t="shared" si="17"/>
        <v>32317.610908554401</v>
      </c>
      <c r="U189" s="241">
        <f>ECON_ASSUMPT!E$4+(ECON_OUTPUT!G189*ECON_ASSUMPT!E$5)+(ECON_OUTPUT!BJ189*ECON_ASSUMPT!E$6)+(ECON_OUTPUT!BK189*ECON_ASSUMPT!E$7)+(ECON_OUTPUT!BL189*ECON_ASSUMPT!E$8)+(ECON_OUTPUT!BM189*ECON_ASSUMPT!E$9)+(ECON_OUTPUT!BN189*ECON_ASSUMPT!E$10)</f>
        <v>3423928.2094751317</v>
      </c>
      <c r="V189" s="241">
        <f>ECON_OUTPUT!Q189-U189</f>
        <v>-1112306.2094751317</v>
      </c>
      <c r="W189" s="241">
        <f t="shared" si="18"/>
        <v>1112306.2094751317</v>
      </c>
      <c r="Y189" s="241"/>
      <c r="Z189" s="265">
        <v>4604404.7881496698</v>
      </c>
      <c r="AA189" s="241">
        <f t="shared" si="20"/>
        <v>-32317.610908554401</v>
      </c>
      <c r="AB189" s="241">
        <f t="shared" si="21"/>
        <v>32317.610908554401</v>
      </c>
    </row>
    <row r="190" spans="10:28" x14ac:dyDescent="0.25">
      <c r="J190" s="241">
        <f>ECON_OUTPUT!G190</f>
        <v>784000</v>
      </c>
      <c r="K190" s="241">
        <f>ECON_OUTPUT!Q190</f>
        <v>970600</v>
      </c>
      <c r="L190" s="241">
        <f t="shared" si="15"/>
        <v>186600</v>
      </c>
      <c r="M190" s="241">
        <f t="shared" si="16"/>
        <v>186600</v>
      </c>
      <c r="O190" s="244">
        <f>IF(ECON_OUTPUT!BG190=5,ECON_OUTPUT!G190*(ECON_ASSUMPT!G$13),0)</f>
        <v>0</v>
      </c>
      <c r="P190" s="244">
        <f>IF(ECON_OUTPUT!BE190="Other",ECON_OUTPUT!G190*ECON_ASSUMPT!G$14,0)</f>
        <v>0</v>
      </c>
      <c r="Q190" s="241">
        <f>ECON_OUTPUT!G190+O190+P190</f>
        <v>784000</v>
      </c>
      <c r="R190" s="241">
        <f t="shared" si="19"/>
        <v>186600</v>
      </c>
      <c r="S190" s="241">
        <f t="shared" si="17"/>
        <v>186600</v>
      </c>
      <c r="U190" s="241">
        <f>ECON_ASSUMPT!E$4+(ECON_OUTPUT!G190*ECON_ASSUMPT!E$5)+(ECON_OUTPUT!BJ190*ECON_ASSUMPT!E$6)+(ECON_OUTPUT!BK190*ECON_ASSUMPT!E$7)+(ECON_OUTPUT!BL190*ECON_ASSUMPT!E$8)+(ECON_OUTPUT!BM190*ECON_ASSUMPT!E$9)+(ECON_OUTPUT!BN190*ECON_ASSUMPT!E$10)</f>
        <v>-372210.75672070379</v>
      </c>
      <c r="V190" s="241">
        <f>ECON_OUTPUT!Q190-U190</f>
        <v>1342810.7567207038</v>
      </c>
      <c r="W190" s="241">
        <f t="shared" si="18"/>
        <v>1342810.7567207038</v>
      </c>
      <c r="Y190" s="241"/>
      <c r="Z190" s="265">
        <v>115591.484897125</v>
      </c>
      <c r="AA190" s="241">
        <f t="shared" si="20"/>
        <v>186600</v>
      </c>
      <c r="AB190" s="241">
        <f t="shared" si="21"/>
        <v>186600</v>
      </c>
    </row>
    <row r="191" spans="10:28" x14ac:dyDescent="0.25">
      <c r="J191" s="241">
        <f>ECON_OUTPUT!G191</f>
        <v>9720000</v>
      </c>
      <c r="K191" s="241">
        <f>ECON_OUTPUT!Q191</f>
        <v>8195000</v>
      </c>
      <c r="L191" s="241">
        <f t="shared" si="15"/>
        <v>-1525000</v>
      </c>
      <c r="M191" s="241">
        <f t="shared" si="16"/>
        <v>1525000</v>
      </c>
      <c r="O191" s="244">
        <f>IF(ECON_OUTPUT!BG191=5,ECON_OUTPUT!G191*(ECON_ASSUMPT!G$13),0)</f>
        <v>0</v>
      </c>
      <c r="P191" s="244">
        <f>IF(ECON_OUTPUT!BE191="Other",ECON_OUTPUT!G191*ECON_ASSUMPT!G$14,0)</f>
        <v>0</v>
      </c>
      <c r="Q191" s="241">
        <f>ECON_OUTPUT!G191+O191+P191</f>
        <v>9720000</v>
      </c>
      <c r="R191" s="241">
        <f t="shared" si="19"/>
        <v>-1525000</v>
      </c>
      <c r="S191" s="241">
        <f t="shared" si="17"/>
        <v>1525000</v>
      </c>
      <c r="U191" s="241">
        <f>ECON_ASSUMPT!E$4+(ECON_OUTPUT!G191*ECON_ASSUMPT!E$5)+(ECON_OUTPUT!BJ191*ECON_ASSUMPT!E$6)+(ECON_OUTPUT!BK191*ECON_ASSUMPT!E$7)+(ECON_OUTPUT!BL191*ECON_ASSUMPT!E$8)+(ECON_OUTPUT!BM191*ECON_ASSUMPT!E$9)+(ECON_OUTPUT!BN191*ECON_ASSUMPT!E$10)</f>
        <v>8868153.4814868234</v>
      </c>
      <c r="V191" s="241">
        <f>ECON_OUTPUT!Q191-U191</f>
        <v>-673153.48148682341</v>
      </c>
      <c r="W191" s="241">
        <f t="shared" si="18"/>
        <v>673153.48148682341</v>
      </c>
      <c r="Y191" s="241"/>
      <c r="Z191" s="265">
        <v>8793245.2629581895</v>
      </c>
      <c r="AA191" s="241">
        <f t="shared" si="20"/>
        <v>-1525000</v>
      </c>
      <c r="AB191" s="241">
        <f t="shared" si="21"/>
        <v>1525000</v>
      </c>
    </row>
    <row r="192" spans="10:28" x14ac:dyDescent="0.25">
      <c r="J192" s="241">
        <f>ECON_OUTPUT!G192</f>
        <v>186355200</v>
      </c>
      <c r="K192" s="241">
        <f>ECON_OUTPUT!Q192</f>
        <v>155330252</v>
      </c>
      <c r="L192" s="241">
        <f t="shared" si="15"/>
        <v>-31024948</v>
      </c>
      <c r="M192" s="241">
        <f t="shared" si="16"/>
        <v>31024948</v>
      </c>
      <c r="O192" s="244">
        <f>IF(ECON_OUTPUT!BG192=5,ECON_OUTPUT!G192*(ECON_ASSUMPT!G$13),0)</f>
        <v>5788247.3787572198</v>
      </c>
      <c r="P192" s="244">
        <f>IF(ECON_OUTPUT!BE192="Other",ECON_OUTPUT!G192*ECON_ASSUMPT!G$14,0)</f>
        <v>0</v>
      </c>
      <c r="Q192" s="241">
        <f>ECON_OUTPUT!G192+O192+P192</f>
        <v>192143447.37875721</v>
      </c>
      <c r="R192" s="241">
        <f t="shared" si="19"/>
        <v>-36813195.378757209</v>
      </c>
      <c r="S192" s="241">
        <f t="shared" si="17"/>
        <v>36813195.378757209</v>
      </c>
      <c r="U192" s="241">
        <f>ECON_ASSUMPT!E$4+(ECON_OUTPUT!G192*ECON_ASSUMPT!E$5)+(ECON_OUTPUT!BJ192*ECON_ASSUMPT!E$6)+(ECON_OUTPUT!BK192*ECON_ASSUMPT!E$7)+(ECON_OUTPUT!BL192*ECON_ASSUMPT!E$8)+(ECON_OUTPUT!BM192*ECON_ASSUMPT!E$9)+(ECON_OUTPUT!BN192*ECON_ASSUMPT!E$10)</f>
        <v>164933468.45519617</v>
      </c>
      <c r="V192" s="241">
        <f>ECON_OUTPUT!Q192-U192</f>
        <v>-9603216.455196172</v>
      </c>
      <c r="W192" s="241">
        <f t="shared" si="18"/>
        <v>9603216.455196172</v>
      </c>
      <c r="Y192" s="241"/>
      <c r="Z192" s="265">
        <v>162929199.04170799</v>
      </c>
      <c r="AA192" s="241">
        <f t="shared" si="20"/>
        <v>-36813195.378757209</v>
      </c>
      <c r="AB192" s="241">
        <f t="shared" si="21"/>
        <v>36813195.378757209</v>
      </c>
    </row>
    <row r="193" spans="10:28" x14ac:dyDescent="0.25">
      <c r="J193" s="241">
        <f>ECON_OUTPUT!G193</f>
        <v>12570000</v>
      </c>
      <c r="K193" s="241">
        <f>ECON_OUTPUT!Q193</f>
        <v>9820000</v>
      </c>
      <c r="L193" s="241">
        <f t="shared" si="15"/>
        <v>-2750000</v>
      </c>
      <c r="M193" s="241">
        <f t="shared" si="16"/>
        <v>2750000</v>
      </c>
      <c r="O193" s="244">
        <f>IF(ECON_OUTPUT!BG193=5,ECON_OUTPUT!G193*(ECON_ASSUMPT!G$13),0)</f>
        <v>0</v>
      </c>
      <c r="P193" s="244">
        <f>IF(ECON_OUTPUT!BE193="Other",ECON_OUTPUT!G193*ECON_ASSUMPT!G$14,0)</f>
        <v>0</v>
      </c>
      <c r="Q193" s="241">
        <f>ECON_OUTPUT!G193+O193+P193</f>
        <v>12570000</v>
      </c>
      <c r="R193" s="241">
        <f t="shared" si="19"/>
        <v>-2750000</v>
      </c>
      <c r="S193" s="241">
        <f t="shared" si="17"/>
        <v>2750000</v>
      </c>
      <c r="U193" s="241">
        <f>ECON_ASSUMPT!E$4+(ECON_OUTPUT!G193*ECON_ASSUMPT!E$5)+(ECON_OUTPUT!BJ193*ECON_ASSUMPT!E$6)+(ECON_OUTPUT!BK193*ECON_ASSUMPT!E$7)+(ECON_OUTPUT!BL193*ECON_ASSUMPT!E$8)+(ECON_OUTPUT!BM193*ECON_ASSUMPT!E$9)+(ECON_OUTPUT!BN193*ECON_ASSUMPT!E$10)</f>
        <v>11347821.775796741</v>
      </c>
      <c r="V193" s="241">
        <f>ECON_OUTPUT!Q193-U193</f>
        <v>-1527821.7757967412</v>
      </c>
      <c r="W193" s="241">
        <f t="shared" si="18"/>
        <v>1527821.7757967412</v>
      </c>
      <c r="Y193" s="241"/>
      <c r="Z193" s="265">
        <v>11062987.521433899</v>
      </c>
      <c r="AA193" s="241">
        <f t="shared" si="20"/>
        <v>-2750000</v>
      </c>
      <c r="AB193" s="241">
        <f t="shared" si="21"/>
        <v>2750000</v>
      </c>
    </row>
    <row r="194" spans="10:28" x14ac:dyDescent="0.25">
      <c r="J194" s="241">
        <f>ECON_OUTPUT!G194</f>
        <v>287000</v>
      </c>
      <c r="K194" s="241">
        <f>ECON_OUTPUT!Q194</f>
        <v>398950</v>
      </c>
      <c r="L194" s="241">
        <f t="shared" ref="L194:L240" si="22">$K194-J194</f>
        <v>111950</v>
      </c>
      <c r="M194" s="241">
        <f t="shared" ref="M194:M240" si="23">ABS(L194)</f>
        <v>111950</v>
      </c>
      <c r="O194" s="244">
        <f>IF(ECON_OUTPUT!BG194=5,ECON_OUTPUT!G194*(ECON_ASSUMPT!G$13),0)</f>
        <v>0</v>
      </c>
      <c r="P194" s="244">
        <f>IF(ECON_OUTPUT!BE194="Other",ECON_OUTPUT!G194*ECON_ASSUMPT!G$14,0)</f>
        <v>16706.848004855601</v>
      </c>
      <c r="Q194" s="241">
        <f>ECON_OUTPUT!G194+O194+P194</f>
        <v>303706.84800485562</v>
      </c>
      <c r="R194" s="241">
        <f t="shared" si="19"/>
        <v>95243.151995144377</v>
      </c>
      <c r="S194" s="241">
        <f t="shared" ref="S194:S240" si="24">ABS(R194)</f>
        <v>95243.151995144377</v>
      </c>
      <c r="U194" s="241">
        <f>ECON_ASSUMPT!E$4+(ECON_OUTPUT!G194*ECON_ASSUMPT!E$5)+(ECON_OUTPUT!BJ194*ECON_ASSUMPT!E$6)+(ECON_OUTPUT!BK194*ECON_ASSUMPT!E$7)+(ECON_OUTPUT!BL194*ECON_ASSUMPT!E$8)+(ECON_OUTPUT!BM194*ECON_ASSUMPT!E$9)+(ECON_OUTPUT!BN194*ECON_ASSUMPT!E$10)</f>
        <v>1115087.648953452</v>
      </c>
      <c r="V194" s="241">
        <f>ECON_OUTPUT!Q194-U194</f>
        <v>-716137.64895345201</v>
      </c>
      <c r="W194" s="241">
        <f t="shared" ref="W194:W240" si="25">ABS(V194)</f>
        <v>716137.64895345201</v>
      </c>
      <c r="Y194" s="241"/>
      <c r="Z194" s="265">
        <v>1403243.96796416</v>
      </c>
      <c r="AA194" s="241">
        <f t="shared" si="20"/>
        <v>95243.151995144377</v>
      </c>
      <c r="AB194" s="241">
        <f t="shared" si="21"/>
        <v>95243.151995144377</v>
      </c>
    </row>
    <row r="195" spans="10:28" x14ac:dyDescent="0.25">
      <c r="J195" s="241">
        <f>ECON_OUTPUT!G195</f>
        <v>122920000</v>
      </c>
      <c r="K195" s="241">
        <f>ECON_OUTPUT!Q195</f>
        <v>124507320</v>
      </c>
      <c r="L195" s="241">
        <f t="shared" si="22"/>
        <v>1587320</v>
      </c>
      <c r="M195" s="241">
        <f t="shared" si="23"/>
        <v>1587320</v>
      </c>
      <c r="O195" s="244">
        <f>IF(ECON_OUTPUT!BG195=5,ECON_OUTPUT!G195*(ECON_ASSUMPT!G$13),0)</f>
        <v>3817931.3901454723</v>
      </c>
      <c r="P195" s="244">
        <f>IF(ECON_OUTPUT!BE195="Other",ECON_OUTPUT!G195*ECON_ASSUMPT!G$14,0)</f>
        <v>0</v>
      </c>
      <c r="Q195" s="241">
        <f>ECON_OUTPUT!G195+O195+P195</f>
        <v>126737931.39014547</v>
      </c>
      <c r="R195" s="241">
        <f t="shared" ref="R195:R240" si="26">$K195-Q195</f>
        <v>-2230611.3901454657</v>
      </c>
      <c r="S195" s="241">
        <f t="shared" si="24"/>
        <v>2230611.3901454657</v>
      </c>
      <c r="U195" s="241">
        <f>ECON_ASSUMPT!E$4+(ECON_OUTPUT!G195*ECON_ASSUMPT!E$5)+(ECON_OUTPUT!BJ195*ECON_ASSUMPT!E$6)+(ECON_OUTPUT!BK195*ECON_ASSUMPT!E$7)+(ECON_OUTPUT!BL195*ECON_ASSUMPT!E$8)+(ECON_OUTPUT!BM195*ECON_ASSUMPT!E$9)+(ECON_OUTPUT!BN195*ECON_ASSUMPT!E$10)</f>
        <v>109741098.56635107</v>
      </c>
      <c r="V195" s="241">
        <f>ECON_OUTPUT!Q195-U195</f>
        <v>14766221.433648929</v>
      </c>
      <c r="W195" s="241">
        <f t="shared" si="25"/>
        <v>14766221.433648929</v>
      </c>
      <c r="Y195" s="241"/>
      <c r="Z195" s="265">
        <v>108861845.234768</v>
      </c>
      <c r="AA195" s="241">
        <f t="shared" ref="AA195:AA240" si="27">$K195-Q195</f>
        <v>-2230611.3901454657</v>
      </c>
      <c r="AB195" s="241">
        <f t="shared" ref="AB195:AB240" si="28">ABS(AA195)</f>
        <v>2230611.3901454657</v>
      </c>
    </row>
    <row r="196" spans="10:28" x14ac:dyDescent="0.25">
      <c r="J196" s="241">
        <f>ECON_OUTPUT!G196</f>
        <v>448000</v>
      </c>
      <c r="K196" s="241">
        <f>ECON_OUTPUT!Q196</f>
        <v>512625</v>
      </c>
      <c r="L196" s="241">
        <f t="shared" si="22"/>
        <v>64625</v>
      </c>
      <c r="M196" s="241">
        <f t="shared" si="23"/>
        <v>64625</v>
      </c>
      <c r="O196" s="244">
        <f>IF(ECON_OUTPUT!BG196=5,ECON_OUTPUT!G196*(ECON_ASSUMPT!G$13),0)</f>
        <v>0</v>
      </c>
      <c r="P196" s="244">
        <f>IF(ECON_OUTPUT!BE196="Other",ECON_OUTPUT!G196*ECON_ASSUMPT!G$14,0)</f>
        <v>26078.982251481917</v>
      </c>
      <c r="Q196" s="241">
        <f>ECON_OUTPUT!G196+O196+P196</f>
        <v>474078.98225148191</v>
      </c>
      <c r="R196" s="241">
        <f t="shared" si="26"/>
        <v>38546.01774851809</v>
      </c>
      <c r="S196" s="241">
        <f t="shared" si="24"/>
        <v>38546.01774851809</v>
      </c>
      <c r="U196" s="241">
        <f>ECON_ASSUMPT!E$4+(ECON_OUTPUT!G196*ECON_ASSUMPT!E$5)+(ECON_OUTPUT!BJ196*ECON_ASSUMPT!E$6)+(ECON_OUTPUT!BK196*ECON_ASSUMPT!E$7)+(ECON_OUTPUT!BL196*ECON_ASSUMPT!E$8)+(ECON_OUTPUT!BM196*ECON_ASSUMPT!E$9)+(ECON_OUTPUT!BN196*ECON_ASSUMPT!E$10)</f>
        <v>1255167.1561056965</v>
      </c>
      <c r="V196" s="241">
        <f>ECON_OUTPUT!Q196-U196</f>
        <v>-742542.15610569646</v>
      </c>
      <c r="W196" s="241">
        <f t="shared" si="25"/>
        <v>742542.15610569646</v>
      </c>
      <c r="Y196" s="241"/>
      <c r="Z196" s="265">
        <v>1540690.0748192</v>
      </c>
      <c r="AA196" s="241">
        <f t="shared" si="27"/>
        <v>38546.01774851809</v>
      </c>
      <c r="AB196" s="241">
        <f t="shared" si="28"/>
        <v>38546.01774851809</v>
      </c>
    </row>
    <row r="197" spans="10:28" x14ac:dyDescent="0.25">
      <c r="J197" s="241">
        <f>ECON_OUTPUT!G197</f>
        <v>1500000</v>
      </c>
      <c r="K197" s="241">
        <f>ECON_OUTPUT!Q197</f>
        <v>4300000</v>
      </c>
      <c r="L197" s="241">
        <f t="shared" si="22"/>
        <v>2800000</v>
      </c>
      <c r="M197" s="241">
        <f t="shared" si="23"/>
        <v>2800000</v>
      </c>
      <c r="O197" s="244">
        <f>IF(ECON_OUTPUT!BG197=5,ECON_OUTPUT!G197*(ECON_ASSUMPT!G$13),0)</f>
        <v>0</v>
      </c>
      <c r="P197" s="244">
        <f>IF(ECON_OUTPUT!BE197="Other",ECON_OUTPUT!G197*ECON_ASSUMPT!G$14,0)</f>
        <v>87318.020931301056</v>
      </c>
      <c r="Q197" s="241">
        <f>ECON_OUTPUT!G197+O197+P197</f>
        <v>1587318.0209313012</v>
      </c>
      <c r="R197" s="241">
        <f t="shared" si="26"/>
        <v>2712681.9790686988</v>
      </c>
      <c r="S197" s="241">
        <f t="shared" si="24"/>
        <v>2712681.9790686988</v>
      </c>
      <c r="U197" s="241">
        <f>ECON_ASSUMPT!E$4+(ECON_OUTPUT!G197*ECON_ASSUMPT!E$5)+(ECON_OUTPUT!BJ197*ECON_ASSUMPT!E$6)+(ECON_OUTPUT!BK197*ECON_ASSUMPT!E$7)+(ECON_OUTPUT!BL197*ECON_ASSUMPT!E$8)+(ECON_OUTPUT!BM197*ECON_ASSUMPT!E$9)+(ECON_OUTPUT!BN197*ECON_ASSUMPT!E$10)</f>
        <v>3543419.5396068683</v>
      </c>
      <c r="V197" s="241">
        <f>ECON_OUTPUT!Q197-U197</f>
        <v>756580.46039313171</v>
      </c>
      <c r="W197" s="241">
        <f t="shared" si="25"/>
        <v>756580.46039313171</v>
      </c>
      <c r="Y197" s="241"/>
      <c r="Z197" s="265">
        <v>3877358.86294964</v>
      </c>
      <c r="AA197" s="241">
        <f t="shared" si="27"/>
        <v>2712681.9790686988</v>
      </c>
      <c r="AB197" s="241">
        <f t="shared" si="28"/>
        <v>2712681.9790686988</v>
      </c>
    </row>
    <row r="198" spans="10:28" x14ac:dyDescent="0.25">
      <c r="J198" s="241">
        <f>ECON_OUTPUT!G198</f>
        <v>5000000</v>
      </c>
      <c r="K198" s="241">
        <f>ECON_OUTPUT!Q198</f>
        <v>5145491</v>
      </c>
      <c r="L198" s="241">
        <f t="shared" si="22"/>
        <v>145491</v>
      </c>
      <c r="M198" s="241">
        <f t="shared" si="23"/>
        <v>145491</v>
      </c>
      <c r="O198" s="244">
        <f>IF(ECON_OUTPUT!BG198=5,ECON_OUTPUT!G198*(ECON_ASSUMPT!G$13),0)</f>
        <v>0</v>
      </c>
      <c r="P198" s="244">
        <f>IF(ECON_OUTPUT!BE198="Other",ECON_OUTPUT!G198*ECON_ASSUMPT!G$14,0)</f>
        <v>0</v>
      </c>
      <c r="Q198" s="241">
        <f>ECON_OUTPUT!G198+O198+P198</f>
        <v>5000000</v>
      </c>
      <c r="R198" s="241">
        <f t="shared" si="26"/>
        <v>145491</v>
      </c>
      <c r="S198" s="241">
        <f t="shared" si="24"/>
        <v>145491</v>
      </c>
      <c r="U198" s="241">
        <f>ECON_ASSUMPT!E$4+(ECON_OUTPUT!G198*ECON_ASSUMPT!E$5)+(ECON_OUTPUT!BJ198*ECON_ASSUMPT!E$6)+(ECON_OUTPUT!BK198*ECON_ASSUMPT!E$7)+(ECON_OUTPUT!BL198*ECON_ASSUMPT!E$8)+(ECON_OUTPUT!BM198*ECON_ASSUMPT!E$9)+(ECON_OUTPUT!BN198*ECON_ASSUMPT!E$10)</f>
        <v>4761474.7624893449</v>
      </c>
      <c r="V198" s="241">
        <f>ECON_OUTPUT!Q198-U198</f>
        <v>384016.23751065508</v>
      </c>
      <c r="W198" s="241">
        <f t="shared" si="25"/>
        <v>384016.23751065508</v>
      </c>
      <c r="Y198" s="241"/>
      <c r="Z198" s="265">
        <v>4121747.2009988599</v>
      </c>
      <c r="AA198" s="241">
        <f t="shared" si="27"/>
        <v>145491</v>
      </c>
      <c r="AB198" s="241">
        <f t="shared" si="28"/>
        <v>145491</v>
      </c>
    </row>
    <row r="199" spans="10:28" x14ac:dyDescent="0.25">
      <c r="J199" s="241">
        <f>ECON_OUTPUT!G199</f>
        <v>10250000</v>
      </c>
      <c r="K199" s="241">
        <f>ECON_OUTPUT!Q199</f>
        <v>9111636</v>
      </c>
      <c r="L199" s="241">
        <f t="shared" si="22"/>
        <v>-1138364</v>
      </c>
      <c r="M199" s="241">
        <f t="shared" si="23"/>
        <v>1138364</v>
      </c>
      <c r="O199" s="244">
        <f>IF(ECON_OUTPUT!BG199=5,ECON_OUTPUT!G199*(ECON_ASSUMPT!G$13),0)</f>
        <v>0</v>
      </c>
      <c r="P199" s="244">
        <f>IF(ECON_OUTPUT!BE199="Other",ECON_OUTPUT!G199*ECON_ASSUMPT!G$14,0)</f>
        <v>0</v>
      </c>
      <c r="Q199" s="241">
        <f>ECON_OUTPUT!G199+O199+P199</f>
        <v>10250000</v>
      </c>
      <c r="R199" s="241">
        <f t="shared" si="26"/>
        <v>-1138364</v>
      </c>
      <c r="S199" s="241">
        <f t="shared" si="24"/>
        <v>1138364</v>
      </c>
      <c r="U199" s="241">
        <f>ECON_ASSUMPT!E$4+(ECON_OUTPUT!G199*ECON_ASSUMPT!E$5)+(ECON_OUTPUT!BJ199*ECON_ASSUMPT!E$6)+(ECON_OUTPUT!BK199*ECON_ASSUMPT!E$7)+(ECON_OUTPUT!BL199*ECON_ASSUMPT!E$8)+(ECON_OUTPUT!BM199*ECON_ASSUMPT!E$9)+(ECON_OUTPUT!BN199*ECON_ASSUMPT!E$10)</f>
        <v>9329284.7783234045</v>
      </c>
      <c r="V199" s="241">
        <f>ECON_OUTPUT!Q199-U199</f>
        <v>-217648.77832340449</v>
      </c>
      <c r="W199" s="241">
        <f t="shared" si="25"/>
        <v>217648.77832340449</v>
      </c>
      <c r="Y199" s="241"/>
      <c r="Z199" s="265">
        <v>8527812.2613646593</v>
      </c>
      <c r="AA199" s="241">
        <f t="shared" si="27"/>
        <v>-1138364</v>
      </c>
      <c r="AB199" s="241">
        <f t="shared" si="28"/>
        <v>1138364</v>
      </c>
    </row>
    <row r="200" spans="10:28" x14ac:dyDescent="0.25">
      <c r="J200" s="241">
        <f>ECON_OUTPUT!G200</f>
        <v>426000</v>
      </c>
      <c r="K200" s="241">
        <f>ECON_OUTPUT!Q200</f>
        <v>745850</v>
      </c>
      <c r="L200" s="241">
        <f t="shared" si="22"/>
        <v>319850</v>
      </c>
      <c r="M200" s="241">
        <f t="shared" si="23"/>
        <v>319850</v>
      </c>
      <c r="O200" s="244">
        <f>IF(ECON_OUTPUT!BG200=5,ECON_OUTPUT!G200*(ECON_ASSUMPT!G$13),0)</f>
        <v>0</v>
      </c>
      <c r="P200" s="244">
        <f>IF(ECON_OUTPUT!BE200="Other",ECON_OUTPUT!G200*ECON_ASSUMPT!G$14,0)</f>
        <v>24798.317944489499</v>
      </c>
      <c r="Q200" s="241">
        <f>ECON_OUTPUT!G200+O200+P200</f>
        <v>450798.31794448948</v>
      </c>
      <c r="R200" s="241">
        <f t="shared" si="26"/>
        <v>295051.68205551052</v>
      </c>
      <c r="S200" s="241">
        <f t="shared" si="24"/>
        <v>295051.68205551052</v>
      </c>
      <c r="U200" s="241">
        <f>ECON_ASSUMPT!E$4+(ECON_OUTPUT!G200*ECON_ASSUMPT!E$5)+(ECON_OUTPUT!BJ200*ECON_ASSUMPT!E$6)+(ECON_OUTPUT!BK200*ECON_ASSUMPT!E$7)+(ECON_OUTPUT!BL200*ECON_ASSUMPT!E$8)+(ECON_OUTPUT!BM200*ECON_ASSUMPT!E$9)+(ECON_OUTPUT!BN200*ECON_ASSUMPT!E$10)</f>
        <v>1236025.856991725</v>
      </c>
      <c r="V200" s="241">
        <f>ECON_OUTPUT!Q200-U200</f>
        <v>-490175.85699172504</v>
      </c>
      <c r="W200" s="241">
        <f t="shared" si="25"/>
        <v>490175.85699172504</v>
      </c>
      <c r="Y200" s="241"/>
      <c r="Z200" s="265">
        <v>673699.801873288</v>
      </c>
      <c r="AA200" s="241">
        <f t="shared" si="27"/>
        <v>295051.68205551052</v>
      </c>
      <c r="AB200" s="241">
        <f t="shared" si="28"/>
        <v>295051.68205551052</v>
      </c>
    </row>
    <row r="201" spans="10:28" x14ac:dyDescent="0.25">
      <c r="J201" s="241">
        <f>ECON_OUTPUT!G201</f>
        <v>4500000</v>
      </c>
      <c r="K201" s="241">
        <f>ECON_OUTPUT!Q201</f>
        <v>6192655</v>
      </c>
      <c r="L201" s="241">
        <f t="shared" si="22"/>
        <v>1692655</v>
      </c>
      <c r="M201" s="241">
        <f t="shared" si="23"/>
        <v>1692655</v>
      </c>
      <c r="O201" s="244">
        <f>IF(ECON_OUTPUT!BG201=5,ECON_OUTPUT!G201*(ECON_ASSUMPT!G$13),0)</f>
        <v>0</v>
      </c>
      <c r="P201" s="244">
        <f>IF(ECON_OUTPUT!BE201="Other",ECON_OUTPUT!G201*ECON_ASSUMPT!G$14,0)</f>
        <v>0</v>
      </c>
      <c r="Q201" s="241">
        <f>ECON_OUTPUT!G201+O201+P201</f>
        <v>4500000</v>
      </c>
      <c r="R201" s="241">
        <f t="shared" si="26"/>
        <v>1692655</v>
      </c>
      <c r="S201" s="241">
        <f t="shared" si="24"/>
        <v>1692655</v>
      </c>
      <c r="U201" s="241">
        <f>ECON_ASSUMPT!E$4+(ECON_OUTPUT!G201*ECON_ASSUMPT!E$5)+(ECON_OUTPUT!BJ201*ECON_ASSUMPT!E$6)+(ECON_OUTPUT!BK201*ECON_ASSUMPT!E$7)+(ECON_OUTPUT!BL201*ECON_ASSUMPT!E$8)+(ECON_OUTPUT!BM201*ECON_ASSUMPT!E$9)+(ECON_OUTPUT!BN201*ECON_ASSUMPT!E$10)</f>
        <v>4326445.2371718157</v>
      </c>
      <c r="V201" s="241">
        <f>ECON_OUTPUT!Q201-U201</f>
        <v>1866209.7628281843</v>
      </c>
      <c r="W201" s="241">
        <f t="shared" si="25"/>
        <v>1866209.7628281843</v>
      </c>
      <c r="Y201" s="241"/>
      <c r="Z201" s="265">
        <v>3705111.2341636</v>
      </c>
      <c r="AA201" s="241">
        <f t="shared" si="27"/>
        <v>1692655</v>
      </c>
      <c r="AB201" s="241">
        <f t="shared" si="28"/>
        <v>1692655</v>
      </c>
    </row>
    <row r="202" spans="10:28" x14ac:dyDescent="0.25">
      <c r="J202" s="241">
        <f>ECON_OUTPUT!G202</f>
        <v>28219450</v>
      </c>
      <c r="K202" s="241">
        <f>ECON_OUTPUT!Q202</f>
        <v>31594000</v>
      </c>
      <c r="L202" s="241">
        <f t="shared" si="22"/>
        <v>3374550</v>
      </c>
      <c r="M202" s="241">
        <f t="shared" si="23"/>
        <v>3374550</v>
      </c>
      <c r="O202" s="244">
        <f>IF(ECON_OUTPUT!BG202=5,ECON_OUTPUT!G202*(ECON_ASSUMPT!G$13),0)</f>
        <v>876504.42537943902</v>
      </c>
      <c r="P202" s="244">
        <f>IF(ECON_OUTPUT!BE202="Other",ECON_OUTPUT!G202*ECON_ASSUMPT!G$14,0)</f>
        <v>0</v>
      </c>
      <c r="Q202" s="241">
        <f>ECON_OUTPUT!G202+O202+P202</f>
        <v>29095954.42537944</v>
      </c>
      <c r="R202" s="241">
        <f t="shared" si="26"/>
        <v>2498045.5746205598</v>
      </c>
      <c r="S202" s="241">
        <f t="shared" si="24"/>
        <v>2498045.5746205598</v>
      </c>
      <c r="U202" s="241">
        <f>ECON_ASSUMPT!E$4+(ECON_OUTPUT!G202*ECON_ASSUMPT!E$5)+(ECON_OUTPUT!BJ202*ECON_ASSUMPT!E$6)+(ECON_OUTPUT!BK202*ECON_ASSUMPT!E$7)+(ECON_OUTPUT!BL202*ECON_ASSUMPT!E$8)+(ECON_OUTPUT!BM202*ECON_ASSUMPT!E$9)+(ECON_OUTPUT!BN202*ECON_ASSUMPT!E$10)</f>
        <v>27346027.938733134</v>
      </c>
      <c r="V202" s="241">
        <f>ECON_OUTPUT!Q202-U202</f>
        <v>4247972.0612668656</v>
      </c>
      <c r="W202" s="241">
        <f t="shared" si="25"/>
        <v>4247972.0612668656</v>
      </c>
      <c r="Y202" s="241"/>
      <c r="Z202" s="265">
        <v>26916444.998677701</v>
      </c>
      <c r="AA202" s="241">
        <f t="shared" si="27"/>
        <v>2498045.5746205598</v>
      </c>
      <c r="AB202" s="241">
        <f t="shared" si="28"/>
        <v>2498045.5746205598</v>
      </c>
    </row>
    <row r="203" spans="10:28" x14ac:dyDescent="0.25">
      <c r="J203" s="241">
        <f>ECON_OUTPUT!G203</f>
        <v>23450000</v>
      </c>
      <c r="K203" s="241">
        <f>ECON_OUTPUT!Q203</f>
        <v>30867117</v>
      </c>
      <c r="L203" s="241">
        <f t="shared" si="22"/>
        <v>7417117</v>
      </c>
      <c r="M203" s="241">
        <f t="shared" si="23"/>
        <v>7417117</v>
      </c>
      <c r="O203" s="244">
        <f>IF(ECON_OUTPUT!BG203=5,ECON_OUTPUT!G203*(ECON_ASSUMPT!G$13),0)</f>
        <v>728363.90415645391</v>
      </c>
      <c r="P203" s="244">
        <f>IF(ECON_OUTPUT!BE203="Other",ECON_OUTPUT!G203*ECON_ASSUMPT!G$14,0)</f>
        <v>0</v>
      </c>
      <c r="Q203" s="241">
        <f>ECON_OUTPUT!G203+O203+P203</f>
        <v>24178363.904156454</v>
      </c>
      <c r="R203" s="241">
        <f t="shared" si="26"/>
        <v>6688753.0958435461</v>
      </c>
      <c r="S203" s="241">
        <f t="shared" si="24"/>
        <v>6688753.0958435461</v>
      </c>
      <c r="U203" s="241">
        <f>ECON_ASSUMPT!E$4+(ECON_OUTPUT!G203*ECON_ASSUMPT!E$5)+(ECON_OUTPUT!BJ203*ECON_ASSUMPT!E$6)+(ECON_OUTPUT!BK203*ECON_ASSUMPT!E$7)+(ECON_OUTPUT!BL203*ECON_ASSUMPT!E$8)+(ECON_OUTPUT!BM203*ECON_ASSUMPT!E$9)+(ECON_OUTPUT!BN203*ECON_ASSUMPT!E$10)</f>
        <v>23196324.799681753</v>
      </c>
      <c r="V203" s="241">
        <f>ECON_OUTPUT!Q203-U203</f>
        <v>7670792.2003182471</v>
      </c>
      <c r="W203" s="241">
        <f t="shared" si="25"/>
        <v>7670792.2003182471</v>
      </c>
      <c r="Y203" s="241"/>
      <c r="Z203" s="265">
        <v>22453823.917486299</v>
      </c>
      <c r="AA203" s="241">
        <f t="shared" si="27"/>
        <v>6688753.0958435461</v>
      </c>
      <c r="AB203" s="241">
        <f t="shared" si="28"/>
        <v>6688753.0958435461</v>
      </c>
    </row>
    <row r="204" spans="10:28" x14ac:dyDescent="0.25">
      <c r="J204" s="241">
        <f>ECON_OUTPUT!G204</f>
        <v>92495500</v>
      </c>
      <c r="K204" s="241">
        <f>ECON_OUTPUT!Q204</f>
        <v>70399000</v>
      </c>
      <c r="L204" s="241">
        <f t="shared" si="22"/>
        <v>-22096500</v>
      </c>
      <c r="M204" s="241">
        <f t="shared" si="23"/>
        <v>22096500</v>
      </c>
      <c r="O204" s="244">
        <f>IF(ECON_OUTPUT!BG204=5,ECON_OUTPUT!G204*(ECON_ASSUMPT!G$13),0)</f>
        <v>2872937.4625545111</v>
      </c>
      <c r="P204" s="244">
        <f>IF(ECON_OUTPUT!BE204="Other",ECON_OUTPUT!G204*ECON_ASSUMPT!G$14,0)</f>
        <v>0</v>
      </c>
      <c r="Q204" s="241">
        <f>ECON_OUTPUT!G204+O204+P204</f>
        <v>95368437.462554514</v>
      </c>
      <c r="R204" s="241">
        <f t="shared" si="26"/>
        <v>-24969437.462554514</v>
      </c>
      <c r="S204" s="241">
        <f t="shared" si="24"/>
        <v>24969437.462554514</v>
      </c>
      <c r="U204" s="241">
        <f>ECON_ASSUMPT!E$4+(ECON_OUTPUT!G204*ECON_ASSUMPT!E$5)+(ECON_OUTPUT!BJ204*ECON_ASSUMPT!E$6)+(ECON_OUTPUT!BK204*ECON_ASSUMPT!E$7)+(ECON_OUTPUT!BL204*ECON_ASSUMPT!E$8)+(ECON_OUTPUT!BM204*ECON_ASSUMPT!E$9)+(ECON_OUTPUT!BN204*ECON_ASSUMPT!E$10)</f>
        <v>83269986.980304718</v>
      </c>
      <c r="V204" s="241">
        <f>ECON_OUTPUT!Q204-U204</f>
        <v>-12870986.980304718</v>
      </c>
      <c r="W204" s="241">
        <f t="shared" si="25"/>
        <v>12870986.980304718</v>
      </c>
      <c r="Y204" s="241"/>
      <c r="Z204" s="265">
        <v>81789071.312458694</v>
      </c>
      <c r="AA204" s="241">
        <f t="shared" si="27"/>
        <v>-24969437.462554514</v>
      </c>
      <c r="AB204" s="241">
        <f t="shared" si="28"/>
        <v>24969437.462554514</v>
      </c>
    </row>
    <row r="205" spans="10:28" x14ac:dyDescent="0.25">
      <c r="J205" s="241">
        <f>ECON_OUTPUT!G205</f>
        <v>13910000</v>
      </c>
      <c r="K205" s="241">
        <f>ECON_OUTPUT!Q205</f>
        <v>13320000</v>
      </c>
      <c r="L205" s="241">
        <f t="shared" si="22"/>
        <v>-590000</v>
      </c>
      <c r="M205" s="241">
        <f t="shared" si="23"/>
        <v>590000</v>
      </c>
      <c r="O205" s="244">
        <f>IF(ECON_OUTPUT!BG205=5,ECON_OUTPUT!G205*(ECON_ASSUMPT!G$13),0)</f>
        <v>0</v>
      </c>
      <c r="P205" s="244">
        <f>IF(ECON_OUTPUT!BE205="Other",ECON_OUTPUT!G205*ECON_ASSUMPT!G$14,0)</f>
        <v>809729.11410293181</v>
      </c>
      <c r="Q205" s="241">
        <f>ECON_OUTPUT!G205+O205+P205</f>
        <v>14719729.114102932</v>
      </c>
      <c r="R205" s="241">
        <f t="shared" si="26"/>
        <v>-1399729.1141029317</v>
      </c>
      <c r="S205" s="241">
        <f t="shared" si="24"/>
        <v>1399729.1141029317</v>
      </c>
      <c r="U205" s="241">
        <f>ECON_ASSUMPT!E$4+(ECON_OUTPUT!G205*ECON_ASSUMPT!E$5)+(ECON_OUTPUT!BJ205*ECON_ASSUMPT!E$6)+(ECON_OUTPUT!BK205*ECON_ASSUMPT!E$7)+(ECON_OUTPUT!BL205*ECON_ASSUMPT!E$8)+(ECON_OUTPUT!BM205*ECON_ASSUMPT!E$9)+(ECON_OUTPUT!BN205*ECON_ASSUMPT!E$10)</f>
        <v>14433418.6574875</v>
      </c>
      <c r="V205" s="241">
        <f>ECON_OUTPUT!Q205-U205</f>
        <v>-1113418.6574875005</v>
      </c>
      <c r="W205" s="241">
        <f t="shared" si="25"/>
        <v>1113418.6574875005</v>
      </c>
      <c r="Y205" s="241"/>
      <c r="Z205" s="265">
        <v>13134992.405661801</v>
      </c>
      <c r="AA205" s="241">
        <f t="shared" si="27"/>
        <v>-1399729.1141029317</v>
      </c>
      <c r="AB205" s="241">
        <f t="shared" si="28"/>
        <v>1399729.1141029317</v>
      </c>
    </row>
    <row r="206" spans="10:28" x14ac:dyDescent="0.25">
      <c r="J206" s="241">
        <f>ECON_OUTPUT!G206</f>
        <v>1130000</v>
      </c>
      <c r="K206" s="241">
        <f>ECON_OUTPUT!Q206</f>
        <v>2181000</v>
      </c>
      <c r="L206" s="241">
        <f t="shared" si="22"/>
        <v>1051000</v>
      </c>
      <c r="M206" s="241">
        <f t="shared" si="23"/>
        <v>1051000</v>
      </c>
      <c r="O206" s="244">
        <f>IF(ECON_OUTPUT!BG206=5,ECON_OUTPUT!G206*(ECON_ASSUMPT!G$13),0)</f>
        <v>0</v>
      </c>
      <c r="P206" s="244">
        <f>IF(ECON_OUTPUT!BE206="Other",ECON_OUTPUT!G206*ECON_ASSUMPT!G$14,0)</f>
        <v>65779.575768246796</v>
      </c>
      <c r="Q206" s="241">
        <f>ECON_OUTPUT!G206+O206+P206</f>
        <v>1195779.5757682468</v>
      </c>
      <c r="R206" s="241">
        <f t="shared" si="26"/>
        <v>985220.42423175322</v>
      </c>
      <c r="S206" s="241">
        <f t="shared" si="24"/>
        <v>985220.42423175322</v>
      </c>
      <c r="U206" s="241">
        <f>ECON_ASSUMPT!E$4+(ECON_OUTPUT!G206*ECON_ASSUMPT!E$5)+(ECON_OUTPUT!BJ206*ECON_ASSUMPT!E$6)+(ECON_OUTPUT!BK206*ECON_ASSUMPT!E$7)+(ECON_OUTPUT!BL206*ECON_ASSUMPT!E$8)+(ECON_OUTPUT!BM206*ECON_ASSUMPT!E$9)+(ECON_OUTPUT!BN206*ECON_ASSUMPT!E$10)</f>
        <v>2479914.1395360925</v>
      </c>
      <c r="V206" s="241">
        <f>ECON_OUTPUT!Q206-U206</f>
        <v>-298914.13953609252</v>
      </c>
      <c r="W206" s="241">
        <f t="shared" si="25"/>
        <v>298914.13953609252</v>
      </c>
      <c r="Y206" s="241"/>
      <c r="Z206" s="265">
        <v>1720757.9343224899</v>
      </c>
      <c r="AA206" s="241">
        <f t="shared" si="27"/>
        <v>985220.42423175322</v>
      </c>
      <c r="AB206" s="241">
        <f t="shared" si="28"/>
        <v>985220.42423175322</v>
      </c>
    </row>
    <row r="207" spans="10:28" x14ac:dyDescent="0.25">
      <c r="J207" s="241">
        <f>ECON_OUTPUT!G207</f>
        <v>684000</v>
      </c>
      <c r="K207" s="241">
        <f>ECON_OUTPUT!Q207</f>
        <v>685924</v>
      </c>
      <c r="L207" s="241">
        <f t="shared" si="22"/>
        <v>1924</v>
      </c>
      <c r="M207" s="241">
        <f t="shared" si="23"/>
        <v>1924</v>
      </c>
      <c r="O207" s="244">
        <f>IF(ECON_OUTPUT!BG207=5,ECON_OUTPUT!G207*(ECON_ASSUMPT!G$13),0)</f>
        <v>0</v>
      </c>
      <c r="P207" s="244">
        <f>IF(ECON_OUTPUT!BE207="Other",ECON_OUTPUT!G207*ECON_ASSUMPT!G$14,0)</f>
        <v>39817.017544673283</v>
      </c>
      <c r="Q207" s="241">
        <f>ECON_OUTPUT!G207+O207+P207</f>
        <v>723817.01754467329</v>
      </c>
      <c r="R207" s="241">
        <f t="shared" si="26"/>
        <v>-37893.01754467329</v>
      </c>
      <c r="S207" s="241">
        <f t="shared" si="24"/>
        <v>37893.01754467329</v>
      </c>
      <c r="U207" s="241">
        <f>ECON_ASSUMPT!E$4+(ECON_OUTPUT!G207*ECON_ASSUMPT!E$5)+(ECON_OUTPUT!BJ207*ECON_ASSUMPT!E$6)+(ECON_OUTPUT!BK207*ECON_ASSUMPT!E$7)+(ECON_OUTPUT!BL207*ECON_ASSUMPT!E$8)+(ECON_OUTPUT!BM207*ECON_ASSUMPT!E$9)+(ECON_OUTPUT!BN207*ECON_ASSUMPT!E$10)</f>
        <v>1460501.0920555703</v>
      </c>
      <c r="V207" s="241">
        <f>ECON_OUTPUT!Q207-U207</f>
        <v>-774577.09205557033</v>
      </c>
      <c r="W207" s="241">
        <f t="shared" si="25"/>
        <v>774577.09205557033</v>
      </c>
      <c r="Y207" s="241"/>
      <c r="Z207" s="265">
        <v>806518.31688164803</v>
      </c>
      <c r="AA207" s="241">
        <f t="shared" si="27"/>
        <v>-37893.01754467329</v>
      </c>
      <c r="AB207" s="241">
        <f t="shared" si="28"/>
        <v>37893.01754467329</v>
      </c>
    </row>
    <row r="208" spans="10:28" x14ac:dyDescent="0.25">
      <c r="J208" s="241">
        <f>ECON_OUTPUT!G208</f>
        <v>1790000</v>
      </c>
      <c r="K208" s="241">
        <f>ECON_OUTPUT!Q208</f>
        <v>1884975</v>
      </c>
      <c r="L208" s="241">
        <f t="shared" si="22"/>
        <v>94975</v>
      </c>
      <c r="M208" s="241">
        <f t="shared" si="23"/>
        <v>94975</v>
      </c>
      <c r="O208" s="244">
        <f>IF(ECON_OUTPUT!BG208=5,ECON_OUTPUT!G208*(ECON_ASSUMPT!G$13),0)</f>
        <v>0</v>
      </c>
      <c r="P208" s="244">
        <f>IF(ECON_OUTPUT!BE208="Other",ECON_OUTPUT!G208*ECON_ASSUMPT!G$14,0)</f>
        <v>104199.50497801926</v>
      </c>
      <c r="Q208" s="241">
        <f>ECON_OUTPUT!G208+O208+P208</f>
        <v>1894199.5049780193</v>
      </c>
      <c r="R208" s="241">
        <f t="shared" si="26"/>
        <v>-9224.5049780192785</v>
      </c>
      <c r="S208" s="241">
        <f t="shared" si="24"/>
        <v>9224.5049780192785</v>
      </c>
      <c r="U208" s="241">
        <f>ECON_ASSUMPT!E$4+(ECON_OUTPUT!G208*ECON_ASSUMPT!E$5)+(ECON_OUTPUT!BJ208*ECON_ASSUMPT!E$6)+(ECON_OUTPUT!BK208*ECON_ASSUMPT!E$7)+(ECON_OUTPUT!BL208*ECON_ASSUMPT!E$8)+(ECON_OUTPUT!BM208*ECON_ASSUMPT!E$9)+(ECON_OUTPUT!BN208*ECON_ASSUMPT!E$10)</f>
        <v>3054153.1129552312</v>
      </c>
      <c r="V208" s="241">
        <f>ECON_OUTPUT!Q208-U208</f>
        <v>-1169178.1129552312</v>
      </c>
      <c r="W208" s="241">
        <f t="shared" si="25"/>
        <v>1169178.1129552312</v>
      </c>
      <c r="Y208" s="241"/>
      <c r="Z208" s="265">
        <v>1262467.5445186</v>
      </c>
      <c r="AA208" s="241">
        <f t="shared" si="27"/>
        <v>-9224.5049780192785</v>
      </c>
      <c r="AB208" s="241">
        <f t="shared" si="28"/>
        <v>9224.5049780192785</v>
      </c>
    </row>
    <row r="209" spans="10:28" x14ac:dyDescent="0.25">
      <c r="J209" s="241">
        <f>ECON_OUTPUT!G209</f>
        <v>1880000</v>
      </c>
      <c r="K209" s="241">
        <f>ECON_OUTPUT!Q209</f>
        <v>2593400</v>
      </c>
      <c r="L209" s="241">
        <f t="shared" si="22"/>
        <v>713400</v>
      </c>
      <c r="M209" s="241">
        <f t="shared" si="23"/>
        <v>713400</v>
      </c>
      <c r="O209" s="244">
        <f>IF(ECON_OUTPUT!BG209=5,ECON_OUTPUT!G209*(ECON_ASSUMPT!G$13),0)</f>
        <v>0</v>
      </c>
      <c r="P209" s="244">
        <f>IF(ECON_OUTPUT!BE209="Other",ECON_OUTPUT!G209*ECON_ASSUMPT!G$14,0)</f>
        <v>109438.58623389732</v>
      </c>
      <c r="Q209" s="241">
        <f>ECON_OUTPUT!G209+O209+P209</f>
        <v>1989438.5862338974</v>
      </c>
      <c r="R209" s="241">
        <f t="shared" si="26"/>
        <v>603961.41376610263</v>
      </c>
      <c r="S209" s="241">
        <f t="shared" si="24"/>
        <v>603961.41376610263</v>
      </c>
      <c r="U209" s="241">
        <f>ECON_ASSUMPT!E$4+(ECON_OUTPUT!G209*ECON_ASSUMPT!E$5)+(ECON_OUTPUT!BJ209*ECON_ASSUMPT!E$6)+(ECON_OUTPUT!BK209*ECON_ASSUMPT!E$7)+(ECON_OUTPUT!BL209*ECON_ASSUMPT!E$8)+(ECON_OUTPUT!BM209*ECON_ASSUMPT!E$9)+(ECON_OUTPUT!BN209*ECON_ASSUMPT!E$10)</f>
        <v>3874041.978848191</v>
      </c>
      <c r="V209" s="241">
        <f>ECON_OUTPUT!Q209-U209</f>
        <v>-1280641.978848191</v>
      </c>
      <c r="W209" s="241">
        <f t="shared" si="25"/>
        <v>1280641.978848191</v>
      </c>
      <c r="Y209" s="241"/>
      <c r="Z209" s="265">
        <v>1917420.43387414</v>
      </c>
      <c r="AA209" s="241">
        <f t="shared" si="27"/>
        <v>603961.41376610263</v>
      </c>
      <c r="AB209" s="241">
        <f t="shared" si="28"/>
        <v>603961.41376610263</v>
      </c>
    </row>
    <row r="210" spans="10:28" x14ac:dyDescent="0.25">
      <c r="J210" s="241">
        <f>ECON_OUTPUT!G210</f>
        <v>4450000</v>
      </c>
      <c r="K210" s="241">
        <f>ECON_OUTPUT!Q210</f>
        <v>6563660</v>
      </c>
      <c r="L210" s="241">
        <f t="shared" si="22"/>
        <v>2113660</v>
      </c>
      <c r="M210" s="241">
        <f t="shared" si="23"/>
        <v>2113660</v>
      </c>
      <c r="O210" s="244">
        <f>IF(ECON_OUTPUT!BG210=5,ECON_OUTPUT!G210*(ECON_ASSUMPT!G$13),0)</f>
        <v>0</v>
      </c>
      <c r="P210" s="244">
        <f>IF(ECON_OUTPUT!BE210="Other",ECON_OUTPUT!G210*ECON_ASSUMPT!G$14,0)</f>
        <v>0</v>
      </c>
      <c r="Q210" s="241">
        <f>ECON_OUTPUT!G210+O210+P210</f>
        <v>4450000</v>
      </c>
      <c r="R210" s="241">
        <f t="shared" si="26"/>
        <v>2113660</v>
      </c>
      <c r="S210" s="241">
        <f t="shared" si="24"/>
        <v>2113660</v>
      </c>
      <c r="U210" s="241">
        <f>ECON_ASSUMPT!E$4+(ECON_OUTPUT!G210*ECON_ASSUMPT!E$5)+(ECON_OUTPUT!BJ210*ECON_ASSUMPT!E$6)+(ECON_OUTPUT!BK210*ECON_ASSUMPT!E$7)+(ECON_OUTPUT!BL210*ECON_ASSUMPT!E$8)+(ECON_OUTPUT!BM210*ECON_ASSUMPT!E$9)+(ECON_OUTPUT!BN210*ECON_ASSUMPT!E$10)</f>
        <v>4282942.2846400626</v>
      </c>
      <c r="V210" s="241">
        <f>ECON_OUTPUT!Q210-U210</f>
        <v>2280717.7153599374</v>
      </c>
      <c r="W210" s="241">
        <f t="shared" si="25"/>
        <v>2280717.7153599374</v>
      </c>
      <c r="Y210" s="241"/>
      <c r="Z210" s="265">
        <v>3347023.8607595498</v>
      </c>
      <c r="AA210" s="241">
        <f t="shared" si="27"/>
        <v>2113660</v>
      </c>
      <c r="AB210" s="241">
        <f t="shared" si="28"/>
        <v>2113660</v>
      </c>
    </row>
    <row r="211" spans="10:28" x14ac:dyDescent="0.25">
      <c r="J211" s="241">
        <f>ECON_OUTPUT!G211</f>
        <v>42125550</v>
      </c>
      <c r="K211" s="241">
        <f>ECON_OUTPUT!Q211</f>
        <v>36265223</v>
      </c>
      <c r="L211" s="241">
        <f t="shared" si="22"/>
        <v>-5860327</v>
      </c>
      <c r="M211" s="241">
        <f t="shared" si="23"/>
        <v>5860327</v>
      </c>
      <c r="O211" s="244">
        <f>IF(ECON_OUTPUT!BG211=5,ECON_OUTPUT!G211*(ECON_ASSUMPT!G$13),0)</f>
        <v>1308431.9856178213</v>
      </c>
      <c r="P211" s="244">
        <f>IF(ECON_OUTPUT!BE211="Other",ECON_OUTPUT!G211*ECON_ASSUMPT!G$14,0)</f>
        <v>0</v>
      </c>
      <c r="Q211" s="241">
        <f>ECON_OUTPUT!G211+O211+P211</f>
        <v>43433981.985617824</v>
      </c>
      <c r="R211" s="241">
        <f t="shared" si="26"/>
        <v>-7168758.9856178239</v>
      </c>
      <c r="S211" s="241">
        <f t="shared" si="24"/>
        <v>7168758.9856178239</v>
      </c>
      <c r="U211" s="241">
        <f>ECON_ASSUMPT!E$4+(ECON_OUTPUT!G211*ECON_ASSUMPT!E$5)+(ECON_OUTPUT!BJ211*ECON_ASSUMPT!E$6)+(ECON_OUTPUT!BK211*ECON_ASSUMPT!E$7)+(ECON_OUTPUT!BL211*ECON_ASSUMPT!E$8)+(ECON_OUTPUT!BM211*ECON_ASSUMPT!E$9)+(ECON_OUTPUT!BN211*ECON_ASSUMPT!E$10)</f>
        <v>39445156.102769323</v>
      </c>
      <c r="V211" s="241">
        <f>ECON_OUTPUT!Q211-U211</f>
        <v>-3179933.1027693227</v>
      </c>
      <c r="W211" s="241">
        <f t="shared" si="25"/>
        <v>3179933.1027693227</v>
      </c>
      <c r="Y211" s="241"/>
      <c r="Z211" s="265">
        <v>38864336.806874797</v>
      </c>
      <c r="AA211" s="241">
        <f t="shared" si="27"/>
        <v>-7168758.9856178239</v>
      </c>
      <c r="AB211" s="241">
        <f t="shared" si="28"/>
        <v>7168758.9856178239</v>
      </c>
    </row>
    <row r="212" spans="10:28" x14ac:dyDescent="0.25">
      <c r="J212" s="241">
        <f>ECON_OUTPUT!G212</f>
        <v>2460000</v>
      </c>
      <c r="K212" s="241">
        <f>ECON_OUTPUT!Q212</f>
        <v>2555556</v>
      </c>
      <c r="L212" s="241">
        <f t="shared" si="22"/>
        <v>95556</v>
      </c>
      <c r="M212" s="241">
        <f t="shared" si="23"/>
        <v>95556</v>
      </c>
      <c r="O212" s="244">
        <f>IF(ECON_OUTPUT!BG212=5,ECON_OUTPUT!G212*(ECON_ASSUMPT!G$13),0)</f>
        <v>0</v>
      </c>
      <c r="P212" s="244">
        <f>IF(ECON_OUTPUT!BE212="Other",ECON_OUTPUT!G212*ECON_ASSUMPT!G$14,0)</f>
        <v>143201.55432733372</v>
      </c>
      <c r="Q212" s="241">
        <f>ECON_OUTPUT!G212+O212+P212</f>
        <v>2603201.5543273338</v>
      </c>
      <c r="R212" s="241">
        <f t="shared" si="26"/>
        <v>-47645.554327333812</v>
      </c>
      <c r="S212" s="241">
        <f t="shared" si="24"/>
        <v>47645.554327333812</v>
      </c>
      <c r="U212" s="241">
        <f>ECON_ASSUMPT!E$4+(ECON_OUTPUT!G212*ECON_ASSUMPT!E$5)+(ECON_OUTPUT!BJ212*ECON_ASSUMPT!E$6)+(ECON_OUTPUT!BK212*ECON_ASSUMPT!E$7)+(ECON_OUTPUT!BL212*ECON_ASSUMPT!E$8)+(ECON_OUTPUT!BM212*ECON_ASSUMPT!E$9)+(ECON_OUTPUT!BN212*ECON_ASSUMPT!E$10)</f>
        <v>4378676.2282165252</v>
      </c>
      <c r="V212" s="241">
        <f>ECON_OUTPUT!Q212-U212</f>
        <v>-1823120.2282165252</v>
      </c>
      <c r="W212" s="241">
        <f t="shared" si="25"/>
        <v>1823120.2282165252</v>
      </c>
      <c r="Y212" s="241"/>
      <c r="Z212" s="265">
        <v>3597957.7909798399</v>
      </c>
      <c r="AA212" s="241">
        <f t="shared" si="27"/>
        <v>-47645.554327333812</v>
      </c>
      <c r="AB212" s="241">
        <f t="shared" si="28"/>
        <v>47645.554327333812</v>
      </c>
    </row>
    <row r="213" spans="10:28" x14ac:dyDescent="0.25">
      <c r="J213" s="241">
        <f>ECON_OUTPUT!G213</f>
        <v>2390000</v>
      </c>
      <c r="K213" s="241">
        <f>ECON_OUTPUT!Q213</f>
        <v>2627000</v>
      </c>
      <c r="L213" s="241">
        <f t="shared" si="22"/>
        <v>237000</v>
      </c>
      <c r="M213" s="241">
        <f t="shared" si="23"/>
        <v>237000</v>
      </c>
      <c r="O213" s="244">
        <f>IF(ECON_OUTPUT!BG213=5,ECON_OUTPUT!G213*(ECON_ASSUMPT!G$13),0)</f>
        <v>0</v>
      </c>
      <c r="P213" s="244">
        <f>IF(ECON_OUTPUT!BE213="Other",ECON_OUTPUT!G213*ECON_ASSUMPT!G$14,0)</f>
        <v>0</v>
      </c>
      <c r="Q213" s="241">
        <f>ECON_OUTPUT!G213+O213+P213</f>
        <v>2390000</v>
      </c>
      <c r="R213" s="241">
        <f t="shared" si="26"/>
        <v>237000</v>
      </c>
      <c r="S213" s="241">
        <f t="shared" si="24"/>
        <v>237000</v>
      </c>
      <c r="U213" s="241">
        <f>ECON_ASSUMPT!E$4+(ECON_OUTPUT!G213*ECON_ASSUMPT!E$5)+(ECON_OUTPUT!BJ213*ECON_ASSUMPT!E$6)+(ECON_OUTPUT!BK213*ECON_ASSUMPT!E$7)+(ECON_OUTPUT!BL213*ECON_ASSUMPT!E$8)+(ECON_OUTPUT!BM213*ECON_ASSUMPT!E$9)+(ECON_OUTPUT!BN213*ECON_ASSUMPT!E$10)</f>
        <v>2398054.3408322907</v>
      </c>
      <c r="V213" s="241">
        <f>ECON_OUTPUT!Q213-U213</f>
        <v>228945.65916770929</v>
      </c>
      <c r="W213" s="241">
        <f t="shared" si="25"/>
        <v>228945.65916770929</v>
      </c>
      <c r="Y213" s="241"/>
      <c r="Z213" s="265">
        <v>2380841.3723891401</v>
      </c>
      <c r="AA213" s="241">
        <f t="shared" si="27"/>
        <v>237000</v>
      </c>
      <c r="AB213" s="241">
        <f t="shared" si="28"/>
        <v>237000</v>
      </c>
    </row>
    <row r="214" spans="10:28" x14ac:dyDescent="0.25">
      <c r="J214" s="241">
        <f>ECON_OUTPUT!G214</f>
        <v>1151000</v>
      </c>
      <c r="K214" s="241">
        <f>ECON_OUTPUT!Q214</f>
        <v>1762891</v>
      </c>
      <c r="L214" s="241">
        <f t="shared" si="22"/>
        <v>611891</v>
      </c>
      <c r="M214" s="241">
        <f t="shared" si="23"/>
        <v>611891</v>
      </c>
      <c r="O214" s="244">
        <f>IF(ECON_OUTPUT!BG214=5,ECON_OUTPUT!G214*(ECON_ASSUMPT!G$13),0)</f>
        <v>0</v>
      </c>
      <c r="P214" s="244">
        <f>IF(ECON_OUTPUT!BE214="Other",ECON_OUTPUT!G214*ECON_ASSUMPT!G$14,0)</f>
        <v>67002.028061285004</v>
      </c>
      <c r="Q214" s="241">
        <f>ECON_OUTPUT!G214+O214+P214</f>
        <v>1218002.0280612849</v>
      </c>
      <c r="R214" s="241">
        <f t="shared" si="26"/>
        <v>544888.97193871508</v>
      </c>
      <c r="S214" s="241">
        <f t="shared" si="24"/>
        <v>544888.97193871508</v>
      </c>
      <c r="U214" s="241">
        <f>ECON_ASSUMPT!E$4+(ECON_OUTPUT!G214*ECON_ASSUMPT!E$5)+(ECON_OUTPUT!BJ214*ECON_ASSUMPT!E$6)+(ECON_OUTPUT!BK214*ECON_ASSUMPT!E$7)+(ECON_OUTPUT!BL214*ECON_ASSUMPT!E$8)+(ECON_OUTPUT!BM214*ECON_ASSUMPT!E$9)+(ECON_OUTPUT!BN214*ECON_ASSUMPT!E$10)</f>
        <v>2498185.3795994287</v>
      </c>
      <c r="V214" s="241">
        <f>ECON_OUTPUT!Q214-U214</f>
        <v>-735294.37959942874</v>
      </c>
      <c r="W214" s="241">
        <f t="shared" si="25"/>
        <v>735294.37959942874</v>
      </c>
      <c r="Y214" s="241"/>
      <c r="Z214" s="265">
        <v>2293271.0847041998</v>
      </c>
      <c r="AA214" s="241">
        <f t="shared" si="27"/>
        <v>544888.97193871508</v>
      </c>
      <c r="AB214" s="241">
        <f t="shared" si="28"/>
        <v>544888.97193871508</v>
      </c>
    </row>
    <row r="215" spans="10:28" x14ac:dyDescent="0.25">
      <c r="J215" s="241">
        <f>ECON_OUTPUT!G215</f>
        <v>1090000</v>
      </c>
      <c r="K215" s="241">
        <f>ECON_OUTPUT!Q215</f>
        <v>1245470</v>
      </c>
      <c r="L215" s="241">
        <f t="shared" si="22"/>
        <v>155470</v>
      </c>
      <c r="M215" s="241">
        <f t="shared" si="23"/>
        <v>155470</v>
      </c>
      <c r="O215" s="244">
        <f>IF(ECON_OUTPUT!BG215=5,ECON_OUTPUT!G215*(ECON_ASSUMPT!G$13),0)</f>
        <v>0</v>
      </c>
      <c r="P215" s="244">
        <f>IF(ECON_OUTPUT!BE215="Other",ECON_OUTPUT!G215*ECON_ASSUMPT!G$14,0)</f>
        <v>0</v>
      </c>
      <c r="Q215" s="241">
        <f>ECON_OUTPUT!G215+O215+P215</f>
        <v>1090000</v>
      </c>
      <c r="R215" s="241">
        <f t="shared" si="26"/>
        <v>155470</v>
      </c>
      <c r="S215" s="241">
        <f t="shared" si="24"/>
        <v>155470</v>
      </c>
      <c r="U215" s="241">
        <f>ECON_ASSUMPT!E$4+(ECON_OUTPUT!G215*ECON_ASSUMPT!E$5)+(ECON_OUTPUT!BJ215*ECON_ASSUMPT!E$6)+(ECON_OUTPUT!BK215*ECON_ASSUMPT!E$7)+(ECON_OUTPUT!BL215*ECON_ASSUMPT!E$8)+(ECON_OUTPUT!BM215*ECON_ASSUMPT!E$9)+(ECON_OUTPUT!BN215*ECON_ASSUMPT!E$10)</f>
        <v>-105972.6872263758</v>
      </c>
      <c r="V215" s="241">
        <f>ECON_OUTPUT!Q215-U215</f>
        <v>1351442.6872263758</v>
      </c>
      <c r="W215" s="241">
        <f t="shared" si="25"/>
        <v>1351442.6872263758</v>
      </c>
      <c r="Y215" s="241"/>
      <c r="Z215" s="265">
        <v>-1012065.33632542</v>
      </c>
      <c r="AA215" s="241">
        <f t="shared" si="27"/>
        <v>155470</v>
      </c>
      <c r="AB215" s="241">
        <f t="shared" si="28"/>
        <v>155470</v>
      </c>
    </row>
    <row r="216" spans="10:28" x14ac:dyDescent="0.25">
      <c r="J216" s="241">
        <f>ECON_OUTPUT!G216</f>
        <v>1216000</v>
      </c>
      <c r="K216" s="241">
        <f>ECON_OUTPUT!Q216</f>
        <v>2200788</v>
      </c>
      <c r="L216" s="241">
        <f t="shared" si="22"/>
        <v>984788</v>
      </c>
      <c r="M216" s="241">
        <f t="shared" si="23"/>
        <v>984788</v>
      </c>
      <c r="O216" s="244">
        <f>IF(ECON_OUTPUT!BG216=5,ECON_OUTPUT!G216*(ECON_ASSUMPT!G$13),0)</f>
        <v>0</v>
      </c>
      <c r="P216" s="244">
        <f>IF(ECON_OUTPUT!BE216="Other",ECON_OUTPUT!G216*ECON_ASSUMPT!G$14,0)</f>
        <v>70785.808968308062</v>
      </c>
      <c r="Q216" s="241">
        <f>ECON_OUTPUT!G216+O216+P216</f>
        <v>1286785.8089683081</v>
      </c>
      <c r="R216" s="241">
        <f t="shared" si="26"/>
        <v>914002.19103169185</v>
      </c>
      <c r="S216" s="241">
        <f t="shared" si="24"/>
        <v>914002.19103169185</v>
      </c>
      <c r="U216" s="241">
        <f>ECON_ASSUMPT!E$4+(ECON_OUTPUT!G216*ECON_ASSUMPT!E$5)+(ECON_OUTPUT!BJ216*ECON_ASSUMPT!E$6)+(ECON_OUTPUT!BK216*ECON_ASSUMPT!E$7)+(ECON_OUTPUT!BL216*ECON_ASSUMPT!E$8)+(ECON_OUTPUT!BM216*ECON_ASSUMPT!E$9)+(ECON_OUTPUT!BN216*ECON_ASSUMPT!E$10)</f>
        <v>2554739.2178907078</v>
      </c>
      <c r="V216" s="241">
        <f>ECON_OUTPUT!Q216-U216</f>
        <v>-353951.21789070778</v>
      </c>
      <c r="W216" s="241">
        <f t="shared" si="25"/>
        <v>353951.21789070778</v>
      </c>
      <c r="Y216" s="241"/>
      <c r="Z216" s="265">
        <v>1504587.9452303499</v>
      </c>
      <c r="AA216" s="241">
        <f t="shared" si="27"/>
        <v>914002.19103169185</v>
      </c>
      <c r="AB216" s="241">
        <f t="shared" si="28"/>
        <v>914002.19103169185</v>
      </c>
    </row>
    <row r="217" spans="10:28" x14ac:dyDescent="0.25">
      <c r="J217" s="241">
        <f>ECON_OUTPUT!G217</f>
        <v>1200000</v>
      </c>
      <c r="K217" s="241">
        <f>ECON_OUTPUT!Q217</f>
        <v>1937720</v>
      </c>
      <c r="L217" s="241">
        <f t="shared" si="22"/>
        <v>737720</v>
      </c>
      <c r="M217" s="241">
        <f t="shared" si="23"/>
        <v>737720</v>
      </c>
      <c r="O217" s="244">
        <f>IF(ECON_OUTPUT!BG217=5,ECON_OUTPUT!G217*(ECON_ASSUMPT!G$13),0)</f>
        <v>0</v>
      </c>
      <c r="P217" s="244">
        <f>IF(ECON_OUTPUT!BE217="Other",ECON_OUTPUT!G217*ECON_ASSUMPT!G$14,0)</f>
        <v>0</v>
      </c>
      <c r="Q217" s="241">
        <f>ECON_OUTPUT!G217+O217+P217</f>
        <v>1200000</v>
      </c>
      <c r="R217" s="241">
        <f t="shared" si="26"/>
        <v>737720</v>
      </c>
      <c r="S217" s="241">
        <f t="shared" si="24"/>
        <v>737720</v>
      </c>
      <c r="U217" s="241">
        <f>ECON_ASSUMPT!E$4+(ECON_OUTPUT!G217*ECON_ASSUMPT!E$5)+(ECON_OUTPUT!BJ217*ECON_ASSUMPT!E$6)+(ECON_OUTPUT!BK217*ECON_ASSUMPT!E$7)+(ECON_OUTPUT!BL217*ECON_ASSUMPT!E$8)+(ECON_OUTPUT!BM217*ECON_ASSUMPT!E$9)+(ECON_OUTPUT!BN217*ECON_ASSUMPT!E$10)</f>
        <v>621100.51924076665</v>
      </c>
      <c r="V217" s="241">
        <f>ECON_OUTPUT!Q217-U217</f>
        <v>1316619.4807592332</v>
      </c>
      <c r="W217" s="241">
        <f t="shared" si="25"/>
        <v>1316619.4807592332</v>
      </c>
      <c r="Y217" s="241"/>
      <c r="Z217" s="265">
        <v>6605.6857240282698</v>
      </c>
      <c r="AA217" s="241">
        <f t="shared" si="27"/>
        <v>737720</v>
      </c>
      <c r="AB217" s="241">
        <f t="shared" si="28"/>
        <v>737720</v>
      </c>
    </row>
    <row r="218" spans="10:28" x14ac:dyDescent="0.25">
      <c r="J218" s="241">
        <f>ECON_OUTPUT!G218</f>
        <v>9330000</v>
      </c>
      <c r="K218" s="241">
        <f>ECON_OUTPUT!Q218</f>
        <v>7728122</v>
      </c>
      <c r="L218" s="241">
        <f t="shared" si="22"/>
        <v>-1601878</v>
      </c>
      <c r="M218" s="241">
        <f t="shared" si="23"/>
        <v>1601878</v>
      </c>
      <c r="O218" s="244">
        <f>IF(ECON_OUTPUT!BG218=5,ECON_OUTPUT!G218*(ECON_ASSUMPT!G$13),0)</f>
        <v>0</v>
      </c>
      <c r="P218" s="244">
        <f>IF(ECON_OUTPUT!BE218="Other",ECON_OUTPUT!G218*ECON_ASSUMPT!G$14,0)</f>
        <v>0</v>
      </c>
      <c r="Q218" s="241">
        <f>ECON_OUTPUT!G218+O218+P218</f>
        <v>9330000</v>
      </c>
      <c r="R218" s="241">
        <f t="shared" si="26"/>
        <v>-1601878</v>
      </c>
      <c r="S218" s="241">
        <f t="shared" si="24"/>
        <v>1601878</v>
      </c>
      <c r="U218" s="241">
        <f>ECON_ASSUMPT!E$4+(ECON_OUTPUT!G218*ECON_ASSUMPT!E$5)+(ECON_OUTPUT!BJ218*ECON_ASSUMPT!E$6)+(ECON_OUTPUT!BK218*ECON_ASSUMPT!E$7)+(ECON_OUTPUT!BL218*ECON_ASSUMPT!E$8)+(ECON_OUTPUT!BM218*ECON_ASSUMPT!E$9)+(ECON_OUTPUT!BN218*ECON_ASSUMPT!E$10)</f>
        <v>8528830.451739151</v>
      </c>
      <c r="V218" s="241">
        <f>ECON_OUTPUT!Q218-U218</f>
        <v>-800708.45173915103</v>
      </c>
      <c r="W218" s="241">
        <f t="shared" si="25"/>
        <v>800708.45173915103</v>
      </c>
      <c r="Y218" s="241"/>
      <c r="Z218" s="265">
        <v>7766525.6533331797</v>
      </c>
      <c r="AA218" s="241">
        <f t="shared" si="27"/>
        <v>-1601878</v>
      </c>
      <c r="AB218" s="241">
        <f t="shared" si="28"/>
        <v>1601878</v>
      </c>
    </row>
    <row r="219" spans="10:28" x14ac:dyDescent="0.25">
      <c r="J219" s="241">
        <f>ECON_OUTPUT!G219</f>
        <v>6950000</v>
      </c>
      <c r="K219" s="241">
        <f>ECON_OUTPUT!Q219</f>
        <v>8949953</v>
      </c>
      <c r="L219" s="241">
        <f t="shared" si="22"/>
        <v>1999953</v>
      </c>
      <c r="M219" s="241">
        <f t="shared" si="23"/>
        <v>1999953</v>
      </c>
      <c r="O219" s="244">
        <f>IF(ECON_OUTPUT!BG219=5,ECON_OUTPUT!G219*(ECON_ASSUMPT!G$13),0)</f>
        <v>0</v>
      </c>
      <c r="P219" s="244">
        <f>IF(ECON_OUTPUT!BE219="Other",ECON_OUTPUT!G219*ECON_ASSUMPT!G$14,0)</f>
        <v>0</v>
      </c>
      <c r="Q219" s="241">
        <f>ECON_OUTPUT!G219+O219+P219</f>
        <v>6950000</v>
      </c>
      <c r="R219" s="241">
        <f t="shared" si="26"/>
        <v>1999953</v>
      </c>
      <c r="S219" s="241">
        <f t="shared" si="24"/>
        <v>1999953</v>
      </c>
      <c r="U219" s="241">
        <f>ECON_ASSUMPT!E$4+(ECON_OUTPUT!G219*ECON_ASSUMPT!E$5)+(ECON_OUTPUT!BJ219*ECON_ASSUMPT!E$6)+(ECON_OUTPUT!BK219*ECON_ASSUMPT!E$7)+(ECON_OUTPUT!BL219*ECON_ASSUMPT!E$8)+(ECON_OUTPUT!BM219*ECON_ASSUMPT!E$9)+(ECON_OUTPUT!BN219*ECON_ASSUMPT!E$10)</f>
        <v>6458089.9112277105</v>
      </c>
      <c r="V219" s="241">
        <f>ECON_OUTPUT!Q219-U219</f>
        <v>2491863.0887722895</v>
      </c>
      <c r="W219" s="241">
        <f t="shared" si="25"/>
        <v>2491863.0887722895</v>
      </c>
      <c r="Y219" s="241"/>
      <c r="Z219" s="265">
        <v>5734713.6389545696</v>
      </c>
      <c r="AA219" s="241">
        <f t="shared" si="27"/>
        <v>1999953</v>
      </c>
      <c r="AB219" s="241">
        <f t="shared" si="28"/>
        <v>1999953</v>
      </c>
    </row>
    <row r="220" spans="10:28" x14ac:dyDescent="0.25">
      <c r="J220" s="241">
        <f>ECON_OUTPUT!G220</f>
        <v>44840000</v>
      </c>
      <c r="K220" s="241">
        <f>ECON_OUTPUT!Q220</f>
        <v>50950000</v>
      </c>
      <c r="L220" s="241">
        <f t="shared" si="22"/>
        <v>6110000</v>
      </c>
      <c r="M220" s="241">
        <f t="shared" si="23"/>
        <v>6110000</v>
      </c>
      <c r="O220" s="244">
        <f>IF(ECON_OUTPUT!BG220=5,ECON_OUTPUT!G220*(ECON_ASSUMPT!G$13),0)</f>
        <v>1392743.6018070532</v>
      </c>
      <c r="P220" s="244">
        <f>IF(ECON_OUTPUT!BE220="Other",ECON_OUTPUT!G220*ECON_ASSUMPT!G$14,0)</f>
        <v>2610226.7057063598</v>
      </c>
      <c r="Q220" s="241">
        <f>ECON_OUTPUT!G220+O220+P220</f>
        <v>48842970.307513408</v>
      </c>
      <c r="R220" s="241">
        <f t="shared" si="26"/>
        <v>2107029.6924865916</v>
      </c>
      <c r="S220" s="241">
        <f t="shared" si="24"/>
        <v>2107029.6924865916</v>
      </c>
      <c r="U220" s="241">
        <f>ECON_ASSUMPT!E$4+(ECON_OUTPUT!G220*ECON_ASSUMPT!E$5)+(ECON_OUTPUT!BJ220*ECON_ASSUMPT!E$6)+(ECON_OUTPUT!BK220*ECON_ASSUMPT!E$7)+(ECON_OUTPUT!BL220*ECON_ASSUMPT!E$8)+(ECON_OUTPUT!BM220*ECON_ASSUMPT!E$9)+(ECON_OUTPUT!BN220*ECON_ASSUMPT!E$10)</f>
        <v>43726605.646605447</v>
      </c>
      <c r="V220" s="241">
        <f>ECON_OUTPUT!Q220-U220</f>
        <v>7223394.3533945531</v>
      </c>
      <c r="W220" s="241">
        <f t="shared" si="25"/>
        <v>7223394.3533945531</v>
      </c>
      <c r="Y220" s="241"/>
      <c r="Z220" s="265">
        <v>43549538.824884899</v>
      </c>
      <c r="AA220" s="241">
        <f t="shared" si="27"/>
        <v>2107029.6924865916</v>
      </c>
      <c r="AB220" s="241">
        <f t="shared" si="28"/>
        <v>2107029.6924865916</v>
      </c>
    </row>
    <row r="221" spans="10:28" x14ac:dyDescent="0.25">
      <c r="J221" s="241">
        <f>ECON_OUTPUT!G221</f>
        <v>38200000</v>
      </c>
      <c r="K221" s="241">
        <f>ECON_OUTPUT!Q221</f>
        <v>41813670</v>
      </c>
      <c r="L221" s="241">
        <f t="shared" si="22"/>
        <v>3613670</v>
      </c>
      <c r="M221" s="241">
        <f t="shared" si="23"/>
        <v>3613670</v>
      </c>
      <c r="O221" s="244">
        <f>IF(ECON_OUTPUT!BG221=5,ECON_OUTPUT!G221*(ECON_ASSUMPT!G$13),0)</f>
        <v>1186503.2468561425</v>
      </c>
      <c r="P221" s="244">
        <f>IF(ECON_OUTPUT!BE221="Other",ECON_OUTPUT!G221*ECON_ASSUMPT!G$14,0)</f>
        <v>2223698.9330504667</v>
      </c>
      <c r="Q221" s="241">
        <f>ECON_OUTPUT!G221+O221+P221</f>
        <v>41610202.179906614</v>
      </c>
      <c r="R221" s="241">
        <f t="shared" si="26"/>
        <v>203467.82009338588</v>
      </c>
      <c r="S221" s="241">
        <f t="shared" si="24"/>
        <v>203467.82009338588</v>
      </c>
      <c r="U221" s="241">
        <f>ECON_ASSUMPT!E$4+(ECON_OUTPUT!G221*ECON_ASSUMPT!E$5)+(ECON_OUTPUT!BJ221*ECON_ASSUMPT!E$6)+(ECON_OUTPUT!BK221*ECON_ASSUMPT!E$7)+(ECON_OUTPUT!BL221*ECON_ASSUMPT!E$8)+(ECON_OUTPUT!BM221*ECON_ASSUMPT!E$9)+(ECON_OUTPUT!BN221*ECON_ASSUMPT!E$10)</f>
        <v>37949413.550388657</v>
      </c>
      <c r="V221" s="241">
        <f>ECON_OUTPUT!Q221-U221</f>
        <v>3864256.4496113434</v>
      </c>
      <c r="W221" s="241">
        <f t="shared" si="25"/>
        <v>3864256.4496113434</v>
      </c>
      <c r="Y221" s="241"/>
      <c r="Z221" s="265">
        <v>37880954.045273997</v>
      </c>
      <c r="AA221" s="241">
        <f t="shared" si="27"/>
        <v>203467.82009338588</v>
      </c>
      <c r="AB221" s="241">
        <f t="shared" si="28"/>
        <v>203467.82009338588</v>
      </c>
    </row>
    <row r="222" spans="10:28" x14ac:dyDescent="0.25">
      <c r="J222" s="241">
        <f>ECON_OUTPUT!G222</f>
        <v>18800000</v>
      </c>
      <c r="K222" s="241">
        <f>ECON_OUTPUT!Q222</f>
        <v>14587499</v>
      </c>
      <c r="L222" s="241">
        <f t="shared" si="22"/>
        <v>-4212501</v>
      </c>
      <c r="M222" s="241">
        <f t="shared" si="23"/>
        <v>4212501</v>
      </c>
      <c r="O222" s="244">
        <f>IF(ECON_OUTPUT!BG222=5,ECON_OUTPUT!G222*(ECON_ASSUMPT!G$13),0)</f>
        <v>583933.5351019759</v>
      </c>
      <c r="P222" s="244">
        <f>IF(ECON_OUTPUT!BE222="Other",ECON_OUTPUT!G222*ECON_ASSUMPT!G$14,0)</f>
        <v>0</v>
      </c>
      <c r="Q222" s="241">
        <f>ECON_OUTPUT!G222+O222+P222</f>
        <v>19383933.535101976</v>
      </c>
      <c r="R222" s="241">
        <f t="shared" si="26"/>
        <v>-4796434.5351019762</v>
      </c>
      <c r="S222" s="241">
        <f t="shared" si="24"/>
        <v>4796434.5351019762</v>
      </c>
      <c r="U222" s="241">
        <f>ECON_ASSUMPT!E$4+(ECON_OUTPUT!G222*ECON_ASSUMPT!E$5)+(ECON_OUTPUT!BJ222*ECON_ASSUMPT!E$6)+(ECON_OUTPUT!BK222*ECON_ASSUMPT!E$7)+(ECON_OUTPUT!BL222*ECON_ASSUMPT!E$8)+(ECON_OUTPUT!BM222*ECON_ASSUMPT!E$9)+(ECON_OUTPUT!BN222*ECON_ASSUMPT!E$10)</f>
        <v>19150550.214228731</v>
      </c>
      <c r="V222" s="241">
        <f>ECON_OUTPUT!Q222-U222</f>
        <v>-4563051.2142287306</v>
      </c>
      <c r="W222" s="241">
        <f t="shared" si="25"/>
        <v>4563051.2142287306</v>
      </c>
      <c r="Y222" s="241"/>
      <c r="Z222" s="265">
        <v>19607182.3814965</v>
      </c>
      <c r="AA222" s="241">
        <f t="shared" si="27"/>
        <v>-4796434.5351019762</v>
      </c>
      <c r="AB222" s="241">
        <f t="shared" si="28"/>
        <v>4796434.5351019762</v>
      </c>
    </row>
    <row r="223" spans="10:28" x14ac:dyDescent="0.25">
      <c r="J223" s="241">
        <f>ECON_OUTPUT!G223</f>
        <v>8360000</v>
      </c>
      <c r="K223" s="241">
        <f>ECON_OUTPUT!Q223</f>
        <v>9550000</v>
      </c>
      <c r="L223" s="241">
        <f t="shared" si="22"/>
        <v>1190000</v>
      </c>
      <c r="M223" s="241">
        <f t="shared" si="23"/>
        <v>1190000</v>
      </c>
      <c r="O223" s="244">
        <f>IF(ECON_OUTPUT!BG223=5,ECON_OUTPUT!G223*(ECON_ASSUMPT!G$13),0)</f>
        <v>0</v>
      </c>
      <c r="P223" s="244">
        <f>IF(ECON_OUTPUT!BE223="Other",ECON_OUTPUT!G223*ECON_ASSUMPT!G$14,0)</f>
        <v>0</v>
      </c>
      <c r="Q223" s="241">
        <f>ECON_OUTPUT!G223+O223+P223</f>
        <v>8360000</v>
      </c>
      <c r="R223" s="241">
        <f t="shared" si="26"/>
        <v>1190000</v>
      </c>
      <c r="S223" s="241">
        <f t="shared" si="24"/>
        <v>1190000</v>
      </c>
      <c r="U223" s="241">
        <f>ECON_ASSUMPT!E$4+(ECON_OUTPUT!G223*ECON_ASSUMPT!E$5)+(ECON_OUTPUT!BJ223*ECON_ASSUMPT!E$6)+(ECON_OUTPUT!BK223*ECON_ASSUMPT!E$7)+(ECON_OUTPUT!BL223*ECON_ASSUMPT!E$8)+(ECON_OUTPUT!BM223*ECON_ASSUMPT!E$9)+(ECON_OUTPUT!BN223*ECON_ASSUMPT!E$10)</f>
        <v>7684873.1726231426</v>
      </c>
      <c r="V223" s="241">
        <f>ECON_OUTPUT!Q223-U223</f>
        <v>1865126.8273768574</v>
      </c>
      <c r="W223" s="241">
        <f t="shared" si="25"/>
        <v>1865126.8273768574</v>
      </c>
      <c r="Y223" s="241"/>
      <c r="Z223" s="265">
        <v>6383848.8047811901</v>
      </c>
      <c r="AA223" s="241">
        <f t="shared" si="27"/>
        <v>1190000</v>
      </c>
      <c r="AB223" s="241">
        <f t="shared" si="28"/>
        <v>1190000</v>
      </c>
    </row>
    <row r="224" spans="10:28" x14ac:dyDescent="0.25">
      <c r="J224" s="241">
        <f>ECON_OUTPUT!G224</f>
        <v>2070000</v>
      </c>
      <c r="K224" s="241">
        <f>ECON_OUTPUT!Q224</f>
        <v>2350033</v>
      </c>
      <c r="L224" s="241">
        <f t="shared" si="22"/>
        <v>280033</v>
      </c>
      <c r="M224" s="241">
        <f t="shared" si="23"/>
        <v>280033</v>
      </c>
      <c r="O224" s="244">
        <f>IF(ECON_OUTPUT!BG224=5,ECON_OUTPUT!G224*(ECON_ASSUMPT!G$13),0)</f>
        <v>0</v>
      </c>
      <c r="P224" s="244">
        <f>IF(ECON_OUTPUT!BE224="Other",ECON_OUTPUT!G224*ECON_ASSUMPT!G$14,0)</f>
        <v>0</v>
      </c>
      <c r="Q224" s="241">
        <f>ECON_OUTPUT!G224+O224+P224</f>
        <v>2070000</v>
      </c>
      <c r="R224" s="241">
        <f t="shared" si="26"/>
        <v>280033</v>
      </c>
      <c r="S224" s="241">
        <f t="shared" si="24"/>
        <v>280033</v>
      </c>
      <c r="U224" s="241">
        <f>ECON_ASSUMPT!E$4+(ECON_OUTPUT!G224*ECON_ASSUMPT!E$5)+(ECON_OUTPUT!BJ224*ECON_ASSUMPT!E$6)+(ECON_OUTPUT!BK224*ECON_ASSUMPT!E$7)+(ECON_OUTPUT!BL224*ECON_ASSUMPT!E$8)+(ECON_OUTPUT!BM224*ECON_ASSUMPT!E$9)+(ECON_OUTPUT!BN224*ECON_ASSUMPT!E$10)</f>
        <v>1378051.8932932678</v>
      </c>
      <c r="V224" s="241">
        <f>ECON_OUTPUT!Q224-U224</f>
        <v>971981.10670673219</v>
      </c>
      <c r="W224" s="241">
        <f t="shared" si="25"/>
        <v>971981.10670673219</v>
      </c>
      <c r="Y224" s="241"/>
      <c r="Z224" s="265">
        <v>836763.62122789898</v>
      </c>
      <c r="AA224" s="241">
        <f t="shared" si="27"/>
        <v>280033</v>
      </c>
      <c r="AB224" s="241">
        <f t="shared" si="28"/>
        <v>280033</v>
      </c>
    </row>
    <row r="225" spans="10:28" x14ac:dyDescent="0.25">
      <c r="J225" s="241">
        <f>ECON_OUTPUT!G225</f>
        <v>2900000</v>
      </c>
      <c r="K225" s="241">
        <f>ECON_OUTPUT!Q225</f>
        <v>4321000</v>
      </c>
      <c r="L225" s="241">
        <f t="shared" si="22"/>
        <v>1421000</v>
      </c>
      <c r="M225" s="241">
        <f t="shared" si="23"/>
        <v>1421000</v>
      </c>
      <c r="O225" s="244">
        <f>IF(ECON_OUTPUT!BG225=5,ECON_OUTPUT!G225*(ECON_ASSUMPT!G$13),0)</f>
        <v>0</v>
      </c>
      <c r="P225" s="244">
        <f>IF(ECON_OUTPUT!BE225="Other",ECON_OUTPUT!G225*ECON_ASSUMPT!G$14,0)</f>
        <v>0</v>
      </c>
      <c r="Q225" s="241">
        <f>ECON_OUTPUT!G225+O225+P225</f>
        <v>2900000</v>
      </c>
      <c r="R225" s="241">
        <f t="shared" si="26"/>
        <v>1421000</v>
      </c>
      <c r="S225" s="241">
        <f t="shared" si="24"/>
        <v>1421000</v>
      </c>
      <c r="U225" s="241">
        <f>ECON_ASSUMPT!E$4+(ECON_OUTPUT!G225*ECON_ASSUMPT!E$5)+(ECON_OUTPUT!BJ225*ECON_ASSUMPT!E$6)+(ECON_OUTPUT!BK225*ECON_ASSUMPT!E$7)+(ECON_OUTPUT!BL225*ECON_ASSUMPT!E$8)+(ECON_OUTPUT!BM225*ECON_ASSUMPT!E$9)+(ECON_OUTPUT!BN225*ECON_ASSUMPT!E$10)</f>
        <v>2841784.456656171</v>
      </c>
      <c r="V225" s="241">
        <f>ECON_OUTPUT!Q225-U225</f>
        <v>1479215.543343829</v>
      </c>
      <c r="W225" s="241">
        <f t="shared" si="25"/>
        <v>1479215.543343829</v>
      </c>
      <c r="Y225" s="241"/>
      <c r="Z225" s="265">
        <v>2590605.0409434498</v>
      </c>
      <c r="AA225" s="241">
        <f t="shared" si="27"/>
        <v>1421000</v>
      </c>
      <c r="AB225" s="241">
        <f t="shared" si="28"/>
        <v>1421000</v>
      </c>
    </row>
    <row r="226" spans="10:28" x14ac:dyDescent="0.25">
      <c r="J226" s="241">
        <f>ECON_OUTPUT!G226</f>
        <v>5280000</v>
      </c>
      <c r="K226" s="241">
        <f>ECON_OUTPUT!Q226</f>
        <v>5154000</v>
      </c>
      <c r="L226" s="241">
        <f t="shared" si="22"/>
        <v>-126000</v>
      </c>
      <c r="M226" s="241">
        <f t="shared" si="23"/>
        <v>126000</v>
      </c>
      <c r="O226" s="244">
        <f>IF(ECON_OUTPUT!BG226=5,ECON_OUTPUT!G226*(ECON_ASSUMPT!G$13),0)</f>
        <v>0</v>
      </c>
      <c r="P226" s="244">
        <f>IF(ECON_OUTPUT!BE226="Other",ECON_OUTPUT!G226*ECON_ASSUMPT!G$14,0)</f>
        <v>0</v>
      </c>
      <c r="Q226" s="241">
        <f>ECON_OUTPUT!G226+O226+P226</f>
        <v>5280000</v>
      </c>
      <c r="R226" s="241">
        <f t="shared" si="26"/>
        <v>-126000</v>
      </c>
      <c r="S226" s="241">
        <f t="shared" si="24"/>
        <v>126000</v>
      </c>
      <c r="U226" s="241">
        <f>ECON_ASSUMPT!E$4+(ECON_OUTPUT!G226*ECON_ASSUMPT!E$5)+(ECON_OUTPUT!BJ226*ECON_ASSUMPT!E$6)+(ECON_OUTPUT!BK226*ECON_ASSUMPT!E$7)+(ECON_OUTPUT!BL226*ECON_ASSUMPT!E$8)+(ECON_OUTPUT!BM226*ECON_ASSUMPT!E$9)+(ECON_OUTPUT!BN226*ECON_ASSUMPT!E$10)</f>
        <v>5005091.2966671614</v>
      </c>
      <c r="V226" s="241">
        <f>ECON_OUTPUT!Q226-U226</f>
        <v>148908.7033328386</v>
      </c>
      <c r="W226" s="241">
        <f t="shared" si="25"/>
        <v>148908.7033328386</v>
      </c>
      <c r="Y226" s="241"/>
      <c r="Z226" s="265">
        <v>3993628.17172979</v>
      </c>
      <c r="AA226" s="241">
        <f t="shared" si="27"/>
        <v>-126000</v>
      </c>
      <c r="AB226" s="241">
        <f t="shared" si="28"/>
        <v>126000</v>
      </c>
    </row>
    <row r="227" spans="10:28" x14ac:dyDescent="0.25">
      <c r="J227" s="241">
        <f>ECON_OUTPUT!G227</f>
        <v>400000</v>
      </c>
      <c r="K227" s="241">
        <f>ECON_OUTPUT!Q227</f>
        <v>508925</v>
      </c>
      <c r="L227" s="241">
        <f t="shared" si="22"/>
        <v>108925</v>
      </c>
      <c r="M227" s="241">
        <f t="shared" si="23"/>
        <v>108925</v>
      </c>
      <c r="O227" s="244">
        <f>IF(ECON_OUTPUT!BG227=5,ECON_OUTPUT!G227*(ECON_ASSUMPT!G$13),0)</f>
        <v>0</v>
      </c>
      <c r="P227" s="244">
        <f>IF(ECON_OUTPUT!BE227="Other",ECON_OUTPUT!G227*ECON_ASSUMPT!G$14,0)</f>
        <v>23284.805581680281</v>
      </c>
      <c r="Q227" s="241">
        <f>ECON_OUTPUT!G227+O227+P227</f>
        <v>423284.80558168027</v>
      </c>
      <c r="R227" s="241">
        <f t="shared" si="26"/>
        <v>85640.194418319734</v>
      </c>
      <c r="S227" s="241">
        <f t="shared" si="24"/>
        <v>85640.194418319734</v>
      </c>
      <c r="U227" s="241">
        <f>ECON_ASSUMPT!E$4+(ECON_OUTPUT!G227*ECON_ASSUMPT!E$5)+(ECON_OUTPUT!BJ227*ECON_ASSUMPT!E$6)+(ECON_OUTPUT!BK227*ECON_ASSUMPT!E$7)+(ECON_OUTPUT!BL227*ECON_ASSUMPT!E$8)+(ECON_OUTPUT!BM227*ECON_ASSUMPT!E$9)+(ECON_OUTPUT!BN227*ECON_ASSUMPT!E$10)</f>
        <v>1213404.3216752135</v>
      </c>
      <c r="V227" s="241">
        <f>ECON_OUTPUT!Q227-U227</f>
        <v>-704479.32167521352</v>
      </c>
      <c r="W227" s="241">
        <f t="shared" si="25"/>
        <v>704479.32167521352</v>
      </c>
      <c r="Y227" s="241"/>
      <c r="Z227" s="265">
        <v>1107117.1581810799</v>
      </c>
      <c r="AA227" s="241">
        <f t="shared" si="27"/>
        <v>85640.194418319734</v>
      </c>
      <c r="AB227" s="241">
        <f t="shared" si="28"/>
        <v>85640.194418319734</v>
      </c>
    </row>
    <row r="228" spans="10:28" x14ac:dyDescent="0.25">
      <c r="J228" s="241">
        <f>ECON_OUTPUT!G228</f>
        <v>2060000</v>
      </c>
      <c r="K228" s="241">
        <f>ECON_OUTPUT!Q228</f>
        <v>2899873</v>
      </c>
      <c r="L228" s="241">
        <f t="shared" si="22"/>
        <v>839873</v>
      </c>
      <c r="M228" s="241">
        <f t="shared" si="23"/>
        <v>839873</v>
      </c>
      <c r="O228" s="244">
        <f>IF(ECON_OUTPUT!BG228=5,ECON_OUTPUT!G228*(ECON_ASSUMPT!G$13),0)</f>
        <v>0</v>
      </c>
      <c r="P228" s="244">
        <f>IF(ECON_OUTPUT!BE228="Other",ECON_OUTPUT!G228*ECON_ASSUMPT!G$14,0)</f>
        <v>119916.74874565346</v>
      </c>
      <c r="Q228" s="241">
        <f>ECON_OUTPUT!G228+O228+P228</f>
        <v>2179916.7487456533</v>
      </c>
      <c r="R228" s="241">
        <f t="shared" si="26"/>
        <v>719956.25125434669</v>
      </c>
      <c r="S228" s="241">
        <f t="shared" si="24"/>
        <v>719956.25125434669</v>
      </c>
      <c r="U228" s="241">
        <f>ECON_ASSUMPT!E$4+(ECON_OUTPUT!G228*ECON_ASSUMPT!E$5)+(ECON_OUTPUT!BJ228*ECON_ASSUMPT!E$6)+(ECON_OUTPUT!BK228*ECON_ASSUMPT!E$7)+(ECON_OUTPUT!BL228*ECON_ASSUMPT!E$8)+(ECON_OUTPUT!BM228*ECON_ASSUMPT!E$9)+(ECON_OUTPUT!BN228*ECON_ASSUMPT!E$10)</f>
        <v>4030652.6079625017</v>
      </c>
      <c r="V228" s="241">
        <f>ECON_OUTPUT!Q228-U228</f>
        <v>-1130779.6079625017</v>
      </c>
      <c r="W228" s="241">
        <f t="shared" si="25"/>
        <v>1130779.6079625017</v>
      </c>
      <c r="Y228" s="241"/>
      <c r="Z228" s="265">
        <v>3332378.4787983499</v>
      </c>
      <c r="AA228" s="241">
        <f t="shared" si="27"/>
        <v>719956.25125434669</v>
      </c>
      <c r="AB228" s="241">
        <f t="shared" si="28"/>
        <v>719956.25125434669</v>
      </c>
    </row>
    <row r="229" spans="10:28" x14ac:dyDescent="0.25">
      <c r="J229" s="241">
        <f>ECON_OUTPUT!G229</f>
        <v>5660000</v>
      </c>
      <c r="K229" s="241">
        <f>ECON_OUTPUT!Q229</f>
        <v>4397206</v>
      </c>
      <c r="L229" s="241">
        <f t="shared" si="22"/>
        <v>-1262794</v>
      </c>
      <c r="M229" s="241">
        <f t="shared" si="23"/>
        <v>1262794</v>
      </c>
      <c r="O229" s="244">
        <f>IF(ECON_OUTPUT!BG229=5,ECON_OUTPUT!G229*(ECON_ASSUMPT!G$13),0)</f>
        <v>0</v>
      </c>
      <c r="P229" s="244">
        <f>IF(ECON_OUTPUT!BE229="Other",ECON_OUTPUT!G229*ECON_ASSUMPT!G$14,0)</f>
        <v>0</v>
      </c>
      <c r="Q229" s="241">
        <f>ECON_OUTPUT!G229+O229+P229</f>
        <v>5660000</v>
      </c>
      <c r="R229" s="241">
        <f t="shared" si="26"/>
        <v>-1262794</v>
      </c>
      <c r="S229" s="241">
        <f t="shared" si="24"/>
        <v>1262794</v>
      </c>
      <c r="U229" s="241">
        <f>ECON_ASSUMPT!E$4+(ECON_OUTPUT!G229*ECON_ASSUMPT!E$5)+(ECON_OUTPUT!BJ229*ECON_ASSUMPT!E$6)+(ECON_OUTPUT!BK229*ECON_ASSUMPT!E$7)+(ECON_OUTPUT!BL229*ECON_ASSUMPT!E$8)+(ECON_OUTPUT!BM229*ECON_ASSUMPT!E$9)+(ECON_OUTPUT!BN229*ECON_ASSUMPT!E$10)</f>
        <v>5243147.4364089342</v>
      </c>
      <c r="V229" s="241">
        <f>ECON_OUTPUT!Q229-U229</f>
        <v>-845941.43640893418</v>
      </c>
      <c r="W229" s="241">
        <f t="shared" si="25"/>
        <v>845941.43640893418</v>
      </c>
      <c r="Y229" s="241"/>
      <c r="Z229" s="265">
        <v>3987433.1265616901</v>
      </c>
      <c r="AA229" s="241">
        <f t="shared" si="27"/>
        <v>-1262794</v>
      </c>
      <c r="AB229" s="241">
        <f t="shared" si="28"/>
        <v>1262794</v>
      </c>
    </row>
    <row r="230" spans="10:28" x14ac:dyDescent="0.25">
      <c r="J230" s="241">
        <f>ECON_OUTPUT!G230</f>
        <v>249010000</v>
      </c>
      <c r="K230" s="241">
        <f>ECON_OUTPUT!Q230</f>
        <v>159511820</v>
      </c>
      <c r="L230" s="241">
        <f t="shared" si="22"/>
        <v>-89498180</v>
      </c>
      <c r="M230" s="241">
        <f t="shared" si="23"/>
        <v>89498180</v>
      </c>
      <c r="O230" s="244">
        <f>IF(ECON_OUTPUT!BG230=5,ECON_OUTPUT!G230*(ECON_ASSUMPT!G$13),0)</f>
        <v>7734323.9136033515</v>
      </c>
      <c r="P230" s="244">
        <f>IF(ECON_OUTPUT!BE230="Other",ECON_OUTPUT!G230*ECON_ASSUMPT!G$14,0)</f>
        <v>0</v>
      </c>
      <c r="Q230" s="241">
        <f>ECON_OUTPUT!G230+O230+P230</f>
        <v>256744323.91360337</v>
      </c>
      <c r="R230" s="241">
        <f t="shared" si="26"/>
        <v>-97232503.913603365</v>
      </c>
      <c r="S230" s="241">
        <f t="shared" si="24"/>
        <v>97232503.913603365</v>
      </c>
      <c r="U230" s="241">
        <f>ECON_ASSUMPT!E$4+(ECON_OUTPUT!G230*ECON_ASSUMPT!E$5)+(ECON_OUTPUT!BJ230*ECON_ASSUMPT!E$6)+(ECON_OUTPUT!BK230*ECON_ASSUMPT!E$7)+(ECON_OUTPUT!BL230*ECON_ASSUMPT!E$8)+(ECON_OUTPUT!BM230*ECON_ASSUMPT!E$9)+(ECON_OUTPUT!BN230*ECON_ASSUMPT!E$10)</f>
        <v>219446844.26092565</v>
      </c>
      <c r="V230" s="241">
        <f>ECON_OUTPUT!Q230-U230</f>
        <v>-59935024.260925651</v>
      </c>
      <c r="W230" s="241">
        <f t="shared" si="25"/>
        <v>59935024.260925651</v>
      </c>
      <c r="Y230" s="241"/>
      <c r="Z230" s="265">
        <v>215090867.617484</v>
      </c>
      <c r="AA230" s="241">
        <f t="shared" si="27"/>
        <v>-97232503.913603365</v>
      </c>
      <c r="AB230" s="241">
        <f t="shared" si="28"/>
        <v>97232503.913603365</v>
      </c>
    </row>
    <row r="231" spans="10:28" x14ac:dyDescent="0.25">
      <c r="J231" s="241">
        <f>ECON_OUTPUT!G231</f>
        <v>1755000</v>
      </c>
      <c r="K231" s="241">
        <f>ECON_OUTPUT!Q231</f>
        <v>1378680</v>
      </c>
      <c r="L231" s="241">
        <f t="shared" si="22"/>
        <v>-376320</v>
      </c>
      <c r="M231" s="241">
        <f t="shared" si="23"/>
        <v>376320</v>
      </c>
      <c r="O231" s="244">
        <f>IF(ECON_OUTPUT!BG231=5,ECON_OUTPUT!G231*(ECON_ASSUMPT!G$13),0)</f>
        <v>0</v>
      </c>
      <c r="P231" s="244">
        <f>IF(ECON_OUTPUT!BE231="Other",ECON_OUTPUT!G231*ECON_ASSUMPT!G$14,0)</f>
        <v>102162.08448962224</v>
      </c>
      <c r="Q231" s="241">
        <f>ECON_OUTPUT!G231+O231+P231</f>
        <v>1857162.0844896222</v>
      </c>
      <c r="R231" s="241">
        <f t="shared" si="26"/>
        <v>-478482.08448962215</v>
      </c>
      <c r="S231" s="241">
        <f t="shared" si="24"/>
        <v>478482.08448962215</v>
      </c>
      <c r="U231" s="241">
        <f>ECON_ASSUMPT!E$4+(ECON_OUTPUT!G231*ECON_ASSUMPT!E$5)+(ECON_OUTPUT!BJ231*ECON_ASSUMPT!E$6)+(ECON_OUTPUT!BK231*ECON_ASSUMPT!E$7)+(ECON_OUTPUT!BL231*ECON_ASSUMPT!E$8)+(ECON_OUTPUT!BM231*ECON_ASSUMPT!E$9)+(ECON_OUTPUT!BN231*ECON_ASSUMPT!E$10)</f>
        <v>2392334.3352857186</v>
      </c>
      <c r="V231" s="241">
        <f>ECON_OUTPUT!Q231-U231</f>
        <v>-1013654.3352857186</v>
      </c>
      <c r="W231" s="241">
        <f t="shared" si="25"/>
        <v>1013654.3352857186</v>
      </c>
      <c r="Y231" s="241"/>
      <c r="Z231" s="265">
        <v>220415.96702004</v>
      </c>
      <c r="AA231" s="241">
        <f t="shared" si="27"/>
        <v>-478482.08448962215</v>
      </c>
      <c r="AB231" s="241">
        <f t="shared" si="28"/>
        <v>478482.08448962215</v>
      </c>
    </row>
    <row r="232" spans="10:28" x14ac:dyDescent="0.25">
      <c r="J232" s="241">
        <f>ECON_OUTPUT!G232</f>
        <v>21500000</v>
      </c>
      <c r="K232" s="241">
        <f>ECON_OUTPUT!Q232</f>
        <v>23950000</v>
      </c>
      <c r="L232" s="241">
        <f t="shared" si="22"/>
        <v>2450000</v>
      </c>
      <c r="M232" s="241">
        <f t="shared" si="23"/>
        <v>2450000</v>
      </c>
      <c r="O232" s="244">
        <f>IF(ECON_OUTPUT!BG232=5,ECON_OUTPUT!G232*(ECON_ASSUMPT!G$13),0)</f>
        <v>667796.33003683412</v>
      </c>
      <c r="P232" s="244">
        <f>IF(ECON_OUTPUT!BE232="Other",ECON_OUTPUT!G232*ECON_ASSUMPT!G$14,0)</f>
        <v>0</v>
      </c>
      <c r="Q232" s="241">
        <f>ECON_OUTPUT!G232+O232+P232</f>
        <v>22167796.330036834</v>
      </c>
      <c r="R232" s="241">
        <f t="shared" si="26"/>
        <v>1782203.6699631661</v>
      </c>
      <c r="S232" s="241">
        <f t="shared" si="24"/>
        <v>1782203.6699631661</v>
      </c>
      <c r="U232" s="241">
        <f>ECON_ASSUMPT!E$4+(ECON_OUTPUT!G232*ECON_ASSUMPT!E$5)+(ECON_OUTPUT!BJ232*ECON_ASSUMPT!E$6)+(ECON_OUTPUT!BK232*ECON_ASSUMPT!E$7)+(ECON_OUTPUT!BL232*ECON_ASSUMPT!E$8)+(ECON_OUTPUT!BM232*ECON_ASSUMPT!E$9)+(ECON_OUTPUT!BN232*ECON_ASSUMPT!E$10)</f>
        <v>21499709.650943387</v>
      </c>
      <c r="V232" s="241">
        <f>ECON_OUTPUT!Q232-U232</f>
        <v>2450290.3490566127</v>
      </c>
      <c r="W232" s="241">
        <f t="shared" si="25"/>
        <v>2450290.3490566127</v>
      </c>
      <c r="Y232" s="241"/>
      <c r="Z232" s="265">
        <v>21104534.728783298</v>
      </c>
      <c r="AA232" s="241">
        <f t="shared" si="27"/>
        <v>1782203.6699631661</v>
      </c>
      <c r="AB232" s="241">
        <f t="shared" si="28"/>
        <v>1782203.6699631661</v>
      </c>
    </row>
    <row r="233" spans="10:28" x14ac:dyDescent="0.25">
      <c r="J233" s="241">
        <f>ECON_OUTPUT!G233</f>
        <v>194071979</v>
      </c>
      <c r="K233" s="241">
        <f>ECON_OUTPUT!Q233</f>
        <v>172579500</v>
      </c>
      <c r="L233" s="241">
        <f t="shared" si="22"/>
        <v>-21492479</v>
      </c>
      <c r="M233" s="241">
        <f t="shared" si="23"/>
        <v>21492479</v>
      </c>
      <c r="O233" s="244">
        <f>IF(ECON_OUTPUT!BG233=5,ECON_OUTPUT!G233*(ECON_ASSUMPT!G$13),0)</f>
        <v>6027932.806473746</v>
      </c>
      <c r="P233" s="244">
        <f>IF(ECON_OUTPUT!BE233="Other",ECON_OUTPUT!G233*ECON_ASSUMPT!G$14,0)</f>
        <v>0</v>
      </c>
      <c r="Q233" s="241">
        <f>ECON_OUTPUT!G233+O233+P233</f>
        <v>200099911.80647373</v>
      </c>
      <c r="R233" s="241">
        <f t="shared" si="26"/>
        <v>-27520411.806473732</v>
      </c>
      <c r="S233" s="241">
        <f t="shared" si="24"/>
        <v>27520411.806473732</v>
      </c>
      <c r="U233" s="241">
        <f>ECON_ASSUMPT!E$4+(ECON_OUTPUT!G233*ECON_ASSUMPT!E$5)+(ECON_OUTPUT!BJ233*ECON_ASSUMPT!E$6)+(ECON_OUTPUT!BK233*ECON_ASSUMPT!E$7)+(ECON_OUTPUT!BL233*ECON_ASSUMPT!E$8)+(ECON_OUTPUT!BM233*ECON_ASSUMPT!E$9)+(ECON_OUTPUT!BN233*ECON_ASSUMPT!E$10)</f>
        <v>171647521.86589673</v>
      </c>
      <c r="V233" s="241">
        <f>ECON_OUTPUT!Q233-U233</f>
        <v>931978.13410326838</v>
      </c>
      <c r="W233" s="241">
        <f t="shared" si="25"/>
        <v>931978.13410326838</v>
      </c>
      <c r="Y233" s="241"/>
      <c r="Z233" s="265">
        <v>168190140.25866801</v>
      </c>
      <c r="AA233" s="241">
        <f t="shared" si="27"/>
        <v>-27520411.806473732</v>
      </c>
      <c r="AB233" s="241">
        <f t="shared" si="28"/>
        <v>27520411.806473732</v>
      </c>
    </row>
    <row r="234" spans="10:28" x14ac:dyDescent="0.25">
      <c r="J234" s="241">
        <f>ECON_OUTPUT!G234</f>
        <v>1980000</v>
      </c>
      <c r="K234" s="241">
        <f>ECON_OUTPUT!Q234</f>
        <v>2568000</v>
      </c>
      <c r="L234" s="241">
        <f t="shared" si="22"/>
        <v>588000</v>
      </c>
      <c r="M234" s="241">
        <f t="shared" si="23"/>
        <v>588000</v>
      </c>
      <c r="O234" s="244">
        <f>IF(ECON_OUTPUT!BG234=5,ECON_OUTPUT!G234*(ECON_ASSUMPT!G$13),0)</f>
        <v>0</v>
      </c>
      <c r="P234" s="244">
        <f>IF(ECON_OUTPUT!BE234="Other",ECON_OUTPUT!G234*ECON_ASSUMPT!G$14,0)</f>
        <v>0</v>
      </c>
      <c r="Q234" s="241">
        <f>ECON_OUTPUT!G234+O234+P234</f>
        <v>1980000</v>
      </c>
      <c r="R234" s="241">
        <f t="shared" si="26"/>
        <v>588000</v>
      </c>
      <c r="S234" s="241">
        <f t="shared" si="24"/>
        <v>588000</v>
      </c>
      <c r="U234" s="241">
        <f>ECON_ASSUMPT!E$4+(ECON_OUTPUT!G234*ECON_ASSUMPT!E$5)+(ECON_OUTPUT!BJ234*ECON_ASSUMPT!E$6)+(ECON_OUTPUT!BK234*ECON_ASSUMPT!E$7)+(ECON_OUTPUT!BL234*ECON_ASSUMPT!E$8)+(ECON_OUTPUT!BM234*ECON_ASSUMPT!E$9)+(ECON_OUTPUT!BN234*ECON_ASSUMPT!E$10)</f>
        <v>2041330.1300719166</v>
      </c>
      <c r="V234" s="241">
        <f>ECON_OUTPUT!Q234-U234</f>
        <v>526669.86992808338</v>
      </c>
      <c r="W234" s="241">
        <f t="shared" si="25"/>
        <v>526669.86992808338</v>
      </c>
      <c r="Y234" s="241"/>
      <c r="Z234" s="265">
        <v>606624.67675624904</v>
      </c>
      <c r="AA234" s="241">
        <f t="shared" si="27"/>
        <v>588000</v>
      </c>
      <c r="AB234" s="241">
        <f t="shared" si="28"/>
        <v>588000</v>
      </c>
    </row>
    <row r="235" spans="10:28" x14ac:dyDescent="0.25">
      <c r="J235" s="241">
        <f>ECON_OUTPUT!G235</f>
        <v>55300000</v>
      </c>
      <c r="K235" s="241">
        <f>ECON_OUTPUT!Q235</f>
        <v>47275000</v>
      </c>
      <c r="L235" s="241">
        <f t="shared" si="22"/>
        <v>-8025000</v>
      </c>
      <c r="M235" s="241">
        <f t="shared" si="23"/>
        <v>8025000</v>
      </c>
      <c r="O235" s="244">
        <f>IF(ECON_OUTPUT!BG235=5,ECON_OUTPUT!G235*(ECON_ASSUMPT!G$13),0)</f>
        <v>1717634.281443578</v>
      </c>
      <c r="P235" s="244">
        <f>IF(ECON_OUTPUT!BE235="Other",ECON_OUTPUT!G235*ECON_ASSUMPT!G$14,0)</f>
        <v>0</v>
      </c>
      <c r="Q235" s="241">
        <f>ECON_OUTPUT!G235+O235+P235</f>
        <v>57017634.281443581</v>
      </c>
      <c r="R235" s="241">
        <f t="shared" si="26"/>
        <v>-9742634.281443581</v>
      </c>
      <c r="S235" s="241">
        <f t="shared" si="24"/>
        <v>9742634.281443581</v>
      </c>
      <c r="U235" s="241">
        <f>ECON_ASSUMPT!E$4+(ECON_OUTPUT!G235*ECON_ASSUMPT!E$5)+(ECON_OUTPUT!BJ235*ECON_ASSUMPT!E$6)+(ECON_OUTPUT!BK235*ECON_ASSUMPT!E$7)+(ECON_OUTPUT!BL235*ECON_ASSUMPT!E$8)+(ECON_OUTPUT!BM235*ECON_ASSUMPT!E$9)+(ECON_OUTPUT!BN235*ECON_ASSUMPT!E$10)</f>
        <v>50907705.56240838</v>
      </c>
      <c r="V235" s="241">
        <f>ECON_OUTPUT!Q235-U235</f>
        <v>-3632705.5624083802</v>
      </c>
      <c r="W235" s="241">
        <f t="shared" si="25"/>
        <v>3632705.5624083802</v>
      </c>
      <c r="Y235" s="241"/>
      <c r="Z235" s="265">
        <v>50438392.333735399</v>
      </c>
      <c r="AA235" s="241">
        <f t="shared" si="27"/>
        <v>-9742634.281443581</v>
      </c>
      <c r="AB235" s="241">
        <f t="shared" si="28"/>
        <v>9742634.281443581</v>
      </c>
    </row>
    <row r="236" spans="10:28" x14ac:dyDescent="0.25">
      <c r="J236" s="241">
        <f>ECON_OUTPUT!G236</f>
        <v>1260000</v>
      </c>
      <c r="K236" s="241">
        <f>ECON_OUTPUT!Q236</f>
        <v>1534777</v>
      </c>
      <c r="L236" s="241">
        <f t="shared" si="22"/>
        <v>274777</v>
      </c>
      <c r="M236" s="241">
        <f t="shared" si="23"/>
        <v>274777</v>
      </c>
      <c r="O236" s="244">
        <f>IF(ECON_OUTPUT!BG236=5,ECON_OUTPUT!G236*(ECON_ASSUMPT!G$13),0)</f>
        <v>0</v>
      </c>
      <c r="P236" s="244">
        <f>IF(ECON_OUTPUT!BE236="Other",ECON_OUTPUT!G236*ECON_ASSUMPT!G$14,0)</f>
        <v>73347.137582292882</v>
      </c>
      <c r="Q236" s="241">
        <f>ECON_OUTPUT!G236+O236+P236</f>
        <v>1333347.1375822928</v>
      </c>
      <c r="R236" s="241">
        <f t="shared" si="26"/>
        <v>201429.86241770722</v>
      </c>
      <c r="S236" s="241">
        <f t="shared" si="24"/>
        <v>201429.86241770722</v>
      </c>
      <c r="U236" s="241">
        <f>ECON_ASSUMPT!E$4+(ECON_OUTPUT!G236*ECON_ASSUMPT!E$5)+(ECON_OUTPUT!BJ236*ECON_ASSUMPT!E$6)+(ECON_OUTPUT!BK236*ECON_ASSUMPT!E$7)+(ECON_OUTPUT!BL236*ECON_ASSUMPT!E$8)+(ECON_OUTPUT!BM236*ECON_ASSUMPT!E$9)+(ECON_OUTPUT!BN236*ECON_ASSUMPT!E$10)</f>
        <v>2593021.8161186501</v>
      </c>
      <c r="V236" s="241">
        <f>ECON_OUTPUT!Q236-U236</f>
        <v>-1058244.8161186501</v>
      </c>
      <c r="W236" s="241">
        <f t="shared" si="25"/>
        <v>1058244.8161186501</v>
      </c>
      <c r="Y236" s="241"/>
      <c r="Z236" s="265">
        <v>1364964.9846322499</v>
      </c>
      <c r="AA236" s="241">
        <f t="shared" si="27"/>
        <v>201429.86241770722</v>
      </c>
      <c r="AB236" s="241">
        <f t="shared" si="28"/>
        <v>201429.86241770722</v>
      </c>
    </row>
    <row r="237" spans="10:28" x14ac:dyDescent="0.25">
      <c r="J237" s="241">
        <f>ECON_OUTPUT!G237</f>
        <v>1300000</v>
      </c>
      <c r="K237" s="241">
        <f>ECON_OUTPUT!Q237</f>
        <v>1047850</v>
      </c>
      <c r="L237" s="241">
        <f t="shared" si="22"/>
        <v>-252150</v>
      </c>
      <c r="M237" s="241">
        <f t="shared" si="23"/>
        <v>252150</v>
      </c>
      <c r="O237" s="244">
        <f>IF(ECON_OUTPUT!BG237=5,ECON_OUTPUT!G237*(ECON_ASSUMPT!G$13),0)</f>
        <v>0</v>
      </c>
      <c r="P237" s="244">
        <f>IF(ECON_OUTPUT!BE237="Other",ECON_OUTPUT!G237*ECON_ASSUMPT!G$14,0)</f>
        <v>0</v>
      </c>
      <c r="Q237" s="241">
        <f>ECON_OUTPUT!G237+O237+P237</f>
        <v>1300000</v>
      </c>
      <c r="R237" s="241">
        <f t="shared" si="26"/>
        <v>-252150</v>
      </c>
      <c r="S237" s="241">
        <f t="shared" si="24"/>
        <v>252150</v>
      </c>
      <c r="U237" s="241">
        <f>ECON_ASSUMPT!E$4+(ECON_OUTPUT!G237*ECON_ASSUMPT!E$5)+(ECON_OUTPUT!BJ237*ECON_ASSUMPT!E$6)+(ECON_OUTPUT!BK237*ECON_ASSUMPT!E$7)+(ECON_OUTPUT!BL237*ECON_ASSUMPT!E$8)+(ECON_OUTPUT!BM237*ECON_ASSUMPT!E$9)+(ECON_OUTPUT!BN237*ECON_ASSUMPT!E$10)</f>
        <v>76739.713406986557</v>
      </c>
      <c r="V237" s="241">
        <f>ECON_OUTPUT!Q237-U237</f>
        <v>971110.28659301344</v>
      </c>
      <c r="W237" s="241">
        <f t="shared" si="25"/>
        <v>971110.28659301344</v>
      </c>
      <c r="Y237" s="241"/>
      <c r="Z237" s="265">
        <v>-770790.527171163</v>
      </c>
      <c r="AA237" s="241">
        <f t="shared" si="27"/>
        <v>-252150</v>
      </c>
      <c r="AB237" s="241">
        <f t="shared" si="28"/>
        <v>252150</v>
      </c>
    </row>
    <row r="238" spans="10:28" x14ac:dyDescent="0.25">
      <c r="J238" s="241">
        <f>ECON_OUTPUT!G238</f>
        <v>2030000</v>
      </c>
      <c r="K238" s="241">
        <f>ECON_OUTPUT!Q238</f>
        <v>2397400</v>
      </c>
      <c r="L238" s="241">
        <f t="shared" si="22"/>
        <v>367400</v>
      </c>
      <c r="M238" s="241">
        <f t="shared" si="23"/>
        <v>367400</v>
      </c>
      <c r="O238" s="244">
        <f>IF(ECON_OUTPUT!BG238=5,ECON_OUTPUT!G238*(ECON_ASSUMPT!G$13),0)</f>
        <v>0</v>
      </c>
      <c r="P238" s="244">
        <f>IF(ECON_OUTPUT!BE238="Other",ECON_OUTPUT!G238*ECON_ASSUMPT!G$14,0)</f>
        <v>118170.38832702742</v>
      </c>
      <c r="Q238" s="241">
        <f>ECON_OUTPUT!G238+O238+P238</f>
        <v>2148170.3883270272</v>
      </c>
      <c r="R238" s="241">
        <f t="shared" si="26"/>
        <v>249229.61167297279</v>
      </c>
      <c r="S238" s="241">
        <f t="shared" si="24"/>
        <v>249229.61167297279</v>
      </c>
      <c r="U238" s="241">
        <f>ECON_ASSUMPT!E$4+(ECON_OUTPUT!G238*ECON_ASSUMPT!E$5)+(ECON_OUTPUT!BJ238*ECON_ASSUMPT!E$6)+(ECON_OUTPUT!BK238*ECON_ASSUMPT!E$7)+(ECON_OUTPUT!BL238*ECON_ASSUMPT!E$8)+(ECON_OUTPUT!BM238*ECON_ASSUMPT!E$9)+(ECON_OUTPUT!BN238*ECON_ASSUMPT!E$10)</f>
        <v>3262967.2851076457</v>
      </c>
      <c r="V238" s="241">
        <f>ECON_OUTPUT!Q238-U238</f>
        <v>-865567.28510764567</v>
      </c>
      <c r="W238" s="241">
        <f t="shared" si="25"/>
        <v>865567.28510764567</v>
      </c>
      <c r="Y238" s="241"/>
      <c r="Z238" s="265">
        <v>1783132.7801985401</v>
      </c>
      <c r="AA238" s="241">
        <f t="shared" si="27"/>
        <v>249229.61167297279</v>
      </c>
      <c r="AB238" s="241">
        <f t="shared" si="28"/>
        <v>249229.61167297279</v>
      </c>
    </row>
    <row r="239" spans="10:28" x14ac:dyDescent="0.25">
      <c r="J239" s="241">
        <f>ECON_OUTPUT!G239</f>
        <v>1360000</v>
      </c>
      <c r="K239" s="241">
        <f>ECON_OUTPUT!Q239</f>
        <v>2765000</v>
      </c>
      <c r="L239" s="241">
        <f t="shared" si="22"/>
        <v>1405000</v>
      </c>
      <c r="M239" s="241">
        <f t="shared" si="23"/>
        <v>1405000</v>
      </c>
      <c r="O239" s="244">
        <f>IF(ECON_OUTPUT!BG239=5,ECON_OUTPUT!G239*(ECON_ASSUMPT!G$13),0)</f>
        <v>0</v>
      </c>
      <c r="P239" s="244">
        <f>IF(ECON_OUTPUT!BE239="Other",ECON_OUTPUT!G239*ECON_ASSUMPT!G$14,0)</f>
        <v>79168.338977712963</v>
      </c>
      <c r="Q239" s="241">
        <f>ECON_OUTPUT!G239+O239+P239</f>
        <v>1439168.3389777129</v>
      </c>
      <c r="R239" s="241">
        <f t="shared" si="26"/>
        <v>1325831.6610222871</v>
      </c>
      <c r="S239" s="241">
        <f t="shared" si="24"/>
        <v>1325831.6610222871</v>
      </c>
      <c r="U239" s="241">
        <f>ECON_ASSUMPT!E$4+(ECON_OUTPUT!G239*ECON_ASSUMPT!E$5)+(ECON_OUTPUT!BJ239*ECON_ASSUMPT!E$6)+(ECON_OUTPUT!BK239*ECON_ASSUMPT!E$7)+(ECON_OUTPUT!BL239*ECON_ASSUMPT!E$8)+(ECON_OUTPUT!BM239*ECON_ASSUMPT!E$9)+(ECON_OUTPUT!BN239*ECON_ASSUMPT!E$10)</f>
        <v>3421611.2725179601</v>
      </c>
      <c r="V239" s="241">
        <f>ECON_OUTPUT!Q239-U239</f>
        <v>-656611.27251796005</v>
      </c>
      <c r="W239" s="241">
        <f t="shared" si="25"/>
        <v>656611.27251796005</v>
      </c>
      <c r="Y239" s="241"/>
      <c r="Z239" s="265">
        <v>2734786.7098635002</v>
      </c>
      <c r="AA239" s="241">
        <f t="shared" si="27"/>
        <v>1325831.6610222871</v>
      </c>
      <c r="AB239" s="241">
        <f t="shared" si="28"/>
        <v>1325831.6610222871</v>
      </c>
    </row>
    <row r="240" spans="10:28" x14ac:dyDescent="0.25">
      <c r="J240" s="241">
        <f>ECON_OUTPUT!G240</f>
        <v>3840000</v>
      </c>
      <c r="K240" s="241">
        <f>ECON_OUTPUT!Q240</f>
        <v>3424944</v>
      </c>
      <c r="L240" s="241">
        <f t="shared" si="22"/>
        <v>-415056</v>
      </c>
      <c r="M240" s="241">
        <f t="shared" si="23"/>
        <v>415056</v>
      </c>
      <c r="O240" s="244">
        <f>IF(ECON_OUTPUT!BG240=5,ECON_OUTPUT!G240*(ECON_ASSUMPT!G$13),0)</f>
        <v>0</v>
      </c>
      <c r="P240" s="244">
        <f>IF(ECON_OUTPUT!BE240="Other",ECON_OUTPUT!G240*ECON_ASSUMPT!G$14,0)</f>
        <v>0</v>
      </c>
      <c r="Q240" s="241">
        <f>ECON_OUTPUT!G240+O240+P240</f>
        <v>3840000</v>
      </c>
      <c r="R240" s="241">
        <f t="shared" si="26"/>
        <v>-415056</v>
      </c>
      <c r="S240" s="241">
        <f t="shared" si="24"/>
        <v>415056</v>
      </c>
      <c r="U240" s="241">
        <f>ECON_ASSUMPT!E$4+(ECON_OUTPUT!G240*ECON_ASSUMPT!E$5)+(ECON_OUTPUT!BJ240*ECON_ASSUMPT!E$6)+(ECON_OUTPUT!BK240*ECON_ASSUMPT!E$7)+(ECON_OUTPUT!BL240*ECON_ASSUMPT!E$8)+(ECON_OUTPUT!BM240*ECON_ASSUMPT!E$9)+(ECON_OUTPUT!BN240*ECON_ASSUMPT!E$10)</f>
        <v>3659639.9642531266</v>
      </c>
      <c r="V240" s="241">
        <f>ECON_OUTPUT!Q240-U240</f>
        <v>-234695.96425312664</v>
      </c>
      <c r="W240" s="241">
        <f t="shared" si="25"/>
        <v>234695.96425312664</v>
      </c>
      <c r="Y240" s="241"/>
      <c r="Z240" s="265">
        <v>2749096.7743825801</v>
      </c>
      <c r="AA240" s="241">
        <f t="shared" si="27"/>
        <v>-415056</v>
      </c>
      <c r="AB240" s="241">
        <f t="shared" si="28"/>
        <v>415056</v>
      </c>
    </row>
    <row r="243" spans="17:17" x14ac:dyDescent="0.25">
      <c r="Q243" s="241"/>
    </row>
  </sheetData>
  <mergeCells count="2">
    <mergeCell ref="B10:D11"/>
    <mergeCell ref="B12:D1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CF943-A321-8647-9F00-2D997EBC1D10}">
  <sheetPr>
    <tabColor theme="4" tint="0.79998168889431442"/>
  </sheetPr>
  <dimension ref="C3:M35"/>
  <sheetViews>
    <sheetView workbookViewId="0">
      <selection activeCell="E30" sqref="E30"/>
    </sheetView>
  </sheetViews>
  <sheetFormatPr defaultColWidth="10.85546875" defaultRowHeight="15.75" x14ac:dyDescent="0.25"/>
  <cols>
    <col min="1" max="3" width="3" style="234" customWidth="1"/>
    <col min="4" max="4" width="21.42578125" style="234" customWidth="1"/>
    <col min="5" max="5" width="12.7109375" style="234" bestFit="1" customWidth="1"/>
    <col min="6" max="6" width="12.42578125" style="234" customWidth="1"/>
    <col min="7" max="16384" width="10.85546875" style="234"/>
  </cols>
  <sheetData>
    <row r="3" spans="3:13" x14ac:dyDescent="0.25">
      <c r="D3" t="s">
        <v>1843</v>
      </c>
      <c r="E3" t="s">
        <v>1842</v>
      </c>
      <c r="F3" t="s">
        <v>1841</v>
      </c>
      <c r="G3" t="s">
        <v>1840</v>
      </c>
      <c r="H3" t="s">
        <v>1839</v>
      </c>
    </row>
    <row r="4" spans="3:13" x14ac:dyDescent="0.25">
      <c r="C4" s="234">
        <v>1</v>
      </c>
      <c r="D4" t="s">
        <v>1838</v>
      </c>
      <c r="E4">
        <v>-1054337.0524185901</v>
      </c>
      <c r="F4">
        <v>1268293.62768283</v>
      </c>
      <c r="G4">
        <v>-0.831303595165788</v>
      </c>
      <c r="H4">
        <v>0.40665690013947298</v>
      </c>
      <c r="J4">
        <v>-1054337.0524185901</v>
      </c>
      <c r="K4">
        <v>1268293.62768283</v>
      </c>
      <c r="L4">
        <v>-0.831303595165788</v>
      </c>
      <c r="M4">
        <v>0.40665690013947298</v>
      </c>
    </row>
    <row r="5" spans="3:13" x14ac:dyDescent="0.25">
      <c r="C5" s="234">
        <v>2</v>
      </c>
      <c r="D5" t="s">
        <v>1837</v>
      </c>
      <c r="E5">
        <v>0.87005905063505895</v>
      </c>
      <c r="F5">
        <v>1.33820074463246E-2</v>
      </c>
      <c r="G5">
        <v>65.017080144730201</v>
      </c>
      <c r="H5">
        <v>6.4982170408499702E-151</v>
      </c>
      <c r="J5">
        <v>0.87005905063505895</v>
      </c>
      <c r="K5">
        <v>1.33820074463246E-2</v>
      </c>
      <c r="L5">
        <v>65.017080144730201</v>
      </c>
      <c r="M5">
        <v>6.4982170408499702E-151</v>
      </c>
    </row>
    <row r="6" spans="3:13" x14ac:dyDescent="0.25">
      <c r="C6" s="234">
        <v>3</v>
      </c>
      <c r="D6" t="s">
        <v>1836</v>
      </c>
      <c r="E6">
        <v>631366.71089728596</v>
      </c>
      <c r="F6">
        <v>1582909.92419148</v>
      </c>
      <c r="G6">
        <v>0.39886458556368998</v>
      </c>
      <c r="H6">
        <v>0.69035986288115403</v>
      </c>
      <c r="J6">
        <v>631366.71089728596</v>
      </c>
      <c r="K6">
        <v>1582909.92419148</v>
      </c>
      <c r="L6">
        <v>0.39886458556368998</v>
      </c>
      <c r="M6">
        <v>0.69035986288115403</v>
      </c>
    </row>
    <row r="7" spans="3:13" x14ac:dyDescent="0.25">
      <c r="C7" s="234">
        <v>4</v>
      </c>
      <c r="D7" t="s">
        <v>1835</v>
      </c>
      <c r="E7">
        <v>1372950.2622330899</v>
      </c>
      <c r="F7">
        <v>1600797.1629313801</v>
      </c>
      <c r="G7">
        <v>0.85766660138186801</v>
      </c>
      <c r="H7">
        <v>0.39196172126586398</v>
      </c>
      <c r="J7">
        <v>1372950.2622330899</v>
      </c>
      <c r="K7">
        <v>1600797.1629313801</v>
      </c>
      <c r="L7">
        <v>0.85766660138186801</v>
      </c>
      <c r="M7">
        <v>0.39196172126586398</v>
      </c>
    </row>
    <row r="8" spans="3:13" x14ac:dyDescent="0.25">
      <c r="C8" s="234">
        <v>5</v>
      </c>
      <c r="D8" t="s">
        <v>1834</v>
      </c>
      <c r="E8">
        <v>1465516.56173264</v>
      </c>
      <c r="F8">
        <v>1607110.1617872601</v>
      </c>
      <c r="G8">
        <v>0.91189552314375399</v>
      </c>
      <c r="H8">
        <v>0.36277028044776699</v>
      </c>
      <c r="J8">
        <v>1465516.56173264</v>
      </c>
      <c r="K8">
        <v>1607110.1617872601</v>
      </c>
      <c r="L8">
        <v>0.91189552314375399</v>
      </c>
      <c r="M8">
        <v>0.36277028044776699</v>
      </c>
    </row>
    <row r="9" spans="3:13" x14ac:dyDescent="0.25">
      <c r="C9" s="234">
        <v>6</v>
      </c>
      <c r="D9" t="s">
        <v>1833</v>
      </c>
      <c r="E9">
        <v>3847777.1147082099</v>
      </c>
      <c r="F9">
        <v>1822672.1334699099</v>
      </c>
      <c r="G9">
        <v>2.1110637750208001</v>
      </c>
      <c r="H9">
        <v>3.5837126890305299E-2</v>
      </c>
      <c r="J9">
        <v>3847777.1147082099</v>
      </c>
      <c r="K9">
        <v>1822672.1334699099</v>
      </c>
      <c r="L9">
        <v>2.1110637750208001</v>
      </c>
      <c r="M9">
        <v>3.5837126890305299E-2</v>
      </c>
    </row>
    <row r="10" spans="3:13" x14ac:dyDescent="0.25">
      <c r="C10" s="234">
        <v>7</v>
      </c>
      <c r="D10" t="s">
        <v>1859</v>
      </c>
      <c r="E10">
        <f>1919717.75383978</f>
        <v>1919717.7538397801</v>
      </c>
      <c r="F10">
        <v>1039037.28021718</v>
      </c>
      <c r="G10">
        <v>1.8475927576328299</v>
      </c>
      <c r="H10">
        <v>6.5934318437038106E-2</v>
      </c>
      <c r="J10">
        <v>1919717.7538397801</v>
      </c>
      <c r="K10">
        <v>1039037.28021718</v>
      </c>
      <c r="L10">
        <v>1.8475927576328299</v>
      </c>
      <c r="M10">
        <v>6.5934318437038106E-2</v>
      </c>
    </row>
    <row r="13" spans="3:13" x14ac:dyDescent="0.25">
      <c r="D13" s="234" t="s">
        <v>1832</v>
      </c>
      <c r="E13" s="234">
        <v>5</v>
      </c>
      <c r="F13" s="237">
        <f>AVERAGEIF(ECON_OUTPUT!BG:BG,ECON_ASSUMPT!E13,ECON_OUTPUT!Q:Q)</f>
        <v>61940448.191489361</v>
      </c>
      <c r="G13" s="236">
        <f>E9/F13*G18</f>
        <v>3.1060294420317866E-2</v>
      </c>
    </row>
    <row r="14" spans="3:13" x14ac:dyDescent="0.25">
      <c r="D14" s="234" t="s">
        <v>1774</v>
      </c>
      <c r="E14" s="234" t="s">
        <v>1753</v>
      </c>
      <c r="F14" s="237">
        <f>AVERAGEIF(ECON_OUTPUT!BE:BE,ECON_ASSUMPT!E14,ECON_OUTPUT!Q:Q)</f>
        <v>16489016.81489796</v>
      </c>
      <c r="G14" s="236">
        <f>E10/F14*G19</f>
        <v>5.8212013954200705E-2</v>
      </c>
    </row>
    <row r="18" spans="4:8" x14ac:dyDescent="0.25">
      <c r="G18" s="234">
        <v>0.5</v>
      </c>
    </row>
    <row r="19" spans="4:8" x14ac:dyDescent="0.25">
      <c r="G19" s="234">
        <v>0.5</v>
      </c>
    </row>
    <row r="24" spans="4:8" x14ac:dyDescent="0.25">
      <c r="D24" t="s">
        <v>1843</v>
      </c>
      <c r="E24" t="s">
        <v>1842</v>
      </c>
      <c r="F24" t="s">
        <v>1841</v>
      </c>
      <c r="G24" t="s">
        <v>1840</v>
      </c>
      <c r="H24" t="s">
        <v>1839</v>
      </c>
    </row>
    <row r="25" spans="4:8" x14ac:dyDescent="0.25">
      <c r="D25" t="s">
        <v>1838</v>
      </c>
      <c r="E25">
        <v>590525.87115312798</v>
      </c>
      <c r="F25">
        <v>558576.81788700202</v>
      </c>
      <c r="G25">
        <v>1.05719724170972</v>
      </c>
      <c r="H25">
        <v>0.29150253195010001</v>
      </c>
    </row>
    <row r="26" spans="4:8" x14ac:dyDescent="0.25">
      <c r="D26" t="s">
        <v>1837</v>
      </c>
      <c r="E26">
        <v>0.870823466781251</v>
      </c>
      <c r="F26">
        <v>1.3351661477067799E-2</v>
      </c>
      <c r="G26">
        <v>65.222104999960905</v>
      </c>
      <c r="H26">
        <v>5.8354539220753898E-153</v>
      </c>
    </row>
    <row r="27" spans="4:8" x14ac:dyDescent="0.25">
      <c r="D27" t="s">
        <v>1833</v>
      </c>
      <c r="E27">
        <v>2968567.7200390399</v>
      </c>
      <c r="F27">
        <v>1517427.01158426</v>
      </c>
      <c r="G27">
        <v>1.95631664480504</v>
      </c>
      <c r="H27">
        <v>5.1607421157588797E-2</v>
      </c>
    </row>
    <row r="32" spans="4:8" x14ac:dyDescent="0.25">
      <c r="D32" t="s">
        <v>1843</v>
      </c>
      <c r="E32" t="s">
        <v>1842</v>
      </c>
      <c r="F32" t="s">
        <v>1841</v>
      </c>
      <c r="G32" t="s">
        <v>1840</v>
      </c>
      <c r="H32" t="s">
        <v>1839</v>
      </c>
    </row>
    <row r="33" spans="4:8" x14ac:dyDescent="0.25">
      <c r="D33" t="s">
        <v>1838</v>
      </c>
      <c r="E33">
        <v>244499.37540811201</v>
      </c>
      <c r="F33">
        <v>673039.45265954104</v>
      </c>
      <c r="G33">
        <v>0.36327643861286801</v>
      </c>
      <c r="H33">
        <v>0.71672357402504605</v>
      </c>
    </row>
    <row r="34" spans="4:8" x14ac:dyDescent="0.25">
      <c r="D34" t="s">
        <v>1837</v>
      </c>
      <c r="E34">
        <v>0.88527041643756599</v>
      </c>
      <c r="F34">
        <v>1.1073439419558699E-2</v>
      </c>
      <c r="G34">
        <v>79.945388500878593</v>
      </c>
      <c r="H34">
        <v>6.4416023705386202E-173</v>
      </c>
    </row>
    <row r="35" spans="4:8" x14ac:dyDescent="0.25">
      <c r="D35" t="s">
        <v>1859</v>
      </c>
      <c r="E35">
        <v>1711217.9711177601</v>
      </c>
      <c r="F35">
        <v>1017025.8257831</v>
      </c>
      <c r="G35">
        <v>1.6825708135780599</v>
      </c>
      <c r="H35">
        <v>9.3780711007863005E-2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F8C9B-BB74-C543-A1C6-DCF508830CF4}">
  <sheetPr>
    <tabColor theme="4" tint="0.79998168889431442"/>
  </sheetPr>
  <dimension ref="A1:BN240"/>
  <sheetViews>
    <sheetView topLeftCell="AH1" workbookViewId="0">
      <selection activeCell="BF15" sqref="BF15"/>
    </sheetView>
  </sheetViews>
  <sheetFormatPr defaultColWidth="10.85546875" defaultRowHeight="15.75" x14ac:dyDescent="0.25"/>
  <cols>
    <col min="1" max="65" width="10.85546875" style="234"/>
    <col min="66" max="66" width="11.28515625" style="234" customWidth="1"/>
    <col min="67" max="16384" width="10.85546875" style="234"/>
  </cols>
  <sheetData>
    <row r="1" spans="1:66" x14ac:dyDescent="0.25">
      <c r="B1" s="234" t="s">
        <v>1831</v>
      </c>
      <c r="C1" s="234" t="s">
        <v>1830</v>
      </c>
      <c r="D1" s="234" t="s">
        <v>1829</v>
      </c>
      <c r="E1" s="234" t="s">
        <v>1828</v>
      </c>
      <c r="F1" s="234" t="s">
        <v>424</v>
      </c>
      <c r="G1" s="234" t="s">
        <v>1827</v>
      </c>
      <c r="H1" s="234" t="s">
        <v>1826</v>
      </c>
      <c r="I1" s="234" t="s">
        <v>60</v>
      </c>
      <c r="J1" s="234" t="s">
        <v>61</v>
      </c>
      <c r="K1" s="234" t="s">
        <v>1825</v>
      </c>
      <c r="L1" s="234" t="s">
        <v>225</v>
      </c>
      <c r="M1" s="234" t="s">
        <v>422</v>
      </c>
      <c r="N1" s="234" t="s">
        <v>454</v>
      </c>
      <c r="O1" s="234" t="s">
        <v>1280</v>
      </c>
      <c r="P1" s="234" t="s">
        <v>1824</v>
      </c>
      <c r="Q1" s="234" t="s">
        <v>1823</v>
      </c>
      <c r="R1" s="234" t="s">
        <v>1822</v>
      </c>
      <c r="S1" s="234" t="s">
        <v>1821</v>
      </c>
      <c r="T1" s="234" t="s">
        <v>1820</v>
      </c>
      <c r="U1" s="234" t="s">
        <v>1819</v>
      </c>
      <c r="V1" s="234" t="s">
        <v>1818</v>
      </c>
      <c r="W1" s="234" t="s">
        <v>1817</v>
      </c>
      <c r="X1" s="234" t="s">
        <v>1816</v>
      </c>
      <c r="Y1" s="234" t="s">
        <v>1815</v>
      </c>
      <c r="Z1" s="234" t="s">
        <v>1814</v>
      </c>
      <c r="AA1" s="234" t="s">
        <v>1813</v>
      </c>
      <c r="AB1" s="234" t="s">
        <v>1812</v>
      </c>
      <c r="AC1" s="234" t="s">
        <v>1811</v>
      </c>
      <c r="AD1" s="234" t="s">
        <v>1810</v>
      </c>
      <c r="AE1" s="234" t="s">
        <v>1809</v>
      </c>
      <c r="AF1" s="234" t="s">
        <v>1808</v>
      </c>
      <c r="AG1" s="234" t="s">
        <v>1807</v>
      </c>
      <c r="AH1" s="234" t="s">
        <v>1806</v>
      </c>
      <c r="AI1" s="234" t="s">
        <v>1805</v>
      </c>
      <c r="AJ1" s="234" t="s">
        <v>1804</v>
      </c>
      <c r="AK1" s="234" t="s">
        <v>1803</v>
      </c>
      <c r="AL1" s="234" t="s">
        <v>1802</v>
      </c>
      <c r="AM1" s="234" t="s">
        <v>1801</v>
      </c>
      <c r="AN1" s="234" t="s">
        <v>1800</v>
      </c>
      <c r="AO1" s="234" t="s">
        <v>1799</v>
      </c>
      <c r="AP1" s="234" t="s">
        <v>1798</v>
      </c>
      <c r="AQ1" s="234" t="s">
        <v>1797</v>
      </c>
      <c r="AR1" s="234" t="s">
        <v>1796</v>
      </c>
      <c r="AS1" s="234" t="s">
        <v>1795</v>
      </c>
      <c r="AT1" s="234" t="s">
        <v>1794</v>
      </c>
      <c r="AU1" s="234" t="s">
        <v>1793</v>
      </c>
      <c r="AV1" s="234" t="s">
        <v>1792</v>
      </c>
      <c r="AW1" s="234" t="s">
        <v>1791</v>
      </c>
      <c r="AX1" s="234" t="s">
        <v>1790</v>
      </c>
      <c r="AY1" s="234" t="s">
        <v>1789</v>
      </c>
      <c r="AZ1" s="234" t="s">
        <v>1788</v>
      </c>
      <c r="BA1" s="234" t="s">
        <v>1787</v>
      </c>
      <c r="BB1" s="234" t="s">
        <v>1786</v>
      </c>
      <c r="BC1" s="234" t="s">
        <v>1785</v>
      </c>
      <c r="BD1" s="234" t="s">
        <v>1784</v>
      </c>
      <c r="BE1" s="234" t="s">
        <v>1783</v>
      </c>
      <c r="BF1" s="234" t="s">
        <v>1782</v>
      </c>
      <c r="BG1" s="234" t="s">
        <v>1781</v>
      </c>
      <c r="BH1" s="234" t="s">
        <v>1780</v>
      </c>
      <c r="BI1" s="234" t="s">
        <v>1779</v>
      </c>
      <c r="BJ1" s="234" t="s">
        <v>1778</v>
      </c>
      <c r="BK1" s="234" t="s">
        <v>1777</v>
      </c>
      <c r="BL1" s="234" t="s">
        <v>1776</v>
      </c>
      <c r="BM1" s="234" t="s">
        <v>1775</v>
      </c>
      <c r="BN1" s="234" t="s">
        <v>1774</v>
      </c>
    </row>
    <row r="2" spans="1:66" x14ac:dyDescent="0.25">
      <c r="A2" s="234">
        <v>1</v>
      </c>
      <c r="B2" s="234" t="s">
        <v>1773</v>
      </c>
      <c r="C2" s="234" t="s">
        <v>414</v>
      </c>
      <c r="D2" s="234" t="s">
        <v>415</v>
      </c>
      <c r="E2" s="235">
        <v>42038</v>
      </c>
      <c r="F2" s="234" t="s">
        <v>1753</v>
      </c>
      <c r="G2" s="234">
        <v>25770000</v>
      </c>
      <c r="H2" s="234">
        <v>28747550</v>
      </c>
      <c r="I2" s="234">
        <v>0.11554326700000001</v>
      </c>
      <c r="J2" s="234" t="s">
        <v>465</v>
      </c>
      <c r="K2" s="234">
        <v>3</v>
      </c>
      <c r="L2" s="234" t="s">
        <v>93</v>
      </c>
      <c r="M2" s="234">
        <v>1</v>
      </c>
      <c r="N2" s="234" t="s">
        <v>458</v>
      </c>
      <c r="O2" s="234" t="s">
        <v>1751</v>
      </c>
      <c r="P2" s="234" t="s">
        <v>1755</v>
      </c>
      <c r="Q2" s="234">
        <v>29484532</v>
      </c>
      <c r="R2" s="234">
        <v>259.31200000000001</v>
      </c>
      <c r="S2" s="234">
        <v>276.07350000000002</v>
      </c>
      <c r="T2" s="234">
        <v>331.66890000000001</v>
      </c>
      <c r="U2" s="234">
        <v>1666.4010000000001</v>
      </c>
      <c r="V2" s="234">
        <v>2149.1660000000002</v>
      </c>
      <c r="W2" s="234">
        <v>549.02200000000005</v>
      </c>
      <c r="X2" s="234">
        <v>1191.4760000000001</v>
      </c>
      <c r="Y2" s="234">
        <v>1190.153</v>
      </c>
      <c r="Z2" s="234">
        <v>339.2611</v>
      </c>
      <c r="AA2" s="234">
        <v>1410.922</v>
      </c>
      <c r="AB2" s="234">
        <v>189.2218</v>
      </c>
      <c r="AC2" s="234">
        <v>872.4502</v>
      </c>
      <c r="AD2" s="234">
        <v>321.43220000000002</v>
      </c>
      <c r="AE2" s="234">
        <v>400.93819999999999</v>
      </c>
      <c r="AF2" s="234">
        <v>31940.55</v>
      </c>
      <c r="AG2" s="234">
        <v>9182.4189999999999</v>
      </c>
      <c r="AH2" s="234">
        <v>59006.3</v>
      </c>
      <c r="AI2" s="234">
        <v>30193.99</v>
      </c>
      <c r="AJ2" s="234">
        <v>15904.98</v>
      </c>
      <c r="AK2" s="234">
        <v>30386.12</v>
      </c>
      <c r="AL2" s="234">
        <v>172889.8</v>
      </c>
      <c r="AM2" s="234">
        <v>19872.47</v>
      </c>
      <c r="AN2" s="234">
        <v>15694.17</v>
      </c>
      <c r="AO2" s="234">
        <v>54670.04</v>
      </c>
      <c r="AP2" s="234">
        <v>59213.5</v>
      </c>
      <c r="AQ2" s="234">
        <v>13251.22</v>
      </c>
      <c r="AR2" s="234">
        <v>22804.42</v>
      </c>
      <c r="AS2" s="234">
        <v>251601.9</v>
      </c>
      <c r="AT2" s="234">
        <v>245211.6</v>
      </c>
      <c r="AU2" s="234">
        <v>302741.90000000002</v>
      </c>
      <c r="AV2" s="234">
        <v>69862.11</v>
      </c>
      <c r="AW2" s="234">
        <v>73297.36</v>
      </c>
      <c r="AX2" s="234">
        <v>8739.02</v>
      </c>
      <c r="AY2" s="234">
        <v>2149.1660000000002</v>
      </c>
      <c r="AZ2" s="234">
        <v>361598.3</v>
      </c>
      <c r="BA2" s="234">
        <v>18358.810000000001</v>
      </c>
      <c r="BB2" s="234">
        <v>38139</v>
      </c>
      <c r="BC2" s="234">
        <v>43358</v>
      </c>
      <c r="BD2" s="234">
        <v>9962</v>
      </c>
      <c r="BE2" s="234" t="s">
        <v>1753</v>
      </c>
      <c r="BF2" s="234">
        <v>1.14414171517268</v>
      </c>
      <c r="BG2" s="234">
        <v>5</v>
      </c>
      <c r="BH2" s="234">
        <v>3714532</v>
      </c>
      <c r="BI2" s="234">
        <v>0</v>
      </c>
      <c r="BJ2" s="234">
        <v>0</v>
      </c>
      <c r="BK2" s="234">
        <v>0</v>
      </c>
      <c r="BL2" s="234">
        <v>0</v>
      </c>
      <c r="BM2" s="234">
        <v>1</v>
      </c>
      <c r="BN2" s="234">
        <f>IF(ECON_OUTPUT!BE2="Other",1,0)</f>
        <v>1</v>
      </c>
    </row>
    <row r="3" spans="1:66" x14ac:dyDescent="0.25">
      <c r="A3" s="234">
        <v>2</v>
      </c>
      <c r="B3" s="234" t="s">
        <v>1773</v>
      </c>
      <c r="C3" s="234" t="s">
        <v>410</v>
      </c>
      <c r="D3" s="234" t="s">
        <v>411</v>
      </c>
      <c r="E3" s="235">
        <v>42057</v>
      </c>
      <c r="F3" s="234" t="s">
        <v>1753</v>
      </c>
      <c r="G3" s="234">
        <v>9700000</v>
      </c>
      <c r="H3" s="234">
        <v>8742268</v>
      </c>
      <c r="I3" s="234">
        <v>-9.8735258000000006E-2</v>
      </c>
      <c r="J3" s="234" t="s">
        <v>464</v>
      </c>
      <c r="K3" s="234">
        <v>3</v>
      </c>
      <c r="L3" s="234" t="s">
        <v>93</v>
      </c>
      <c r="M3" s="234">
        <v>1</v>
      </c>
      <c r="N3" s="234" t="s">
        <v>458</v>
      </c>
      <c r="O3" s="234" t="s">
        <v>1751</v>
      </c>
      <c r="P3" s="234" t="s">
        <v>1755</v>
      </c>
      <c r="Q3" s="234">
        <v>9825550</v>
      </c>
      <c r="R3" s="234">
        <v>259.31200000000001</v>
      </c>
      <c r="S3" s="234">
        <v>276.07350000000002</v>
      </c>
      <c r="T3" s="234">
        <v>331.66890000000001</v>
      </c>
      <c r="U3" s="234">
        <v>1666.4010000000001</v>
      </c>
      <c r="V3" s="234">
        <v>2149.1660000000002</v>
      </c>
      <c r="W3" s="234">
        <v>549.02200000000005</v>
      </c>
      <c r="X3" s="234">
        <v>1191.4760000000001</v>
      </c>
      <c r="Y3" s="234">
        <v>1190.153</v>
      </c>
      <c r="Z3" s="234">
        <v>339.2611</v>
      </c>
      <c r="AA3" s="234">
        <v>1410.922</v>
      </c>
      <c r="AB3" s="234">
        <v>189.2218</v>
      </c>
      <c r="AC3" s="234">
        <v>872.4502</v>
      </c>
      <c r="AD3" s="234">
        <v>321.43220000000002</v>
      </c>
      <c r="AE3" s="234">
        <v>400.93819999999999</v>
      </c>
      <c r="AF3" s="234">
        <v>31940.55</v>
      </c>
      <c r="AG3" s="234">
        <v>9182.4189999999999</v>
      </c>
      <c r="AH3" s="234">
        <v>59006.3</v>
      </c>
      <c r="AI3" s="234">
        <v>30193.99</v>
      </c>
      <c r="AJ3" s="234">
        <v>15904.98</v>
      </c>
      <c r="AK3" s="234">
        <v>30386.12</v>
      </c>
      <c r="AL3" s="234">
        <v>172889.8</v>
      </c>
      <c r="AM3" s="234">
        <v>19872.47</v>
      </c>
      <c r="AN3" s="234">
        <v>15694.17</v>
      </c>
      <c r="AO3" s="234">
        <v>54670.04</v>
      </c>
      <c r="AP3" s="234">
        <v>59213.5</v>
      </c>
      <c r="AQ3" s="234">
        <v>13251.22</v>
      </c>
      <c r="AR3" s="234">
        <v>22804.42</v>
      </c>
      <c r="AS3" s="234">
        <v>251601.9</v>
      </c>
      <c r="AT3" s="234">
        <v>245211.6</v>
      </c>
      <c r="AU3" s="234">
        <v>302741.90000000002</v>
      </c>
      <c r="AV3" s="234">
        <v>69862.11</v>
      </c>
      <c r="AW3" s="234">
        <v>73297.36</v>
      </c>
      <c r="AX3" s="234">
        <v>8739.02</v>
      </c>
      <c r="AY3" s="234">
        <v>2149.1660000000002</v>
      </c>
      <c r="AZ3" s="234">
        <v>361598.3</v>
      </c>
      <c r="BA3" s="234">
        <v>18358.810000000001</v>
      </c>
      <c r="BB3" s="234">
        <v>38139</v>
      </c>
      <c r="BC3" s="234">
        <v>43358</v>
      </c>
      <c r="BD3" s="234">
        <v>9962</v>
      </c>
      <c r="BE3" s="234" t="s">
        <v>1753</v>
      </c>
      <c r="BF3" s="234">
        <v>1.0129432989690701</v>
      </c>
      <c r="BG3" s="234">
        <v>4</v>
      </c>
      <c r="BH3" s="234">
        <v>125550</v>
      </c>
      <c r="BI3" s="234">
        <v>0</v>
      </c>
      <c r="BJ3" s="234">
        <v>0</v>
      </c>
      <c r="BK3" s="234">
        <v>0</v>
      </c>
      <c r="BL3" s="234">
        <v>1</v>
      </c>
      <c r="BM3" s="234">
        <v>0</v>
      </c>
      <c r="BN3" s="234">
        <f>IF(ECON_OUTPUT!BE3="Other",1,0)</f>
        <v>1</v>
      </c>
    </row>
    <row r="4" spans="1:66" x14ac:dyDescent="0.25">
      <c r="A4" s="234">
        <v>3</v>
      </c>
      <c r="B4" s="234" t="s">
        <v>1773</v>
      </c>
      <c r="C4" s="234" t="s">
        <v>402</v>
      </c>
      <c r="D4" s="234" t="s">
        <v>403</v>
      </c>
      <c r="E4" s="235">
        <v>42060</v>
      </c>
      <c r="F4" s="234" t="s">
        <v>177</v>
      </c>
      <c r="G4" s="234">
        <v>640000</v>
      </c>
      <c r="H4" s="234">
        <v>574000</v>
      </c>
      <c r="I4" s="234">
        <v>-0.10312499999999999</v>
      </c>
      <c r="J4" s="234" t="s">
        <v>464</v>
      </c>
      <c r="K4" s="234">
        <v>4</v>
      </c>
      <c r="L4" s="234" t="s">
        <v>93</v>
      </c>
      <c r="M4" s="234">
        <v>1</v>
      </c>
      <c r="N4" s="234" t="s">
        <v>455</v>
      </c>
      <c r="O4" s="234" t="s">
        <v>1751</v>
      </c>
      <c r="P4" s="234" t="s">
        <v>1750</v>
      </c>
      <c r="Q4" s="234">
        <v>610750.86</v>
      </c>
      <c r="R4" s="234">
        <v>259.31200000000001</v>
      </c>
      <c r="S4" s="234">
        <v>276.07350000000002</v>
      </c>
      <c r="T4" s="234">
        <v>331.66890000000001</v>
      </c>
      <c r="U4" s="234">
        <v>1666.4010000000001</v>
      </c>
      <c r="V4" s="234">
        <v>2149.1660000000002</v>
      </c>
      <c r="W4" s="234">
        <v>549.02200000000005</v>
      </c>
      <c r="X4" s="234">
        <v>1191.4760000000001</v>
      </c>
      <c r="Y4" s="234">
        <v>1190.153</v>
      </c>
      <c r="Z4" s="234">
        <v>339.2611</v>
      </c>
      <c r="AA4" s="234">
        <v>1410.922</v>
      </c>
      <c r="AB4" s="234">
        <v>189.2218</v>
      </c>
      <c r="AC4" s="234">
        <v>872.4502</v>
      </c>
      <c r="AD4" s="234">
        <v>321.43220000000002</v>
      </c>
      <c r="AE4" s="234">
        <v>400.93819999999999</v>
      </c>
      <c r="AF4" s="234">
        <v>31940.55</v>
      </c>
      <c r="AG4" s="234">
        <v>9182.4189999999999</v>
      </c>
      <c r="AH4" s="234">
        <v>59006.3</v>
      </c>
      <c r="AI4" s="234">
        <v>30193.99</v>
      </c>
      <c r="AJ4" s="234">
        <v>15904.98</v>
      </c>
      <c r="AK4" s="234">
        <v>30386.12</v>
      </c>
      <c r="AL4" s="234">
        <v>172889.8</v>
      </c>
      <c r="AM4" s="234">
        <v>19872.47</v>
      </c>
      <c r="AN4" s="234">
        <v>15694.17</v>
      </c>
      <c r="AO4" s="234">
        <v>54670.04</v>
      </c>
      <c r="AP4" s="234">
        <v>59213.5</v>
      </c>
      <c r="AQ4" s="234">
        <v>13251.22</v>
      </c>
      <c r="AR4" s="234">
        <v>22804.42</v>
      </c>
      <c r="AS4" s="234">
        <v>251601.9</v>
      </c>
      <c r="AT4" s="234">
        <v>245211.6</v>
      </c>
      <c r="AU4" s="234">
        <v>302741.90000000002</v>
      </c>
      <c r="AV4" s="234">
        <v>69862.11</v>
      </c>
      <c r="AW4" s="234">
        <v>73297.36</v>
      </c>
      <c r="AX4" s="234">
        <v>8739.02</v>
      </c>
      <c r="AY4" s="234">
        <v>2149.1660000000002</v>
      </c>
      <c r="AZ4" s="234">
        <v>361598.3</v>
      </c>
      <c r="BA4" s="234">
        <v>18358.810000000001</v>
      </c>
      <c r="BB4" s="234">
        <v>38139</v>
      </c>
      <c r="BC4" s="234">
        <v>43358</v>
      </c>
      <c r="BD4" s="234">
        <v>9962</v>
      </c>
      <c r="BE4" s="234" t="s">
        <v>1753</v>
      </c>
      <c r="BF4" s="234">
        <v>0.95429821874999998</v>
      </c>
      <c r="BG4" s="234">
        <v>1</v>
      </c>
      <c r="BH4" s="234">
        <v>-29249.14</v>
      </c>
      <c r="BI4" s="234">
        <v>1</v>
      </c>
      <c r="BJ4" s="234">
        <v>0</v>
      </c>
      <c r="BK4" s="234">
        <v>0</v>
      </c>
      <c r="BL4" s="234">
        <v>0</v>
      </c>
      <c r="BM4" s="234">
        <v>0</v>
      </c>
      <c r="BN4" s="234">
        <f>IF(ECON_OUTPUT!BE4="Other",1,0)</f>
        <v>1</v>
      </c>
    </row>
    <row r="5" spans="1:66" x14ac:dyDescent="0.25">
      <c r="A5" s="234">
        <v>4</v>
      </c>
      <c r="B5" s="234" t="s">
        <v>1773</v>
      </c>
      <c r="C5" s="234" t="s">
        <v>388</v>
      </c>
      <c r="D5" s="234" t="s">
        <v>389</v>
      </c>
      <c r="E5" s="235">
        <v>42072</v>
      </c>
      <c r="F5" s="234" t="s">
        <v>34</v>
      </c>
      <c r="G5" s="234">
        <v>9600000</v>
      </c>
      <c r="H5" s="234">
        <v>6748000</v>
      </c>
      <c r="I5" s="234">
        <v>-0.297083333</v>
      </c>
      <c r="J5" s="234" t="s">
        <v>464</v>
      </c>
      <c r="K5" s="234">
        <v>12</v>
      </c>
      <c r="L5" s="234" t="s">
        <v>25</v>
      </c>
      <c r="M5" s="234">
        <v>1</v>
      </c>
      <c r="N5" s="234" t="s">
        <v>492</v>
      </c>
      <c r="O5" s="234" t="s">
        <v>1751</v>
      </c>
      <c r="P5" s="234" t="s">
        <v>1750</v>
      </c>
      <c r="Q5" s="234">
        <v>7064400</v>
      </c>
      <c r="R5" s="234">
        <v>259.31200000000001</v>
      </c>
      <c r="S5" s="234">
        <v>276.07350000000002</v>
      </c>
      <c r="T5" s="234">
        <v>331.66890000000001</v>
      </c>
      <c r="U5" s="234">
        <v>1666.4010000000001</v>
      </c>
      <c r="V5" s="234">
        <v>2149.1660000000002</v>
      </c>
      <c r="W5" s="234">
        <v>549.02200000000005</v>
      </c>
      <c r="X5" s="234">
        <v>1191.4760000000001</v>
      </c>
      <c r="Y5" s="234">
        <v>1190.153</v>
      </c>
      <c r="Z5" s="234">
        <v>339.2611</v>
      </c>
      <c r="AA5" s="234">
        <v>1410.922</v>
      </c>
      <c r="AB5" s="234">
        <v>189.2218</v>
      </c>
      <c r="AC5" s="234">
        <v>872.4502</v>
      </c>
      <c r="AD5" s="234">
        <v>321.43220000000002</v>
      </c>
      <c r="AE5" s="234">
        <v>400.93819999999999</v>
      </c>
      <c r="AF5" s="234">
        <v>31940.55</v>
      </c>
      <c r="AG5" s="234">
        <v>9182.4189999999999</v>
      </c>
      <c r="AH5" s="234">
        <v>59006.3</v>
      </c>
      <c r="AI5" s="234">
        <v>30193.99</v>
      </c>
      <c r="AJ5" s="234">
        <v>15904.98</v>
      </c>
      <c r="AK5" s="234">
        <v>30386.12</v>
      </c>
      <c r="AL5" s="234">
        <v>172889.8</v>
      </c>
      <c r="AM5" s="234">
        <v>19872.47</v>
      </c>
      <c r="AN5" s="234">
        <v>15694.17</v>
      </c>
      <c r="AO5" s="234">
        <v>54670.04</v>
      </c>
      <c r="AP5" s="234">
        <v>59213.5</v>
      </c>
      <c r="AQ5" s="234">
        <v>13251.22</v>
      </c>
      <c r="AR5" s="234">
        <v>22804.42</v>
      </c>
      <c r="AS5" s="234">
        <v>251601.9</v>
      </c>
      <c r="AT5" s="234">
        <v>245211.6</v>
      </c>
      <c r="AU5" s="234">
        <v>302741.90000000002</v>
      </c>
      <c r="AV5" s="234">
        <v>69862.11</v>
      </c>
      <c r="AW5" s="234">
        <v>73297.36</v>
      </c>
      <c r="AX5" s="234">
        <v>8739.02</v>
      </c>
      <c r="AY5" s="234">
        <v>2149.1660000000002</v>
      </c>
      <c r="AZ5" s="234">
        <v>361598.3</v>
      </c>
      <c r="BA5" s="234">
        <v>18358.810000000001</v>
      </c>
      <c r="BB5" s="234">
        <v>38139</v>
      </c>
      <c r="BC5" s="234">
        <v>43358</v>
      </c>
      <c r="BD5" s="234">
        <v>9962</v>
      </c>
      <c r="BE5" s="234" t="s">
        <v>34</v>
      </c>
      <c r="BF5" s="234">
        <v>0.73587499999999995</v>
      </c>
      <c r="BG5" s="234">
        <v>4</v>
      </c>
      <c r="BH5" s="234">
        <v>-2535600</v>
      </c>
      <c r="BI5" s="234">
        <v>0</v>
      </c>
      <c r="BJ5" s="234">
        <v>0</v>
      </c>
      <c r="BK5" s="234">
        <v>0</v>
      </c>
      <c r="BL5" s="234">
        <v>1</v>
      </c>
      <c r="BM5" s="234">
        <v>0</v>
      </c>
      <c r="BN5" s="234">
        <f>IF(ECON_OUTPUT!BE5="Other",1,0)</f>
        <v>0</v>
      </c>
    </row>
    <row r="6" spans="1:66" x14ac:dyDescent="0.25">
      <c r="A6" s="234">
        <v>5</v>
      </c>
      <c r="B6" s="234" t="s">
        <v>1773</v>
      </c>
      <c r="C6" s="234" t="s">
        <v>383</v>
      </c>
      <c r="D6" s="234" t="s">
        <v>384</v>
      </c>
      <c r="E6" s="235">
        <v>42080</v>
      </c>
      <c r="F6" s="234" t="s">
        <v>1753</v>
      </c>
      <c r="G6" s="234">
        <v>4450000</v>
      </c>
      <c r="H6" s="234">
        <v>3620000</v>
      </c>
      <c r="I6" s="234">
        <v>-0.18651685400000001</v>
      </c>
      <c r="J6" s="234" t="s">
        <v>464</v>
      </c>
      <c r="K6" s="234">
        <v>3</v>
      </c>
      <c r="L6" s="234" t="s">
        <v>25</v>
      </c>
      <c r="M6" s="234">
        <v>1</v>
      </c>
      <c r="N6" s="234" t="s">
        <v>459</v>
      </c>
      <c r="O6" s="234" t="s">
        <v>1751</v>
      </c>
      <c r="P6" s="234" t="s">
        <v>1754</v>
      </c>
      <c r="Q6" s="234">
        <v>4298317</v>
      </c>
      <c r="R6" s="234">
        <v>259.31200000000001</v>
      </c>
      <c r="S6" s="234">
        <v>276.07350000000002</v>
      </c>
      <c r="T6" s="234">
        <v>331.66890000000001</v>
      </c>
      <c r="U6" s="234">
        <v>1666.4010000000001</v>
      </c>
      <c r="V6" s="234">
        <v>2149.1660000000002</v>
      </c>
      <c r="W6" s="234">
        <v>549.02200000000005</v>
      </c>
      <c r="X6" s="234">
        <v>1191.4760000000001</v>
      </c>
      <c r="Y6" s="234">
        <v>1190.153</v>
      </c>
      <c r="Z6" s="234">
        <v>339.2611</v>
      </c>
      <c r="AA6" s="234">
        <v>1410.922</v>
      </c>
      <c r="AB6" s="234">
        <v>189.2218</v>
      </c>
      <c r="AC6" s="234">
        <v>872.4502</v>
      </c>
      <c r="AD6" s="234">
        <v>321.43220000000002</v>
      </c>
      <c r="AE6" s="234">
        <v>400.93819999999999</v>
      </c>
      <c r="AF6" s="234">
        <v>31940.55</v>
      </c>
      <c r="AG6" s="234">
        <v>9182.4189999999999</v>
      </c>
      <c r="AH6" s="234">
        <v>59006.3</v>
      </c>
      <c r="AI6" s="234">
        <v>30193.99</v>
      </c>
      <c r="AJ6" s="234">
        <v>15904.98</v>
      </c>
      <c r="AK6" s="234">
        <v>30386.12</v>
      </c>
      <c r="AL6" s="234">
        <v>172889.8</v>
      </c>
      <c r="AM6" s="234">
        <v>19872.47</v>
      </c>
      <c r="AN6" s="234">
        <v>15694.17</v>
      </c>
      <c r="AO6" s="234">
        <v>54670.04</v>
      </c>
      <c r="AP6" s="234">
        <v>59213.5</v>
      </c>
      <c r="AQ6" s="234">
        <v>13251.22</v>
      </c>
      <c r="AR6" s="234">
        <v>22804.42</v>
      </c>
      <c r="AS6" s="234">
        <v>251601.9</v>
      </c>
      <c r="AT6" s="234">
        <v>245211.6</v>
      </c>
      <c r="AU6" s="234">
        <v>302741.90000000002</v>
      </c>
      <c r="AV6" s="234">
        <v>69862.11</v>
      </c>
      <c r="AW6" s="234">
        <v>73297.36</v>
      </c>
      <c r="AX6" s="234">
        <v>8739.02</v>
      </c>
      <c r="AY6" s="234">
        <v>2149.1660000000002</v>
      </c>
      <c r="AZ6" s="234">
        <v>361598.3</v>
      </c>
      <c r="BA6" s="234">
        <v>18358.810000000001</v>
      </c>
      <c r="BB6" s="234">
        <v>38139</v>
      </c>
      <c r="BC6" s="234">
        <v>43358</v>
      </c>
      <c r="BD6" s="234">
        <v>9962</v>
      </c>
      <c r="BE6" s="234" t="s">
        <v>1753</v>
      </c>
      <c r="BF6" s="234">
        <v>0.96591393258427005</v>
      </c>
      <c r="BG6" s="234">
        <v>3</v>
      </c>
      <c r="BH6" s="234">
        <v>-151683</v>
      </c>
      <c r="BI6" s="234">
        <v>0</v>
      </c>
      <c r="BJ6" s="234">
        <v>0</v>
      </c>
      <c r="BK6" s="234">
        <v>1</v>
      </c>
      <c r="BL6" s="234">
        <v>0</v>
      </c>
      <c r="BM6" s="234">
        <v>0</v>
      </c>
      <c r="BN6" s="234">
        <f>IF(ECON_OUTPUT!BE6="Other",1,0)</f>
        <v>1</v>
      </c>
    </row>
    <row r="7" spans="1:66" x14ac:dyDescent="0.25">
      <c r="A7" s="234">
        <v>6</v>
      </c>
      <c r="B7" s="234" t="s">
        <v>1772</v>
      </c>
      <c r="C7" s="234" t="s">
        <v>372</v>
      </c>
      <c r="D7" s="234" t="s">
        <v>373</v>
      </c>
      <c r="E7" s="235">
        <v>42102</v>
      </c>
      <c r="F7" s="234" t="s">
        <v>177</v>
      </c>
      <c r="G7" s="234">
        <v>1300000</v>
      </c>
      <c r="H7" s="234">
        <v>878175</v>
      </c>
      <c r="I7" s="234">
        <v>-0.324480769</v>
      </c>
      <c r="J7" s="234" t="s">
        <v>464</v>
      </c>
      <c r="K7" s="234">
        <v>7</v>
      </c>
      <c r="L7" s="234" t="s">
        <v>25</v>
      </c>
      <c r="M7" s="234">
        <v>2</v>
      </c>
      <c r="N7" s="234" t="s">
        <v>492</v>
      </c>
      <c r="O7" s="234" t="s">
        <v>1751</v>
      </c>
      <c r="P7" s="234" t="s">
        <v>1755</v>
      </c>
      <c r="Q7" s="234">
        <v>1321680</v>
      </c>
      <c r="R7" s="234">
        <v>260.36</v>
      </c>
      <c r="S7" s="234">
        <v>274.63490000000002</v>
      </c>
      <c r="T7" s="234">
        <v>340.25490000000002</v>
      </c>
      <c r="U7" s="234">
        <v>1677.252</v>
      </c>
      <c r="V7" s="234">
        <v>2161.9259999999999</v>
      </c>
      <c r="W7" s="234">
        <v>549.87660000000005</v>
      </c>
      <c r="X7" s="234">
        <v>1194.7750000000001</v>
      </c>
      <c r="Y7" s="234">
        <v>1195.202</v>
      </c>
      <c r="Z7" s="234">
        <v>339.45850000000002</v>
      </c>
      <c r="AA7" s="234">
        <v>1422.1880000000001</v>
      </c>
      <c r="AB7" s="234">
        <v>189.8612</v>
      </c>
      <c r="AC7" s="234">
        <v>870.89530000000002</v>
      </c>
      <c r="AD7" s="234">
        <v>324.06630000000001</v>
      </c>
      <c r="AE7" s="234">
        <v>401.17790000000002</v>
      </c>
      <c r="AF7" s="234">
        <v>32623.61</v>
      </c>
      <c r="AG7" s="234">
        <v>9690.0830000000005</v>
      </c>
      <c r="AH7" s="234">
        <v>60937.42</v>
      </c>
      <c r="AI7" s="234">
        <v>30189.85</v>
      </c>
      <c r="AJ7" s="234">
        <v>16158.21</v>
      </c>
      <c r="AK7" s="234">
        <v>30592.22</v>
      </c>
      <c r="AL7" s="234">
        <v>174773</v>
      </c>
      <c r="AM7" s="234">
        <v>19995.72</v>
      </c>
      <c r="AN7" s="234">
        <v>15495.74</v>
      </c>
      <c r="AO7" s="234">
        <v>54499.78</v>
      </c>
      <c r="AP7" s="234">
        <v>59335.79</v>
      </c>
      <c r="AQ7" s="234">
        <v>13618.77</v>
      </c>
      <c r="AR7" s="234">
        <v>23273.89</v>
      </c>
      <c r="AS7" s="234">
        <v>256008.6</v>
      </c>
      <c r="AT7" s="234">
        <v>248296.5</v>
      </c>
      <c r="AU7" s="234">
        <v>308350.7</v>
      </c>
      <c r="AV7" s="234">
        <v>71230.83</v>
      </c>
      <c r="AW7" s="234">
        <v>74279.39</v>
      </c>
      <c r="AX7" s="234">
        <v>8779.643</v>
      </c>
      <c r="AY7" s="234">
        <v>2161.9259999999999</v>
      </c>
      <c r="AZ7" s="234">
        <v>365783.7</v>
      </c>
      <c r="BA7" s="234">
        <v>18371.72</v>
      </c>
      <c r="BB7" s="234">
        <v>54098</v>
      </c>
      <c r="BC7" s="234">
        <v>38139</v>
      </c>
      <c r="BD7" s="234">
        <v>9975</v>
      </c>
      <c r="BE7" s="234" t="s">
        <v>1753</v>
      </c>
      <c r="BF7" s="234">
        <v>1.0166769230769199</v>
      </c>
      <c r="BG7" s="234">
        <v>1</v>
      </c>
      <c r="BH7" s="234">
        <v>21680</v>
      </c>
      <c r="BI7" s="234">
        <v>1</v>
      </c>
      <c r="BJ7" s="234">
        <v>0</v>
      </c>
      <c r="BK7" s="234">
        <v>0</v>
      </c>
      <c r="BL7" s="234">
        <v>0</v>
      </c>
      <c r="BM7" s="234">
        <v>0</v>
      </c>
      <c r="BN7" s="234">
        <f>IF(ECON_OUTPUT!BE7="Other",1,0)</f>
        <v>1</v>
      </c>
    </row>
    <row r="8" spans="1:66" x14ac:dyDescent="0.25">
      <c r="A8" s="234">
        <v>7</v>
      </c>
      <c r="B8" s="234" t="s">
        <v>1772</v>
      </c>
      <c r="C8" s="234" t="s">
        <v>358</v>
      </c>
      <c r="D8" s="234" t="s">
        <v>359</v>
      </c>
      <c r="E8" s="235">
        <v>42103</v>
      </c>
      <c r="F8" s="234" t="s">
        <v>34</v>
      </c>
      <c r="G8" s="234">
        <v>1850000</v>
      </c>
      <c r="H8" s="234">
        <v>2137550</v>
      </c>
      <c r="I8" s="234">
        <v>0.15543243200000001</v>
      </c>
      <c r="J8" s="234" t="s">
        <v>465</v>
      </c>
      <c r="K8" s="234">
        <v>8</v>
      </c>
      <c r="L8" s="234" t="s">
        <v>93</v>
      </c>
      <c r="M8" s="234">
        <v>2</v>
      </c>
      <c r="N8" s="234" t="s">
        <v>458</v>
      </c>
      <c r="O8" s="234" t="s">
        <v>1751</v>
      </c>
      <c r="P8" s="234" t="s">
        <v>1754</v>
      </c>
      <c r="Q8" s="234">
        <v>2959000</v>
      </c>
      <c r="R8" s="234">
        <v>260.36</v>
      </c>
      <c r="S8" s="234">
        <v>274.63490000000002</v>
      </c>
      <c r="T8" s="234">
        <v>340.25490000000002</v>
      </c>
      <c r="U8" s="234">
        <v>1677.252</v>
      </c>
      <c r="V8" s="234">
        <v>2161.9259999999999</v>
      </c>
      <c r="W8" s="234">
        <v>549.87660000000005</v>
      </c>
      <c r="X8" s="234">
        <v>1194.7750000000001</v>
      </c>
      <c r="Y8" s="234">
        <v>1195.202</v>
      </c>
      <c r="Z8" s="234">
        <v>339.45850000000002</v>
      </c>
      <c r="AA8" s="234">
        <v>1422.1880000000001</v>
      </c>
      <c r="AB8" s="234">
        <v>189.8612</v>
      </c>
      <c r="AC8" s="234">
        <v>870.89530000000002</v>
      </c>
      <c r="AD8" s="234">
        <v>324.06630000000001</v>
      </c>
      <c r="AE8" s="234">
        <v>401.17790000000002</v>
      </c>
      <c r="AF8" s="234">
        <v>32623.61</v>
      </c>
      <c r="AG8" s="234">
        <v>9690.0830000000005</v>
      </c>
      <c r="AH8" s="234">
        <v>60937.42</v>
      </c>
      <c r="AI8" s="234">
        <v>30189.85</v>
      </c>
      <c r="AJ8" s="234">
        <v>16158.21</v>
      </c>
      <c r="AK8" s="234">
        <v>30592.22</v>
      </c>
      <c r="AL8" s="234">
        <v>174773</v>
      </c>
      <c r="AM8" s="234">
        <v>19995.72</v>
      </c>
      <c r="AN8" s="234">
        <v>15495.74</v>
      </c>
      <c r="AO8" s="234">
        <v>54499.78</v>
      </c>
      <c r="AP8" s="234">
        <v>59335.79</v>
      </c>
      <c r="AQ8" s="234">
        <v>13618.77</v>
      </c>
      <c r="AR8" s="234">
        <v>23273.89</v>
      </c>
      <c r="AS8" s="234">
        <v>256008.6</v>
      </c>
      <c r="AT8" s="234">
        <v>248296.5</v>
      </c>
      <c r="AU8" s="234">
        <v>308350.7</v>
      </c>
      <c r="AV8" s="234">
        <v>71230.83</v>
      </c>
      <c r="AW8" s="234">
        <v>74279.39</v>
      </c>
      <c r="AX8" s="234">
        <v>8779.643</v>
      </c>
      <c r="AY8" s="234">
        <v>2161.9259999999999</v>
      </c>
      <c r="AZ8" s="234">
        <v>365783.7</v>
      </c>
      <c r="BA8" s="234">
        <v>18371.72</v>
      </c>
      <c r="BB8" s="234">
        <v>54098</v>
      </c>
      <c r="BC8" s="234">
        <v>38139</v>
      </c>
      <c r="BD8" s="234">
        <v>9975</v>
      </c>
      <c r="BE8" s="234" t="s">
        <v>34</v>
      </c>
      <c r="BF8" s="234">
        <v>1.59945945945946</v>
      </c>
      <c r="BG8" s="234">
        <v>3</v>
      </c>
      <c r="BH8" s="234">
        <v>1109000</v>
      </c>
      <c r="BI8" s="234">
        <v>0</v>
      </c>
      <c r="BJ8" s="234">
        <v>0</v>
      </c>
      <c r="BK8" s="234">
        <v>1</v>
      </c>
      <c r="BL8" s="234">
        <v>0</v>
      </c>
      <c r="BM8" s="234">
        <v>0</v>
      </c>
      <c r="BN8" s="234">
        <f>IF(ECON_OUTPUT!BE8="Other",1,0)</f>
        <v>0</v>
      </c>
    </row>
    <row r="9" spans="1:66" x14ac:dyDescent="0.25">
      <c r="A9" s="234">
        <v>8</v>
      </c>
      <c r="B9" s="234" t="s">
        <v>1772</v>
      </c>
      <c r="C9" s="234" t="s">
        <v>344</v>
      </c>
      <c r="D9" s="234" t="s">
        <v>345</v>
      </c>
      <c r="E9" s="235">
        <v>42104</v>
      </c>
      <c r="F9" s="234" t="s">
        <v>34</v>
      </c>
      <c r="G9" s="234">
        <v>3760000</v>
      </c>
      <c r="H9" s="234">
        <v>2999293</v>
      </c>
      <c r="I9" s="234">
        <v>-0.20231569099999999</v>
      </c>
      <c r="J9" s="234" t="s">
        <v>464</v>
      </c>
      <c r="K9" s="234">
        <v>10</v>
      </c>
      <c r="L9" s="234" t="s">
        <v>93</v>
      </c>
      <c r="M9" s="234">
        <v>2</v>
      </c>
      <c r="N9" s="234" t="s">
        <v>458</v>
      </c>
      <c r="O9" s="234" t="s">
        <v>1751</v>
      </c>
      <c r="P9" s="234" t="s">
        <v>1750</v>
      </c>
      <c r="Q9" s="234">
        <v>3023651</v>
      </c>
      <c r="R9" s="234">
        <v>260.36</v>
      </c>
      <c r="S9" s="234">
        <v>274.63490000000002</v>
      </c>
      <c r="T9" s="234">
        <v>340.25490000000002</v>
      </c>
      <c r="U9" s="234">
        <v>1677.252</v>
      </c>
      <c r="V9" s="234">
        <v>2161.9259999999999</v>
      </c>
      <c r="W9" s="234">
        <v>549.87660000000005</v>
      </c>
      <c r="X9" s="234">
        <v>1194.7750000000001</v>
      </c>
      <c r="Y9" s="234">
        <v>1195.202</v>
      </c>
      <c r="Z9" s="234">
        <v>339.45850000000002</v>
      </c>
      <c r="AA9" s="234">
        <v>1422.1880000000001</v>
      </c>
      <c r="AB9" s="234">
        <v>189.8612</v>
      </c>
      <c r="AC9" s="234">
        <v>870.89530000000002</v>
      </c>
      <c r="AD9" s="234">
        <v>324.06630000000001</v>
      </c>
      <c r="AE9" s="234">
        <v>401.17790000000002</v>
      </c>
      <c r="AF9" s="234">
        <v>32623.61</v>
      </c>
      <c r="AG9" s="234">
        <v>9690.0830000000005</v>
      </c>
      <c r="AH9" s="234">
        <v>60937.42</v>
      </c>
      <c r="AI9" s="234">
        <v>30189.85</v>
      </c>
      <c r="AJ9" s="234">
        <v>16158.21</v>
      </c>
      <c r="AK9" s="234">
        <v>30592.22</v>
      </c>
      <c r="AL9" s="234">
        <v>174773</v>
      </c>
      <c r="AM9" s="234">
        <v>19995.72</v>
      </c>
      <c r="AN9" s="234">
        <v>15495.74</v>
      </c>
      <c r="AO9" s="234">
        <v>54499.78</v>
      </c>
      <c r="AP9" s="234">
        <v>59335.79</v>
      </c>
      <c r="AQ9" s="234">
        <v>13618.77</v>
      </c>
      <c r="AR9" s="234">
        <v>23273.89</v>
      </c>
      <c r="AS9" s="234">
        <v>256008.6</v>
      </c>
      <c r="AT9" s="234">
        <v>248296.5</v>
      </c>
      <c r="AU9" s="234">
        <v>308350.7</v>
      </c>
      <c r="AV9" s="234">
        <v>71230.83</v>
      </c>
      <c r="AW9" s="234">
        <v>74279.39</v>
      </c>
      <c r="AX9" s="234">
        <v>8779.643</v>
      </c>
      <c r="AY9" s="234">
        <v>2161.9259999999999</v>
      </c>
      <c r="AZ9" s="234">
        <v>365783.7</v>
      </c>
      <c r="BA9" s="234">
        <v>18371.72</v>
      </c>
      <c r="BB9" s="234">
        <v>54098</v>
      </c>
      <c r="BC9" s="234">
        <v>38139</v>
      </c>
      <c r="BD9" s="234">
        <v>9975</v>
      </c>
      <c r="BE9" s="234" t="s">
        <v>34</v>
      </c>
      <c r="BF9" s="234">
        <v>0.8041625</v>
      </c>
      <c r="BG9" s="234">
        <v>3</v>
      </c>
      <c r="BH9" s="234">
        <v>-736349</v>
      </c>
      <c r="BI9" s="234">
        <v>0</v>
      </c>
      <c r="BJ9" s="234">
        <v>0</v>
      </c>
      <c r="BK9" s="234">
        <v>1</v>
      </c>
      <c r="BL9" s="234">
        <v>0</v>
      </c>
      <c r="BM9" s="234">
        <v>0</v>
      </c>
      <c r="BN9" s="234">
        <f>IF(ECON_OUTPUT!BE9="Other",1,0)</f>
        <v>0</v>
      </c>
    </row>
    <row r="10" spans="1:66" x14ac:dyDescent="0.25">
      <c r="A10" s="234">
        <v>9</v>
      </c>
      <c r="B10" s="234" t="s">
        <v>1772</v>
      </c>
      <c r="C10" s="234" t="s">
        <v>421</v>
      </c>
      <c r="D10" s="234" t="s">
        <v>352</v>
      </c>
      <c r="E10" s="235">
        <v>42104</v>
      </c>
      <c r="F10" s="234" t="s">
        <v>34</v>
      </c>
      <c r="G10" s="234">
        <v>1770000</v>
      </c>
      <c r="H10" s="234">
        <v>1397380</v>
      </c>
      <c r="I10" s="234">
        <v>-0.21051977399999999</v>
      </c>
      <c r="J10" s="234" t="s">
        <v>464</v>
      </c>
      <c r="K10" s="234">
        <v>10</v>
      </c>
      <c r="L10" s="234" t="s">
        <v>93</v>
      </c>
      <c r="M10" s="234">
        <v>2</v>
      </c>
      <c r="N10" s="234" t="s">
        <v>458</v>
      </c>
      <c r="O10" s="234" t="s">
        <v>1751</v>
      </c>
      <c r="P10" s="234" t="s">
        <v>1750</v>
      </c>
      <c r="Q10" s="234">
        <v>1534115</v>
      </c>
      <c r="R10" s="234">
        <v>260.36</v>
      </c>
      <c r="S10" s="234">
        <v>274.63490000000002</v>
      </c>
      <c r="T10" s="234">
        <v>340.25490000000002</v>
      </c>
      <c r="U10" s="234">
        <v>1677.252</v>
      </c>
      <c r="V10" s="234">
        <v>2161.9259999999999</v>
      </c>
      <c r="W10" s="234">
        <v>549.87660000000005</v>
      </c>
      <c r="X10" s="234">
        <v>1194.7750000000001</v>
      </c>
      <c r="Y10" s="234">
        <v>1195.202</v>
      </c>
      <c r="Z10" s="234">
        <v>339.45850000000002</v>
      </c>
      <c r="AA10" s="234">
        <v>1422.1880000000001</v>
      </c>
      <c r="AB10" s="234">
        <v>189.8612</v>
      </c>
      <c r="AC10" s="234">
        <v>870.89530000000002</v>
      </c>
      <c r="AD10" s="234">
        <v>324.06630000000001</v>
      </c>
      <c r="AE10" s="234">
        <v>401.17790000000002</v>
      </c>
      <c r="AF10" s="234">
        <v>32623.61</v>
      </c>
      <c r="AG10" s="234">
        <v>9690.0830000000005</v>
      </c>
      <c r="AH10" s="234">
        <v>60937.42</v>
      </c>
      <c r="AI10" s="234">
        <v>30189.85</v>
      </c>
      <c r="AJ10" s="234">
        <v>16158.21</v>
      </c>
      <c r="AK10" s="234">
        <v>30592.22</v>
      </c>
      <c r="AL10" s="234">
        <v>174773</v>
      </c>
      <c r="AM10" s="234">
        <v>19995.72</v>
      </c>
      <c r="AN10" s="234">
        <v>15495.74</v>
      </c>
      <c r="AO10" s="234">
        <v>54499.78</v>
      </c>
      <c r="AP10" s="234">
        <v>59335.79</v>
      </c>
      <c r="AQ10" s="234">
        <v>13618.77</v>
      </c>
      <c r="AR10" s="234">
        <v>23273.89</v>
      </c>
      <c r="AS10" s="234">
        <v>256008.6</v>
      </c>
      <c r="AT10" s="234">
        <v>248296.5</v>
      </c>
      <c r="AU10" s="234">
        <v>308350.7</v>
      </c>
      <c r="AV10" s="234">
        <v>71230.83</v>
      </c>
      <c r="AW10" s="234">
        <v>74279.39</v>
      </c>
      <c r="AX10" s="234">
        <v>8779.643</v>
      </c>
      <c r="AY10" s="234">
        <v>2161.9259999999999</v>
      </c>
      <c r="AZ10" s="234">
        <v>365783.7</v>
      </c>
      <c r="BA10" s="234">
        <v>18371.72</v>
      </c>
      <c r="BB10" s="234">
        <v>54098</v>
      </c>
      <c r="BC10" s="234">
        <v>38139</v>
      </c>
      <c r="BD10" s="234">
        <v>9975</v>
      </c>
      <c r="BE10" s="234" t="s">
        <v>34</v>
      </c>
      <c r="BF10" s="234">
        <v>0.86673163841807899</v>
      </c>
      <c r="BG10" s="234">
        <v>2</v>
      </c>
      <c r="BH10" s="234">
        <v>-235885</v>
      </c>
      <c r="BI10" s="234">
        <v>0</v>
      </c>
      <c r="BJ10" s="234">
        <v>1</v>
      </c>
      <c r="BK10" s="234">
        <v>0</v>
      </c>
      <c r="BL10" s="234">
        <v>0</v>
      </c>
      <c r="BM10" s="234">
        <v>0</v>
      </c>
      <c r="BN10" s="234">
        <f>IF(ECON_OUTPUT!BE10="Other",1,0)</f>
        <v>0</v>
      </c>
    </row>
    <row r="11" spans="1:66" x14ac:dyDescent="0.25">
      <c r="A11" s="234">
        <v>10</v>
      </c>
      <c r="B11" s="234" t="s">
        <v>1772</v>
      </c>
      <c r="C11" s="234" t="s">
        <v>334</v>
      </c>
      <c r="D11" s="234" t="s">
        <v>335</v>
      </c>
      <c r="E11" s="235">
        <v>42108</v>
      </c>
      <c r="F11" s="234" t="s">
        <v>34</v>
      </c>
      <c r="G11" s="234">
        <v>2320000</v>
      </c>
      <c r="H11" s="234">
        <v>1550780</v>
      </c>
      <c r="I11" s="234">
        <v>-0.33156034499999998</v>
      </c>
      <c r="J11" s="234" t="s">
        <v>464</v>
      </c>
      <c r="K11" s="234">
        <v>9</v>
      </c>
      <c r="L11" s="234" t="s">
        <v>25</v>
      </c>
      <c r="M11" s="234">
        <v>2</v>
      </c>
      <c r="N11" s="234" t="s">
        <v>492</v>
      </c>
      <c r="O11" s="234" t="s">
        <v>1751</v>
      </c>
      <c r="P11" s="234" t="s">
        <v>1755</v>
      </c>
      <c r="Q11" s="234">
        <v>1631620</v>
      </c>
      <c r="R11" s="234">
        <v>260.36</v>
      </c>
      <c r="S11" s="234">
        <v>274.63490000000002</v>
      </c>
      <c r="T11" s="234">
        <v>340.25490000000002</v>
      </c>
      <c r="U11" s="234">
        <v>1677.252</v>
      </c>
      <c r="V11" s="234">
        <v>2161.9259999999999</v>
      </c>
      <c r="W11" s="234">
        <v>549.87660000000005</v>
      </c>
      <c r="X11" s="234">
        <v>1194.7750000000001</v>
      </c>
      <c r="Y11" s="234">
        <v>1195.202</v>
      </c>
      <c r="Z11" s="234">
        <v>339.45850000000002</v>
      </c>
      <c r="AA11" s="234">
        <v>1422.1880000000001</v>
      </c>
      <c r="AB11" s="234">
        <v>189.8612</v>
      </c>
      <c r="AC11" s="234">
        <v>870.89530000000002</v>
      </c>
      <c r="AD11" s="234">
        <v>324.06630000000001</v>
      </c>
      <c r="AE11" s="234">
        <v>401.17790000000002</v>
      </c>
      <c r="AF11" s="234">
        <v>32623.61</v>
      </c>
      <c r="AG11" s="234">
        <v>9690.0830000000005</v>
      </c>
      <c r="AH11" s="234">
        <v>60937.42</v>
      </c>
      <c r="AI11" s="234">
        <v>30189.85</v>
      </c>
      <c r="AJ11" s="234">
        <v>16158.21</v>
      </c>
      <c r="AK11" s="234">
        <v>30592.22</v>
      </c>
      <c r="AL11" s="234">
        <v>174773</v>
      </c>
      <c r="AM11" s="234">
        <v>19995.72</v>
      </c>
      <c r="AN11" s="234">
        <v>15495.74</v>
      </c>
      <c r="AO11" s="234">
        <v>54499.78</v>
      </c>
      <c r="AP11" s="234">
        <v>59335.79</v>
      </c>
      <c r="AQ11" s="234">
        <v>13618.77</v>
      </c>
      <c r="AR11" s="234">
        <v>23273.89</v>
      </c>
      <c r="AS11" s="234">
        <v>256008.6</v>
      </c>
      <c r="AT11" s="234">
        <v>248296.5</v>
      </c>
      <c r="AU11" s="234">
        <v>308350.7</v>
      </c>
      <c r="AV11" s="234">
        <v>71230.83</v>
      </c>
      <c r="AW11" s="234">
        <v>74279.39</v>
      </c>
      <c r="AX11" s="234">
        <v>8779.643</v>
      </c>
      <c r="AY11" s="234">
        <v>2161.9259999999999</v>
      </c>
      <c r="AZ11" s="234">
        <v>365783.7</v>
      </c>
      <c r="BA11" s="234">
        <v>18371.72</v>
      </c>
      <c r="BB11" s="234">
        <v>54098</v>
      </c>
      <c r="BC11" s="234">
        <v>38139</v>
      </c>
      <c r="BD11" s="234">
        <v>9975</v>
      </c>
      <c r="BE11" s="234" t="s">
        <v>34</v>
      </c>
      <c r="BF11" s="234">
        <v>0.70328448275862099</v>
      </c>
      <c r="BG11" s="234">
        <v>2</v>
      </c>
      <c r="BH11" s="234">
        <v>-688380</v>
      </c>
      <c r="BI11" s="234">
        <v>0</v>
      </c>
      <c r="BJ11" s="234">
        <v>1</v>
      </c>
      <c r="BK11" s="234">
        <v>0</v>
      </c>
      <c r="BL11" s="234">
        <v>0</v>
      </c>
      <c r="BM11" s="234">
        <v>0</v>
      </c>
      <c r="BN11" s="234">
        <f>IF(ECON_OUTPUT!BE11="Other",1,0)</f>
        <v>0</v>
      </c>
    </row>
    <row r="12" spans="1:66" x14ac:dyDescent="0.25">
      <c r="A12" s="234">
        <v>11</v>
      </c>
      <c r="B12" s="234" t="s">
        <v>1772</v>
      </c>
      <c r="C12" s="234" t="s">
        <v>420</v>
      </c>
      <c r="D12" s="234" t="s">
        <v>342</v>
      </c>
      <c r="E12" s="235">
        <v>42108</v>
      </c>
      <c r="F12" s="234" t="s">
        <v>1753</v>
      </c>
      <c r="G12" s="234">
        <v>521000</v>
      </c>
      <c r="H12" s="234">
        <v>1840000</v>
      </c>
      <c r="I12" s="234">
        <v>2.5316698660000001</v>
      </c>
      <c r="J12" s="234" t="s">
        <v>465</v>
      </c>
      <c r="K12" s="234">
        <v>3</v>
      </c>
      <c r="L12" s="234" t="s">
        <v>226</v>
      </c>
      <c r="M12" s="234">
        <v>2</v>
      </c>
      <c r="N12" s="234" t="s">
        <v>459</v>
      </c>
      <c r="O12" s="234" t="s">
        <v>1751</v>
      </c>
      <c r="P12" s="234" t="s">
        <v>1750</v>
      </c>
      <c r="Q12" s="234">
        <v>1840000</v>
      </c>
      <c r="R12" s="234">
        <v>260.36</v>
      </c>
      <c r="S12" s="234">
        <v>274.63490000000002</v>
      </c>
      <c r="T12" s="234">
        <v>340.25490000000002</v>
      </c>
      <c r="U12" s="234">
        <v>1677.252</v>
      </c>
      <c r="V12" s="234">
        <v>2161.9259999999999</v>
      </c>
      <c r="W12" s="234">
        <v>549.87660000000005</v>
      </c>
      <c r="X12" s="234">
        <v>1194.7750000000001</v>
      </c>
      <c r="Y12" s="234">
        <v>1195.202</v>
      </c>
      <c r="Z12" s="234">
        <v>339.45850000000002</v>
      </c>
      <c r="AA12" s="234">
        <v>1422.1880000000001</v>
      </c>
      <c r="AB12" s="234">
        <v>189.8612</v>
      </c>
      <c r="AC12" s="234">
        <v>870.89530000000002</v>
      </c>
      <c r="AD12" s="234">
        <v>324.06630000000001</v>
      </c>
      <c r="AE12" s="234">
        <v>401.17790000000002</v>
      </c>
      <c r="AF12" s="234">
        <v>32623.61</v>
      </c>
      <c r="AG12" s="234">
        <v>9690.0830000000005</v>
      </c>
      <c r="AH12" s="234">
        <v>60937.42</v>
      </c>
      <c r="AI12" s="234">
        <v>30189.85</v>
      </c>
      <c r="AJ12" s="234">
        <v>16158.21</v>
      </c>
      <c r="AK12" s="234">
        <v>30592.22</v>
      </c>
      <c r="AL12" s="234">
        <v>174773</v>
      </c>
      <c r="AM12" s="234">
        <v>19995.72</v>
      </c>
      <c r="AN12" s="234">
        <v>15495.74</v>
      </c>
      <c r="AO12" s="234">
        <v>54499.78</v>
      </c>
      <c r="AP12" s="234">
        <v>59335.79</v>
      </c>
      <c r="AQ12" s="234">
        <v>13618.77</v>
      </c>
      <c r="AR12" s="234">
        <v>23273.89</v>
      </c>
      <c r="AS12" s="234">
        <v>256008.6</v>
      </c>
      <c r="AT12" s="234">
        <v>248296.5</v>
      </c>
      <c r="AU12" s="234">
        <v>308350.7</v>
      </c>
      <c r="AV12" s="234">
        <v>71230.83</v>
      </c>
      <c r="AW12" s="234">
        <v>74279.39</v>
      </c>
      <c r="AX12" s="234">
        <v>8779.643</v>
      </c>
      <c r="AY12" s="234">
        <v>2161.9259999999999</v>
      </c>
      <c r="AZ12" s="234">
        <v>365783.7</v>
      </c>
      <c r="BA12" s="234">
        <v>18371.72</v>
      </c>
      <c r="BB12" s="234">
        <v>54098</v>
      </c>
      <c r="BC12" s="234">
        <v>38139</v>
      </c>
      <c r="BD12" s="234">
        <v>9975</v>
      </c>
      <c r="BE12" s="234" t="s">
        <v>1753</v>
      </c>
      <c r="BF12" s="234">
        <v>3.5316698656429901</v>
      </c>
      <c r="BG12" s="234">
        <v>2</v>
      </c>
      <c r="BH12" s="234">
        <v>1319000</v>
      </c>
      <c r="BI12" s="234">
        <v>0</v>
      </c>
      <c r="BJ12" s="234">
        <v>1</v>
      </c>
      <c r="BK12" s="234">
        <v>0</v>
      </c>
      <c r="BL12" s="234">
        <v>0</v>
      </c>
      <c r="BM12" s="234">
        <v>0</v>
      </c>
      <c r="BN12" s="234">
        <f>IF(ECON_OUTPUT!BE12="Other",1,0)</f>
        <v>1</v>
      </c>
    </row>
    <row r="13" spans="1:66" x14ac:dyDescent="0.25">
      <c r="A13" s="234">
        <v>12</v>
      </c>
      <c r="B13" s="234" t="s">
        <v>1772</v>
      </c>
      <c r="C13" s="234" t="s">
        <v>315</v>
      </c>
      <c r="D13" s="234" t="s">
        <v>316</v>
      </c>
      <c r="E13" s="235">
        <v>42115</v>
      </c>
      <c r="F13" s="234" t="s">
        <v>34</v>
      </c>
      <c r="G13" s="234">
        <v>735000</v>
      </c>
      <c r="H13" s="234">
        <v>512568</v>
      </c>
      <c r="I13" s="234">
        <v>-0.30262857100000001</v>
      </c>
      <c r="J13" s="234" t="s">
        <v>464</v>
      </c>
      <c r="K13" s="234">
        <v>9</v>
      </c>
      <c r="L13" s="234" t="s">
        <v>25</v>
      </c>
      <c r="M13" s="234">
        <v>2</v>
      </c>
      <c r="N13" s="234" t="s">
        <v>458</v>
      </c>
      <c r="O13" s="234" t="s">
        <v>1751</v>
      </c>
      <c r="P13" s="234" t="s">
        <v>1750</v>
      </c>
      <c r="Q13" s="234">
        <v>537725.67000000004</v>
      </c>
      <c r="R13" s="234">
        <v>260.36</v>
      </c>
      <c r="S13" s="234">
        <v>274.63490000000002</v>
      </c>
      <c r="T13" s="234">
        <v>340.25490000000002</v>
      </c>
      <c r="U13" s="234">
        <v>1677.252</v>
      </c>
      <c r="V13" s="234">
        <v>2161.9259999999999</v>
      </c>
      <c r="W13" s="234">
        <v>549.87660000000005</v>
      </c>
      <c r="X13" s="234">
        <v>1194.7750000000001</v>
      </c>
      <c r="Y13" s="234">
        <v>1195.202</v>
      </c>
      <c r="Z13" s="234">
        <v>339.45850000000002</v>
      </c>
      <c r="AA13" s="234">
        <v>1422.1880000000001</v>
      </c>
      <c r="AB13" s="234">
        <v>189.8612</v>
      </c>
      <c r="AC13" s="234">
        <v>870.89530000000002</v>
      </c>
      <c r="AD13" s="234">
        <v>324.06630000000001</v>
      </c>
      <c r="AE13" s="234">
        <v>401.17790000000002</v>
      </c>
      <c r="AF13" s="234">
        <v>32623.61</v>
      </c>
      <c r="AG13" s="234">
        <v>9690.0830000000005</v>
      </c>
      <c r="AH13" s="234">
        <v>60937.42</v>
      </c>
      <c r="AI13" s="234">
        <v>30189.85</v>
      </c>
      <c r="AJ13" s="234">
        <v>16158.21</v>
      </c>
      <c r="AK13" s="234">
        <v>30592.22</v>
      </c>
      <c r="AL13" s="234">
        <v>174773</v>
      </c>
      <c r="AM13" s="234">
        <v>19995.72</v>
      </c>
      <c r="AN13" s="234">
        <v>15495.74</v>
      </c>
      <c r="AO13" s="234">
        <v>54499.78</v>
      </c>
      <c r="AP13" s="234">
        <v>59335.79</v>
      </c>
      <c r="AQ13" s="234">
        <v>13618.77</v>
      </c>
      <c r="AR13" s="234">
        <v>23273.89</v>
      </c>
      <c r="AS13" s="234">
        <v>256008.6</v>
      </c>
      <c r="AT13" s="234">
        <v>248296.5</v>
      </c>
      <c r="AU13" s="234">
        <v>308350.7</v>
      </c>
      <c r="AV13" s="234">
        <v>71230.83</v>
      </c>
      <c r="AW13" s="234">
        <v>74279.39</v>
      </c>
      <c r="AX13" s="234">
        <v>8779.643</v>
      </c>
      <c r="AY13" s="234">
        <v>2161.9259999999999</v>
      </c>
      <c r="AZ13" s="234">
        <v>365783.7</v>
      </c>
      <c r="BA13" s="234">
        <v>18371.72</v>
      </c>
      <c r="BB13" s="234">
        <v>54098</v>
      </c>
      <c r="BC13" s="234">
        <v>38139</v>
      </c>
      <c r="BD13" s="234">
        <v>9975</v>
      </c>
      <c r="BE13" s="234" t="s">
        <v>34</v>
      </c>
      <c r="BF13" s="234">
        <v>0.73159955102040797</v>
      </c>
      <c r="BG13" s="234">
        <v>1</v>
      </c>
      <c r="BH13" s="234">
        <v>-197274.33</v>
      </c>
      <c r="BI13" s="234">
        <v>1</v>
      </c>
      <c r="BJ13" s="234">
        <v>0</v>
      </c>
      <c r="BK13" s="234">
        <v>0</v>
      </c>
      <c r="BL13" s="234">
        <v>0</v>
      </c>
      <c r="BM13" s="234">
        <v>0</v>
      </c>
      <c r="BN13" s="234">
        <f>IF(ECON_OUTPUT!BE13="Other",1,0)</f>
        <v>0</v>
      </c>
    </row>
    <row r="14" spans="1:66" x14ac:dyDescent="0.25">
      <c r="A14" s="234">
        <v>13</v>
      </c>
      <c r="B14" s="234" t="s">
        <v>1772</v>
      </c>
      <c r="C14" s="234" t="s">
        <v>418</v>
      </c>
      <c r="D14" s="234" t="s">
        <v>419</v>
      </c>
      <c r="E14" s="235">
        <v>42142</v>
      </c>
      <c r="F14" s="234" t="s">
        <v>177</v>
      </c>
      <c r="G14" s="234">
        <v>830000</v>
      </c>
      <c r="H14" s="234">
        <v>1650000</v>
      </c>
      <c r="I14" s="234">
        <v>0.98795180699999996</v>
      </c>
      <c r="J14" s="234" t="s">
        <v>465</v>
      </c>
      <c r="K14" s="234">
        <v>1</v>
      </c>
      <c r="L14" s="234" t="s">
        <v>226</v>
      </c>
      <c r="M14" s="234">
        <v>2</v>
      </c>
      <c r="N14" s="234" t="s">
        <v>457</v>
      </c>
      <c r="O14" s="234" t="s">
        <v>1751</v>
      </c>
      <c r="P14" s="234" t="s">
        <v>1750</v>
      </c>
      <c r="Q14" s="234">
        <v>1650000</v>
      </c>
      <c r="R14" s="234">
        <v>260.36</v>
      </c>
      <c r="S14" s="234">
        <v>274.63490000000002</v>
      </c>
      <c r="T14" s="234">
        <v>340.25490000000002</v>
      </c>
      <c r="U14" s="234">
        <v>1677.252</v>
      </c>
      <c r="V14" s="234">
        <v>2161.9259999999999</v>
      </c>
      <c r="W14" s="234">
        <v>549.87660000000005</v>
      </c>
      <c r="X14" s="234">
        <v>1194.7750000000001</v>
      </c>
      <c r="Y14" s="234">
        <v>1195.202</v>
      </c>
      <c r="Z14" s="234">
        <v>339.45850000000002</v>
      </c>
      <c r="AA14" s="234">
        <v>1422.1880000000001</v>
      </c>
      <c r="AB14" s="234">
        <v>189.8612</v>
      </c>
      <c r="AC14" s="234">
        <v>870.89530000000002</v>
      </c>
      <c r="AD14" s="234">
        <v>324.06630000000001</v>
      </c>
      <c r="AE14" s="234">
        <v>401.17790000000002</v>
      </c>
      <c r="AF14" s="234">
        <v>32623.61</v>
      </c>
      <c r="AG14" s="234">
        <v>9690.0830000000005</v>
      </c>
      <c r="AH14" s="234">
        <v>60937.42</v>
      </c>
      <c r="AI14" s="234">
        <v>30189.85</v>
      </c>
      <c r="AJ14" s="234">
        <v>16158.21</v>
      </c>
      <c r="AK14" s="234">
        <v>30592.22</v>
      </c>
      <c r="AL14" s="234">
        <v>174773</v>
      </c>
      <c r="AM14" s="234">
        <v>19995.72</v>
      </c>
      <c r="AN14" s="234">
        <v>15495.74</v>
      </c>
      <c r="AO14" s="234">
        <v>54499.78</v>
      </c>
      <c r="AP14" s="234">
        <v>59335.79</v>
      </c>
      <c r="AQ14" s="234">
        <v>13618.77</v>
      </c>
      <c r="AR14" s="234">
        <v>23273.89</v>
      </c>
      <c r="AS14" s="234">
        <v>256008.6</v>
      </c>
      <c r="AT14" s="234">
        <v>248296.5</v>
      </c>
      <c r="AU14" s="234">
        <v>308350.7</v>
      </c>
      <c r="AV14" s="234">
        <v>71230.83</v>
      </c>
      <c r="AW14" s="234">
        <v>74279.39</v>
      </c>
      <c r="AX14" s="234">
        <v>8779.643</v>
      </c>
      <c r="AY14" s="234">
        <v>2161.9259999999999</v>
      </c>
      <c r="AZ14" s="234">
        <v>365783.7</v>
      </c>
      <c r="BA14" s="234">
        <v>18371.72</v>
      </c>
      <c r="BB14" s="234">
        <v>54098</v>
      </c>
      <c r="BC14" s="234">
        <v>38139</v>
      </c>
      <c r="BD14" s="234">
        <v>9975</v>
      </c>
      <c r="BE14" s="234" t="s">
        <v>1753</v>
      </c>
      <c r="BF14" s="234">
        <v>1.98795180722892</v>
      </c>
      <c r="BG14" s="234">
        <v>2</v>
      </c>
      <c r="BH14" s="234">
        <v>820000</v>
      </c>
      <c r="BI14" s="234">
        <v>0</v>
      </c>
      <c r="BJ14" s="234">
        <v>1</v>
      </c>
      <c r="BK14" s="234">
        <v>0</v>
      </c>
      <c r="BL14" s="234">
        <v>0</v>
      </c>
      <c r="BM14" s="234">
        <v>0</v>
      </c>
      <c r="BN14" s="234">
        <f>IF(ECON_OUTPUT!BE14="Other",1,0)</f>
        <v>1</v>
      </c>
    </row>
    <row r="15" spans="1:66" x14ac:dyDescent="0.25">
      <c r="A15" s="234">
        <v>14</v>
      </c>
      <c r="B15" s="234" t="s">
        <v>1772</v>
      </c>
      <c r="C15" s="234" t="s">
        <v>313</v>
      </c>
      <c r="D15" s="234" t="s">
        <v>314</v>
      </c>
      <c r="E15" s="235">
        <v>42143</v>
      </c>
      <c r="F15" s="234" t="s">
        <v>34</v>
      </c>
      <c r="G15" s="234">
        <v>1263000</v>
      </c>
      <c r="H15" s="234">
        <v>930000</v>
      </c>
      <c r="I15" s="234">
        <v>-0.263657957</v>
      </c>
      <c r="J15" s="234" t="s">
        <v>465</v>
      </c>
      <c r="K15" s="234">
        <v>1</v>
      </c>
      <c r="L15" s="234" t="s">
        <v>93</v>
      </c>
      <c r="M15" s="234">
        <v>2</v>
      </c>
      <c r="N15" s="234" t="s">
        <v>458</v>
      </c>
      <c r="O15" s="234" t="s">
        <v>1751</v>
      </c>
      <c r="P15" s="234" t="s">
        <v>1750</v>
      </c>
      <c r="Q15" s="234">
        <v>930000</v>
      </c>
      <c r="R15" s="234">
        <v>260.36</v>
      </c>
      <c r="S15" s="234">
        <v>274.63490000000002</v>
      </c>
      <c r="T15" s="234">
        <v>340.25490000000002</v>
      </c>
      <c r="U15" s="234">
        <v>1677.252</v>
      </c>
      <c r="V15" s="234">
        <v>2161.9259999999999</v>
      </c>
      <c r="W15" s="234">
        <v>549.87660000000005</v>
      </c>
      <c r="X15" s="234">
        <v>1194.7750000000001</v>
      </c>
      <c r="Y15" s="234">
        <v>1195.202</v>
      </c>
      <c r="Z15" s="234">
        <v>339.45850000000002</v>
      </c>
      <c r="AA15" s="234">
        <v>1422.1880000000001</v>
      </c>
      <c r="AB15" s="234">
        <v>189.8612</v>
      </c>
      <c r="AC15" s="234">
        <v>870.89530000000002</v>
      </c>
      <c r="AD15" s="234">
        <v>324.06630000000001</v>
      </c>
      <c r="AE15" s="234">
        <v>401.17790000000002</v>
      </c>
      <c r="AF15" s="234">
        <v>32623.61</v>
      </c>
      <c r="AG15" s="234">
        <v>9690.0830000000005</v>
      </c>
      <c r="AH15" s="234">
        <v>60937.42</v>
      </c>
      <c r="AI15" s="234">
        <v>30189.85</v>
      </c>
      <c r="AJ15" s="234">
        <v>16158.21</v>
      </c>
      <c r="AK15" s="234">
        <v>30592.22</v>
      </c>
      <c r="AL15" s="234">
        <v>174773</v>
      </c>
      <c r="AM15" s="234">
        <v>19995.72</v>
      </c>
      <c r="AN15" s="234">
        <v>15495.74</v>
      </c>
      <c r="AO15" s="234">
        <v>54499.78</v>
      </c>
      <c r="AP15" s="234">
        <v>59335.79</v>
      </c>
      <c r="AQ15" s="234">
        <v>13618.77</v>
      </c>
      <c r="AR15" s="234">
        <v>23273.89</v>
      </c>
      <c r="AS15" s="234">
        <v>256008.6</v>
      </c>
      <c r="AT15" s="234">
        <v>248296.5</v>
      </c>
      <c r="AU15" s="234">
        <v>308350.7</v>
      </c>
      <c r="AV15" s="234">
        <v>71230.83</v>
      </c>
      <c r="AW15" s="234">
        <v>74279.39</v>
      </c>
      <c r="AX15" s="234">
        <v>8779.643</v>
      </c>
      <c r="AY15" s="234">
        <v>2161.9259999999999</v>
      </c>
      <c r="AZ15" s="234">
        <v>365783.7</v>
      </c>
      <c r="BA15" s="234">
        <v>18371.72</v>
      </c>
      <c r="BB15" s="234">
        <v>54098</v>
      </c>
      <c r="BC15" s="234">
        <v>38139</v>
      </c>
      <c r="BD15" s="234">
        <v>9975</v>
      </c>
      <c r="BE15" s="234" t="s">
        <v>34</v>
      </c>
      <c r="BF15" s="234">
        <v>0.73634204275534398</v>
      </c>
      <c r="BG15" s="234">
        <v>1</v>
      </c>
      <c r="BH15" s="234">
        <v>-333000</v>
      </c>
      <c r="BI15" s="234">
        <v>1</v>
      </c>
      <c r="BJ15" s="234">
        <v>0</v>
      </c>
      <c r="BK15" s="234">
        <v>0</v>
      </c>
      <c r="BL15" s="234">
        <v>0</v>
      </c>
      <c r="BM15" s="234">
        <v>0</v>
      </c>
      <c r="BN15" s="234">
        <f>IF(ECON_OUTPUT!BE15="Other",1,0)</f>
        <v>0</v>
      </c>
    </row>
    <row r="16" spans="1:66" x14ac:dyDescent="0.25">
      <c r="A16" s="234">
        <v>15</v>
      </c>
      <c r="B16" s="234" t="s">
        <v>1772</v>
      </c>
      <c r="C16" s="234" t="s">
        <v>309</v>
      </c>
      <c r="D16" s="234" t="s">
        <v>310</v>
      </c>
      <c r="E16" s="235">
        <v>42144</v>
      </c>
      <c r="F16" s="234" t="s">
        <v>34</v>
      </c>
      <c r="G16" s="234">
        <v>3340000</v>
      </c>
      <c r="H16" s="234">
        <v>4538160</v>
      </c>
      <c r="I16" s="234">
        <v>0.35873053900000001</v>
      </c>
      <c r="J16" s="234" t="s">
        <v>465</v>
      </c>
      <c r="K16" s="234">
        <v>3</v>
      </c>
      <c r="L16" s="234" t="s">
        <v>25</v>
      </c>
      <c r="M16" s="234">
        <v>2</v>
      </c>
      <c r="N16" s="234" t="s">
        <v>459</v>
      </c>
      <c r="O16" s="234" t="s">
        <v>1751</v>
      </c>
      <c r="P16" s="234" t="s">
        <v>1750</v>
      </c>
      <c r="Q16" s="234">
        <v>5887300</v>
      </c>
      <c r="R16" s="234">
        <v>260.36</v>
      </c>
      <c r="S16" s="234">
        <v>274.63490000000002</v>
      </c>
      <c r="T16" s="234">
        <v>340.25490000000002</v>
      </c>
      <c r="U16" s="234">
        <v>1677.252</v>
      </c>
      <c r="V16" s="234">
        <v>2161.9259999999999</v>
      </c>
      <c r="W16" s="234">
        <v>549.87660000000005</v>
      </c>
      <c r="X16" s="234">
        <v>1194.7750000000001</v>
      </c>
      <c r="Y16" s="234">
        <v>1195.202</v>
      </c>
      <c r="Z16" s="234">
        <v>339.45850000000002</v>
      </c>
      <c r="AA16" s="234">
        <v>1422.1880000000001</v>
      </c>
      <c r="AB16" s="234">
        <v>189.8612</v>
      </c>
      <c r="AC16" s="234">
        <v>870.89530000000002</v>
      </c>
      <c r="AD16" s="234">
        <v>324.06630000000001</v>
      </c>
      <c r="AE16" s="234">
        <v>401.17790000000002</v>
      </c>
      <c r="AF16" s="234">
        <v>32623.61</v>
      </c>
      <c r="AG16" s="234">
        <v>9690.0830000000005</v>
      </c>
      <c r="AH16" s="234">
        <v>60937.42</v>
      </c>
      <c r="AI16" s="234">
        <v>30189.85</v>
      </c>
      <c r="AJ16" s="234">
        <v>16158.21</v>
      </c>
      <c r="AK16" s="234">
        <v>30592.22</v>
      </c>
      <c r="AL16" s="234">
        <v>174773</v>
      </c>
      <c r="AM16" s="234">
        <v>19995.72</v>
      </c>
      <c r="AN16" s="234">
        <v>15495.74</v>
      </c>
      <c r="AO16" s="234">
        <v>54499.78</v>
      </c>
      <c r="AP16" s="234">
        <v>59335.79</v>
      </c>
      <c r="AQ16" s="234">
        <v>13618.77</v>
      </c>
      <c r="AR16" s="234">
        <v>23273.89</v>
      </c>
      <c r="AS16" s="234">
        <v>256008.6</v>
      </c>
      <c r="AT16" s="234">
        <v>248296.5</v>
      </c>
      <c r="AU16" s="234">
        <v>308350.7</v>
      </c>
      <c r="AV16" s="234">
        <v>71230.83</v>
      </c>
      <c r="AW16" s="234">
        <v>74279.39</v>
      </c>
      <c r="AX16" s="234">
        <v>8779.643</v>
      </c>
      <c r="AY16" s="234">
        <v>2161.9259999999999</v>
      </c>
      <c r="AZ16" s="234">
        <v>365783.7</v>
      </c>
      <c r="BA16" s="234">
        <v>18371.72</v>
      </c>
      <c r="BB16" s="234">
        <v>54098</v>
      </c>
      <c r="BC16" s="234">
        <v>38139</v>
      </c>
      <c r="BD16" s="234">
        <v>9975</v>
      </c>
      <c r="BE16" s="234" t="s">
        <v>34</v>
      </c>
      <c r="BF16" s="234">
        <v>1.7626646706586799</v>
      </c>
      <c r="BG16" s="234">
        <v>4</v>
      </c>
      <c r="BH16" s="234">
        <v>2547300</v>
      </c>
      <c r="BI16" s="234">
        <v>0</v>
      </c>
      <c r="BJ16" s="234">
        <v>0</v>
      </c>
      <c r="BK16" s="234">
        <v>0</v>
      </c>
      <c r="BL16" s="234">
        <v>1</v>
      </c>
      <c r="BM16" s="234">
        <v>0</v>
      </c>
      <c r="BN16" s="234">
        <f>IF(ECON_OUTPUT!BE16="Other",1,0)</f>
        <v>0</v>
      </c>
    </row>
    <row r="17" spans="1:66" x14ac:dyDescent="0.25">
      <c r="A17" s="234">
        <v>16</v>
      </c>
      <c r="B17" s="234" t="s">
        <v>1772</v>
      </c>
      <c r="C17" s="234" t="s">
        <v>297</v>
      </c>
      <c r="D17" s="234" t="s">
        <v>298</v>
      </c>
      <c r="E17" s="235">
        <v>42145</v>
      </c>
      <c r="F17" s="234" t="s">
        <v>177</v>
      </c>
      <c r="G17" s="234">
        <v>1550000</v>
      </c>
      <c r="H17" s="234">
        <v>2333333.33</v>
      </c>
      <c r="I17" s="234">
        <v>0.50537634200000003</v>
      </c>
      <c r="J17" s="234" t="s">
        <v>465</v>
      </c>
      <c r="K17" s="234">
        <v>2</v>
      </c>
      <c r="L17" s="234" t="s">
        <v>93</v>
      </c>
      <c r="M17" s="234">
        <v>2</v>
      </c>
      <c r="N17" s="234" t="s">
        <v>458</v>
      </c>
      <c r="O17" s="234" t="s">
        <v>1751</v>
      </c>
      <c r="P17" s="234" t="s">
        <v>1754</v>
      </c>
      <c r="Q17" s="234">
        <v>3640000</v>
      </c>
      <c r="R17" s="234">
        <v>260.36</v>
      </c>
      <c r="S17" s="234">
        <v>274.63490000000002</v>
      </c>
      <c r="T17" s="234">
        <v>340.25490000000002</v>
      </c>
      <c r="U17" s="234">
        <v>1677.252</v>
      </c>
      <c r="V17" s="234">
        <v>2161.9259999999999</v>
      </c>
      <c r="W17" s="234">
        <v>549.87660000000005</v>
      </c>
      <c r="X17" s="234">
        <v>1194.7750000000001</v>
      </c>
      <c r="Y17" s="234">
        <v>1195.202</v>
      </c>
      <c r="Z17" s="234">
        <v>339.45850000000002</v>
      </c>
      <c r="AA17" s="234">
        <v>1422.1880000000001</v>
      </c>
      <c r="AB17" s="234">
        <v>189.8612</v>
      </c>
      <c r="AC17" s="234">
        <v>870.89530000000002</v>
      </c>
      <c r="AD17" s="234">
        <v>324.06630000000001</v>
      </c>
      <c r="AE17" s="234">
        <v>401.17790000000002</v>
      </c>
      <c r="AF17" s="234">
        <v>32623.61</v>
      </c>
      <c r="AG17" s="234">
        <v>9690.0830000000005</v>
      </c>
      <c r="AH17" s="234">
        <v>60937.42</v>
      </c>
      <c r="AI17" s="234">
        <v>30189.85</v>
      </c>
      <c r="AJ17" s="234">
        <v>16158.21</v>
      </c>
      <c r="AK17" s="234">
        <v>30592.22</v>
      </c>
      <c r="AL17" s="234">
        <v>174773</v>
      </c>
      <c r="AM17" s="234">
        <v>19995.72</v>
      </c>
      <c r="AN17" s="234">
        <v>15495.74</v>
      </c>
      <c r="AO17" s="234">
        <v>54499.78</v>
      </c>
      <c r="AP17" s="234">
        <v>59335.79</v>
      </c>
      <c r="AQ17" s="234">
        <v>13618.77</v>
      </c>
      <c r="AR17" s="234">
        <v>23273.89</v>
      </c>
      <c r="AS17" s="234">
        <v>256008.6</v>
      </c>
      <c r="AT17" s="234">
        <v>248296.5</v>
      </c>
      <c r="AU17" s="234">
        <v>308350.7</v>
      </c>
      <c r="AV17" s="234">
        <v>71230.83</v>
      </c>
      <c r="AW17" s="234">
        <v>74279.39</v>
      </c>
      <c r="AX17" s="234">
        <v>8779.643</v>
      </c>
      <c r="AY17" s="234">
        <v>2161.9259999999999</v>
      </c>
      <c r="AZ17" s="234">
        <v>365783.7</v>
      </c>
      <c r="BA17" s="234">
        <v>18371.72</v>
      </c>
      <c r="BB17" s="234">
        <v>54098</v>
      </c>
      <c r="BC17" s="234">
        <v>38139</v>
      </c>
      <c r="BD17" s="234">
        <v>9975</v>
      </c>
      <c r="BE17" s="234" t="s">
        <v>1753</v>
      </c>
      <c r="BF17" s="234">
        <v>2.3483870967741902</v>
      </c>
      <c r="BG17" s="234">
        <v>3</v>
      </c>
      <c r="BH17" s="234">
        <v>2090000</v>
      </c>
      <c r="BI17" s="234">
        <v>0</v>
      </c>
      <c r="BJ17" s="234">
        <v>0</v>
      </c>
      <c r="BK17" s="234">
        <v>1</v>
      </c>
      <c r="BL17" s="234">
        <v>0</v>
      </c>
      <c r="BM17" s="234">
        <v>0</v>
      </c>
      <c r="BN17" s="234">
        <f>IF(ECON_OUTPUT!BE17="Other",1,0)</f>
        <v>1</v>
      </c>
    </row>
    <row r="18" spans="1:66" x14ac:dyDescent="0.25">
      <c r="A18" s="234">
        <v>17</v>
      </c>
      <c r="B18" s="234" t="s">
        <v>1772</v>
      </c>
      <c r="C18" s="234" t="s">
        <v>45</v>
      </c>
      <c r="D18" s="234" t="s">
        <v>46</v>
      </c>
      <c r="E18" s="235">
        <v>42145</v>
      </c>
      <c r="F18" s="234" t="s">
        <v>34</v>
      </c>
      <c r="G18" s="234">
        <v>6400000</v>
      </c>
      <c r="H18" s="234">
        <v>5777000</v>
      </c>
      <c r="I18" s="234">
        <v>-9.7343750000000007E-2</v>
      </c>
      <c r="J18" s="234" t="s">
        <v>464</v>
      </c>
      <c r="K18" s="234">
        <v>7</v>
      </c>
      <c r="L18" s="234" t="s">
        <v>25</v>
      </c>
      <c r="M18" s="234">
        <v>2</v>
      </c>
      <c r="N18" s="234" t="s">
        <v>492</v>
      </c>
      <c r="O18" s="234" t="s">
        <v>1751</v>
      </c>
      <c r="P18" s="234" t="s">
        <v>1750</v>
      </c>
      <c r="Q18" s="234">
        <v>6527495</v>
      </c>
      <c r="R18" s="234">
        <v>260.36</v>
      </c>
      <c r="S18" s="234">
        <v>274.63490000000002</v>
      </c>
      <c r="T18" s="234">
        <v>340.25490000000002</v>
      </c>
      <c r="U18" s="234">
        <v>1677.252</v>
      </c>
      <c r="V18" s="234">
        <v>2161.9259999999999</v>
      </c>
      <c r="W18" s="234">
        <v>549.87660000000005</v>
      </c>
      <c r="X18" s="234">
        <v>1194.7750000000001</v>
      </c>
      <c r="Y18" s="234">
        <v>1195.202</v>
      </c>
      <c r="Z18" s="234">
        <v>339.45850000000002</v>
      </c>
      <c r="AA18" s="234">
        <v>1422.1880000000001</v>
      </c>
      <c r="AB18" s="234">
        <v>189.8612</v>
      </c>
      <c r="AC18" s="234">
        <v>870.89530000000002</v>
      </c>
      <c r="AD18" s="234">
        <v>324.06630000000001</v>
      </c>
      <c r="AE18" s="234">
        <v>401.17790000000002</v>
      </c>
      <c r="AF18" s="234">
        <v>32623.61</v>
      </c>
      <c r="AG18" s="234">
        <v>9690.0830000000005</v>
      </c>
      <c r="AH18" s="234">
        <v>60937.42</v>
      </c>
      <c r="AI18" s="234">
        <v>30189.85</v>
      </c>
      <c r="AJ18" s="234">
        <v>16158.21</v>
      </c>
      <c r="AK18" s="234">
        <v>30592.22</v>
      </c>
      <c r="AL18" s="234">
        <v>174773</v>
      </c>
      <c r="AM18" s="234">
        <v>19995.72</v>
      </c>
      <c r="AN18" s="234">
        <v>15495.74</v>
      </c>
      <c r="AO18" s="234">
        <v>54499.78</v>
      </c>
      <c r="AP18" s="234">
        <v>59335.79</v>
      </c>
      <c r="AQ18" s="234">
        <v>13618.77</v>
      </c>
      <c r="AR18" s="234">
        <v>23273.89</v>
      </c>
      <c r="AS18" s="234">
        <v>256008.6</v>
      </c>
      <c r="AT18" s="234">
        <v>248296.5</v>
      </c>
      <c r="AU18" s="234">
        <v>308350.7</v>
      </c>
      <c r="AV18" s="234">
        <v>71230.83</v>
      </c>
      <c r="AW18" s="234">
        <v>74279.39</v>
      </c>
      <c r="AX18" s="234">
        <v>8779.643</v>
      </c>
      <c r="AY18" s="234">
        <v>2161.9259999999999</v>
      </c>
      <c r="AZ18" s="234">
        <v>365783.7</v>
      </c>
      <c r="BA18" s="234">
        <v>18371.72</v>
      </c>
      <c r="BB18" s="234">
        <v>54098</v>
      </c>
      <c r="BC18" s="234">
        <v>38139</v>
      </c>
      <c r="BD18" s="234">
        <v>9975</v>
      </c>
      <c r="BE18" s="234" t="s">
        <v>34</v>
      </c>
      <c r="BF18" s="234">
        <v>1.0199210937500001</v>
      </c>
      <c r="BG18" s="234">
        <v>4</v>
      </c>
      <c r="BH18" s="234">
        <v>127495</v>
      </c>
      <c r="BI18" s="234">
        <v>0</v>
      </c>
      <c r="BJ18" s="234">
        <v>0</v>
      </c>
      <c r="BK18" s="234">
        <v>0</v>
      </c>
      <c r="BL18" s="234">
        <v>1</v>
      </c>
      <c r="BM18" s="234">
        <v>0</v>
      </c>
      <c r="BN18" s="234">
        <f>IF(ECON_OUTPUT!BE18="Other",1,0)</f>
        <v>0</v>
      </c>
    </row>
    <row r="19" spans="1:66" x14ac:dyDescent="0.25">
      <c r="A19" s="234">
        <v>18</v>
      </c>
      <c r="B19" s="234" t="s">
        <v>1772</v>
      </c>
      <c r="C19" s="234" t="s">
        <v>35</v>
      </c>
      <c r="D19" s="234" t="s">
        <v>36</v>
      </c>
      <c r="E19" s="235">
        <v>42157</v>
      </c>
      <c r="F19" s="234" t="s">
        <v>34</v>
      </c>
      <c r="G19" s="234">
        <v>29100000</v>
      </c>
      <c r="H19" s="234">
        <v>30452500</v>
      </c>
      <c r="I19" s="234">
        <v>4.6477663000000002E-2</v>
      </c>
      <c r="J19" s="234" t="s">
        <v>464</v>
      </c>
      <c r="K19" s="234">
        <v>11</v>
      </c>
      <c r="L19" s="234" t="s">
        <v>25</v>
      </c>
      <c r="M19" s="234">
        <v>2</v>
      </c>
      <c r="N19" s="234" t="s">
        <v>492</v>
      </c>
      <c r="O19" s="234" t="s">
        <v>1751</v>
      </c>
      <c r="P19" s="234" t="s">
        <v>1750</v>
      </c>
      <c r="Q19" s="234">
        <v>31281100</v>
      </c>
      <c r="R19" s="234">
        <v>260.36</v>
      </c>
      <c r="S19" s="234">
        <v>274.63490000000002</v>
      </c>
      <c r="T19" s="234">
        <v>340.25490000000002</v>
      </c>
      <c r="U19" s="234">
        <v>1677.252</v>
      </c>
      <c r="V19" s="234">
        <v>2161.9259999999999</v>
      </c>
      <c r="W19" s="234">
        <v>549.87660000000005</v>
      </c>
      <c r="X19" s="234">
        <v>1194.7750000000001</v>
      </c>
      <c r="Y19" s="234">
        <v>1195.202</v>
      </c>
      <c r="Z19" s="234">
        <v>339.45850000000002</v>
      </c>
      <c r="AA19" s="234">
        <v>1422.1880000000001</v>
      </c>
      <c r="AB19" s="234">
        <v>189.8612</v>
      </c>
      <c r="AC19" s="234">
        <v>870.89530000000002</v>
      </c>
      <c r="AD19" s="234">
        <v>324.06630000000001</v>
      </c>
      <c r="AE19" s="234">
        <v>401.17790000000002</v>
      </c>
      <c r="AF19" s="234">
        <v>32623.61</v>
      </c>
      <c r="AG19" s="234">
        <v>9690.0830000000005</v>
      </c>
      <c r="AH19" s="234">
        <v>60937.42</v>
      </c>
      <c r="AI19" s="234">
        <v>30189.85</v>
      </c>
      <c r="AJ19" s="234">
        <v>16158.21</v>
      </c>
      <c r="AK19" s="234">
        <v>30592.22</v>
      </c>
      <c r="AL19" s="234">
        <v>174773</v>
      </c>
      <c r="AM19" s="234">
        <v>19995.72</v>
      </c>
      <c r="AN19" s="234">
        <v>15495.74</v>
      </c>
      <c r="AO19" s="234">
        <v>54499.78</v>
      </c>
      <c r="AP19" s="234">
        <v>59335.79</v>
      </c>
      <c r="AQ19" s="234">
        <v>13618.77</v>
      </c>
      <c r="AR19" s="234">
        <v>23273.89</v>
      </c>
      <c r="AS19" s="234">
        <v>256008.6</v>
      </c>
      <c r="AT19" s="234">
        <v>248296.5</v>
      </c>
      <c r="AU19" s="234">
        <v>308350.7</v>
      </c>
      <c r="AV19" s="234">
        <v>71230.83</v>
      </c>
      <c r="AW19" s="234">
        <v>74279.39</v>
      </c>
      <c r="AX19" s="234">
        <v>8779.643</v>
      </c>
      <c r="AY19" s="234">
        <v>2161.9259999999999</v>
      </c>
      <c r="AZ19" s="234">
        <v>365783.7</v>
      </c>
      <c r="BA19" s="234">
        <v>18371.72</v>
      </c>
      <c r="BB19" s="234">
        <v>54098</v>
      </c>
      <c r="BC19" s="234">
        <v>38139</v>
      </c>
      <c r="BD19" s="234">
        <v>9975</v>
      </c>
      <c r="BE19" s="234" t="s">
        <v>34</v>
      </c>
      <c r="BF19" s="234">
        <v>1.07495189003436</v>
      </c>
      <c r="BG19" s="234">
        <v>5</v>
      </c>
      <c r="BH19" s="234">
        <v>2181100</v>
      </c>
      <c r="BI19" s="234">
        <v>0</v>
      </c>
      <c r="BJ19" s="234">
        <v>0</v>
      </c>
      <c r="BK19" s="234">
        <v>0</v>
      </c>
      <c r="BL19" s="234">
        <v>0</v>
      </c>
      <c r="BM19" s="234">
        <v>1</v>
      </c>
      <c r="BN19" s="234">
        <f>IF(ECON_OUTPUT!BE19="Other",1,0)</f>
        <v>0</v>
      </c>
    </row>
    <row r="20" spans="1:66" x14ac:dyDescent="0.25">
      <c r="A20" s="234">
        <v>19</v>
      </c>
      <c r="B20" s="234" t="s">
        <v>1772</v>
      </c>
      <c r="C20" s="234" t="s">
        <v>279</v>
      </c>
      <c r="D20" s="234" t="s">
        <v>280</v>
      </c>
      <c r="E20" s="235">
        <v>42159</v>
      </c>
      <c r="F20" s="234" t="s">
        <v>34</v>
      </c>
      <c r="G20" s="234">
        <v>1600000</v>
      </c>
      <c r="H20" s="234">
        <v>1298005</v>
      </c>
      <c r="I20" s="234">
        <v>-0.18874687500000001</v>
      </c>
      <c r="J20" s="234" t="s">
        <v>464</v>
      </c>
      <c r="K20" s="234">
        <v>6</v>
      </c>
      <c r="L20" s="234" t="s">
        <v>93</v>
      </c>
      <c r="M20" s="234">
        <v>2</v>
      </c>
      <c r="N20" s="234" t="s">
        <v>492</v>
      </c>
      <c r="O20" s="234" t="s">
        <v>1751</v>
      </c>
      <c r="P20" s="234" t="s">
        <v>1755</v>
      </c>
      <c r="Q20" s="234">
        <v>1346150</v>
      </c>
      <c r="R20" s="234">
        <v>260.36</v>
      </c>
      <c r="S20" s="234">
        <v>274.63490000000002</v>
      </c>
      <c r="T20" s="234">
        <v>340.25490000000002</v>
      </c>
      <c r="U20" s="234">
        <v>1677.252</v>
      </c>
      <c r="V20" s="234">
        <v>2161.9259999999999</v>
      </c>
      <c r="W20" s="234">
        <v>549.87660000000005</v>
      </c>
      <c r="X20" s="234">
        <v>1194.7750000000001</v>
      </c>
      <c r="Y20" s="234">
        <v>1195.202</v>
      </c>
      <c r="Z20" s="234">
        <v>339.45850000000002</v>
      </c>
      <c r="AA20" s="234">
        <v>1422.1880000000001</v>
      </c>
      <c r="AB20" s="234">
        <v>189.8612</v>
      </c>
      <c r="AC20" s="234">
        <v>870.89530000000002</v>
      </c>
      <c r="AD20" s="234">
        <v>324.06630000000001</v>
      </c>
      <c r="AE20" s="234">
        <v>401.17790000000002</v>
      </c>
      <c r="AF20" s="234">
        <v>32623.61</v>
      </c>
      <c r="AG20" s="234">
        <v>9690.0830000000005</v>
      </c>
      <c r="AH20" s="234">
        <v>60937.42</v>
      </c>
      <c r="AI20" s="234">
        <v>30189.85</v>
      </c>
      <c r="AJ20" s="234">
        <v>16158.21</v>
      </c>
      <c r="AK20" s="234">
        <v>30592.22</v>
      </c>
      <c r="AL20" s="234">
        <v>174773</v>
      </c>
      <c r="AM20" s="234">
        <v>19995.72</v>
      </c>
      <c r="AN20" s="234">
        <v>15495.74</v>
      </c>
      <c r="AO20" s="234">
        <v>54499.78</v>
      </c>
      <c r="AP20" s="234">
        <v>59335.79</v>
      </c>
      <c r="AQ20" s="234">
        <v>13618.77</v>
      </c>
      <c r="AR20" s="234">
        <v>23273.89</v>
      </c>
      <c r="AS20" s="234">
        <v>256008.6</v>
      </c>
      <c r="AT20" s="234">
        <v>248296.5</v>
      </c>
      <c r="AU20" s="234">
        <v>308350.7</v>
      </c>
      <c r="AV20" s="234">
        <v>71230.83</v>
      </c>
      <c r="AW20" s="234">
        <v>74279.39</v>
      </c>
      <c r="AX20" s="234">
        <v>8779.643</v>
      </c>
      <c r="AY20" s="234">
        <v>2161.9259999999999</v>
      </c>
      <c r="AZ20" s="234">
        <v>365783.7</v>
      </c>
      <c r="BA20" s="234">
        <v>18371.72</v>
      </c>
      <c r="BB20" s="234">
        <v>54098</v>
      </c>
      <c r="BC20" s="234">
        <v>38139</v>
      </c>
      <c r="BD20" s="234">
        <v>9975</v>
      </c>
      <c r="BE20" s="234" t="s">
        <v>34</v>
      </c>
      <c r="BF20" s="234">
        <v>0.84134374999999995</v>
      </c>
      <c r="BG20" s="234">
        <v>1</v>
      </c>
      <c r="BH20" s="234">
        <v>-253850</v>
      </c>
      <c r="BI20" s="234">
        <v>1</v>
      </c>
      <c r="BJ20" s="234">
        <v>0</v>
      </c>
      <c r="BK20" s="234">
        <v>0</v>
      </c>
      <c r="BL20" s="234">
        <v>0</v>
      </c>
      <c r="BM20" s="234">
        <v>0</v>
      </c>
      <c r="BN20" s="234">
        <f>IF(ECON_OUTPUT!BE20="Other",1,0)</f>
        <v>0</v>
      </c>
    </row>
    <row r="21" spans="1:66" x14ac:dyDescent="0.25">
      <c r="A21" s="234">
        <v>20</v>
      </c>
      <c r="B21" s="234" t="s">
        <v>1772</v>
      </c>
      <c r="C21" s="234" t="s">
        <v>268</v>
      </c>
      <c r="D21" s="234" t="s">
        <v>269</v>
      </c>
      <c r="E21" s="235">
        <v>42177</v>
      </c>
      <c r="F21" s="234" t="s">
        <v>34</v>
      </c>
      <c r="G21" s="234">
        <v>6500000</v>
      </c>
      <c r="H21" s="234">
        <v>6374800</v>
      </c>
      <c r="I21" s="234">
        <v>-1.9261538000000002E-2</v>
      </c>
      <c r="J21" s="234" t="s">
        <v>464</v>
      </c>
      <c r="K21" s="234">
        <v>7</v>
      </c>
      <c r="L21" s="234" t="s">
        <v>226</v>
      </c>
      <c r="M21" s="234">
        <v>2</v>
      </c>
      <c r="N21" s="234" t="s">
        <v>457</v>
      </c>
      <c r="O21" s="234" t="s">
        <v>1751</v>
      </c>
      <c r="P21" s="234" t="s">
        <v>1750</v>
      </c>
      <c r="Q21" s="234">
        <v>7497000</v>
      </c>
      <c r="R21" s="234">
        <v>260.36</v>
      </c>
      <c r="S21" s="234">
        <v>274.63490000000002</v>
      </c>
      <c r="T21" s="234">
        <v>340.25490000000002</v>
      </c>
      <c r="U21" s="234">
        <v>1677.252</v>
      </c>
      <c r="V21" s="234">
        <v>2161.9259999999999</v>
      </c>
      <c r="W21" s="234">
        <v>549.87660000000005</v>
      </c>
      <c r="X21" s="234">
        <v>1194.7750000000001</v>
      </c>
      <c r="Y21" s="234">
        <v>1195.202</v>
      </c>
      <c r="Z21" s="234">
        <v>339.45850000000002</v>
      </c>
      <c r="AA21" s="234">
        <v>1422.1880000000001</v>
      </c>
      <c r="AB21" s="234">
        <v>189.8612</v>
      </c>
      <c r="AC21" s="234">
        <v>870.89530000000002</v>
      </c>
      <c r="AD21" s="234">
        <v>324.06630000000001</v>
      </c>
      <c r="AE21" s="234">
        <v>401.17790000000002</v>
      </c>
      <c r="AF21" s="234">
        <v>32623.61</v>
      </c>
      <c r="AG21" s="234">
        <v>9690.0830000000005</v>
      </c>
      <c r="AH21" s="234">
        <v>60937.42</v>
      </c>
      <c r="AI21" s="234">
        <v>30189.85</v>
      </c>
      <c r="AJ21" s="234">
        <v>16158.21</v>
      </c>
      <c r="AK21" s="234">
        <v>30592.22</v>
      </c>
      <c r="AL21" s="234">
        <v>174773</v>
      </c>
      <c r="AM21" s="234">
        <v>19995.72</v>
      </c>
      <c r="AN21" s="234">
        <v>15495.74</v>
      </c>
      <c r="AO21" s="234">
        <v>54499.78</v>
      </c>
      <c r="AP21" s="234">
        <v>59335.79</v>
      </c>
      <c r="AQ21" s="234">
        <v>13618.77</v>
      </c>
      <c r="AR21" s="234">
        <v>23273.89</v>
      </c>
      <c r="AS21" s="234">
        <v>256008.6</v>
      </c>
      <c r="AT21" s="234">
        <v>248296.5</v>
      </c>
      <c r="AU21" s="234">
        <v>308350.7</v>
      </c>
      <c r="AV21" s="234">
        <v>71230.83</v>
      </c>
      <c r="AW21" s="234">
        <v>74279.39</v>
      </c>
      <c r="AX21" s="234">
        <v>8779.643</v>
      </c>
      <c r="AY21" s="234">
        <v>2161.9259999999999</v>
      </c>
      <c r="AZ21" s="234">
        <v>365783.7</v>
      </c>
      <c r="BA21" s="234">
        <v>18371.72</v>
      </c>
      <c r="BB21" s="234">
        <v>54098</v>
      </c>
      <c r="BC21" s="234">
        <v>38139</v>
      </c>
      <c r="BD21" s="234">
        <v>9975</v>
      </c>
      <c r="BE21" s="234" t="s">
        <v>34</v>
      </c>
      <c r="BF21" s="234">
        <v>1.1533846153846199</v>
      </c>
      <c r="BG21" s="234">
        <v>4</v>
      </c>
      <c r="BH21" s="234">
        <v>997000</v>
      </c>
      <c r="BI21" s="234">
        <v>0</v>
      </c>
      <c r="BJ21" s="234">
        <v>0</v>
      </c>
      <c r="BK21" s="234">
        <v>0</v>
      </c>
      <c r="BL21" s="234">
        <v>1</v>
      </c>
      <c r="BM21" s="234">
        <v>0</v>
      </c>
      <c r="BN21" s="234">
        <f>IF(ECON_OUTPUT!BE21="Other",1,0)</f>
        <v>0</v>
      </c>
    </row>
    <row r="22" spans="1:66" x14ac:dyDescent="0.25">
      <c r="A22" s="234">
        <v>21</v>
      </c>
      <c r="B22" s="234" t="s">
        <v>1772</v>
      </c>
      <c r="C22" s="234" t="s">
        <v>266</v>
      </c>
      <c r="D22" s="234" t="s">
        <v>265</v>
      </c>
      <c r="E22" s="235">
        <v>42178</v>
      </c>
      <c r="F22" s="234" t="s">
        <v>34</v>
      </c>
      <c r="G22" s="234">
        <v>1800000</v>
      </c>
      <c r="H22" s="234">
        <v>2217200</v>
      </c>
      <c r="I22" s="234">
        <v>0.23177777799999999</v>
      </c>
      <c r="J22" s="234" t="s">
        <v>465</v>
      </c>
      <c r="K22" s="234">
        <v>2</v>
      </c>
      <c r="L22" s="234" t="s">
        <v>226</v>
      </c>
      <c r="M22" s="234">
        <v>2</v>
      </c>
      <c r="N22" s="234" t="s">
        <v>457</v>
      </c>
      <c r="O22" s="234" t="s">
        <v>1751</v>
      </c>
      <c r="P22" s="234" t="s">
        <v>1750</v>
      </c>
      <c r="Q22" s="234">
        <v>2698000</v>
      </c>
      <c r="R22" s="234">
        <v>260.36</v>
      </c>
      <c r="S22" s="234">
        <v>274.63490000000002</v>
      </c>
      <c r="T22" s="234">
        <v>340.25490000000002</v>
      </c>
      <c r="U22" s="234">
        <v>1677.252</v>
      </c>
      <c r="V22" s="234">
        <v>2161.9259999999999</v>
      </c>
      <c r="W22" s="234">
        <v>549.87660000000005</v>
      </c>
      <c r="X22" s="234">
        <v>1194.7750000000001</v>
      </c>
      <c r="Y22" s="234">
        <v>1195.202</v>
      </c>
      <c r="Z22" s="234">
        <v>339.45850000000002</v>
      </c>
      <c r="AA22" s="234">
        <v>1422.1880000000001</v>
      </c>
      <c r="AB22" s="234">
        <v>189.8612</v>
      </c>
      <c r="AC22" s="234">
        <v>870.89530000000002</v>
      </c>
      <c r="AD22" s="234">
        <v>324.06630000000001</v>
      </c>
      <c r="AE22" s="234">
        <v>401.17790000000002</v>
      </c>
      <c r="AF22" s="234">
        <v>32623.61</v>
      </c>
      <c r="AG22" s="234">
        <v>9690.0830000000005</v>
      </c>
      <c r="AH22" s="234">
        <v>60937.42</v>
      </c>
      <c r="AI22" s="234">
        <v>30189.85</v>
      </c>
      <c r="AJ22" s="234">
        <v>16158.21</v>
      </c>
      <c r="AK22" s="234">
        <v>30592.22</v>
      </c>
      <c r="AL22" s="234">
        <v>174773</v>
      </c>
      <c r="AM22" s="234">
        <v>19995.72</v>
      </c>
      <c r="AN22" s="234">
        <v>15495.74</v>
      </c>
      <c r="AO22" s="234">
        <v>54499.78</v>
      </c>
      <c r="AP22" s="234">
        <v>59335.79</v>
      </c>
      <c r="AQ22" s="234">
        <v>13618.77</v>
      </c>
      <c r="AR22" s="234">
        <v>23273.89</v>
      </c>
      <c r="AS22" s="234">
        <v>256008.6</v>
      </c>
      <c r="AT22" s="234">
        <v>248296.5</v>
      </c>
      <c r="AU22" s="234">
        <v>308350.7</v>
      </c>
      <c r="AV22" s="234">
        <v>71230.83</v>
      </c>
      <c r="AW22" s="234">
        <v>74279.39</v>
      </c>
      <c r="AX22" s="234">
        <v>8779.643</v>
      </c>
      <c r="AY22" s="234">
        <v>2161.9259999999999</v>
      </c>
      <c r="AZ22" s="234">
        <v>365783.7</v>
      </c>
      <c r="BA22" s="234">
        <v>18371.72</v>
      </c>
      <c r="BB22" s="234">
        <v>54098</v>
      </c>
      <c r="BC22" s="234">
        <v>38139</v>
      </c>
      <c r="BD22" s="234">
        <v>9975</v>
      </c>
      <c r="BE22" s="234" t="s">
        <v>34</v>
      </c>
      <c r="BF22" s="234">
        <v>1.49888888888889</v>
      </c>
      <c r="BG22" s="234">
        <v>3</v>
      </c>
      <c r="BH22" s="234">
        <v>898000</v>
      </c>
      <c r="BI22" s="234">
        <v>0</v>
      </c>
      <c r="BJ22" s="234">
        <v>0</v>
      </c>
      <c r="BK22" s="234">
        <v>1</v>
      </c>
      <c r="BL22" s="234">
        <v>0</v>
      </c>
      <c r="BM22" s="234">
        <v>0</v>
      </c>
      <c r="BN22" s="234">
        <f>IF(ECON_OUTPUT!BE22="Other",1,0)</f>
        <v>0</v>
      </c>
    </row>
    <row r="23" spans="1:66" x14ac:dyDescent="0.25">
      <c r="A23" s="234">
        <v>22</v>
      </c>
      <c r="B23" s="234" t="s">
        <v>1771</v>
      </c>
      <c r="C23" s="234" t="s">
        <v>241</v>
      </c>
      <c r="D23" s="234" t="s">
        <v>242</v>
      </c>
      <c r="E23" s="235">
        <v>42213</v>
      </c>
      <c r="F23" s="234" t="s">
        <v>34</v>
      </c>
      <c r="G23" s="234">
        <v>1918000</v>
      </c>
      <c r="H23" s="234">
        <v>1389000</v>
      </c>
      <c r="I23" s="234">
        <v>-0.27580813300000001</v>
      </c>
      <c r="J23" s="234" t="s">
        <v>464</v>
      </c>
      <c r="K23" s="234">
        <v>12</v>
      </c>
      <c r="L23" s="234" t="s">
        <v>25</v>
      </c>
      <c r="M23" s="234">
        <v>3</v>
      </c>
      <c r="N23" s="234" t="s">
        <v>458</v>
      </c>
      <c r="O23" s="234" t="s">
        <v>1751</v>
      </c>
      <c r="P23" s="234" t="s">
        <v>1750</v>
      </c>
      <c r="Q23" s="234">
        <v>1737000</v>
      </c>
      <c r="R23" s="234">
        <v>261.05560000000003</v>
      </c>
      <c r="S23" s="234">
        <v>274.73050000000001</v>
      </c>
      <c r="T23" s="234">
        <v>344.00310000000002</v>
      </c>
      <c r="U23" s="234">
        <v>1688.223</v>
      </c>
      <c r="V23" s="234">
        <v>2173.7350000000001</v>
      </c>
      <c r="W23" s="234">
        <v>551.07799999999997</v>
      </c>
      <c r="X23" s="234">
        <v>1201.1949999999999</v>
      </c>
      <c r="Y23" s="234">
        <v>1205.8240000000001</v>
      </c>
      <c r="Z23" s="234">
        <v>340.11579999999998</v>
      </c>
      <c r="AA23" s="234">
        <v>1430.029</v>
      </c>
      <c r="AB23" s="234">
        <v>192.62790000000001</v>
      </c>
      <c r="AC23" s="234">
        <v>869.60929999999996</v>
      </c>
      <c r="AD23" s="234">
        <v>327.14909999999998</v>
      </c>
      <c r="AE23" s="234">
        <v>401.34160000000003</v>
      </c>
      <c r="AF23" s="234">
        <v>34128.019999999997</v>
      </c>
      <c r="AG23" s="234">
        <v>9779.01</v>
      </c>
      <c r="AH23" s="234">
        <v>57138.81</v>
      </c>
      <c r="AI23" s="234">
        <v>30235.59</v>
      </c>
      <c r="AJ23" s="234">
        <v>16123.1</v>
      </c>
      <c r="AK23" s="234">
        <v>30775.95</v>
      </c>
      <c r="AL23" s="234">
        <v>171768.7</v>
      </c>
      <c r="AM23" s="234">
        <v>20121.990000000002</v>
      </c>
      <c r="AN23" s="234">
        <v>15984.1</v>
      </c>
      <c r="AO23" s="234">
        <v>55007.1</v>
      </c>
      <c r="AP23" s="234">
        <v>59622.75</v>
      </c>
      <c r="AQ23" s="234">
        <v>13924.58</v>
      </c>
      <c r="AR23" s="234">
        <v>23219.02</v>
      </c>
      <c r="AS23" s="234">
        <v>259925.5</v>
      </c>
      <c r="AT23" s="234">
        <v>251342.2</v>
      </c>
      <c r="AU23" s="234">
        <v>312354.90000000002</v>
      </c>
      <c r="AV23" s="234">
        <v>72445.11</v>
      </c>
      <c r="AW23" s="234">
        <v>75748.3</v>
      </c>
      <c r="AX23" s="234">
        <v>8825.9269999999997</v>
      </c>
      <c r="AY23" s="234">
        <v>2173.7350000000001</v>
      </c>
      <c r="AZ23" s="234">
        <v>365181.6</v>
      </c>
      <c r="BA23" s="234">
        <v>18384.75</v>
      </c>
      <c r="BB23" s="234">
        <v>48731</v>
      </c>
      <c r="BC23" s="234">
        <v>54098</v>
      </c>
      <c r="BD23" s="234">
        <v>10039</v>
      </c>
      <c r="BE23" s="234" t="s">
        <v>34</v>
      </c>
      <c r="BF23" s="234">
        <v>0.90563086548488003</v>
      </c>
      <c r="BG23" s="234">
        <v>2</v>
      </c>
      <c r="BH23" s="234">
        <v>-181000</v>
      </c>
      <c r="BI23" s="234">
        <v>0</v>
      </c>
      <c r="BJ23" s="234">
        <v>1</v>
      </c>
      <c r="BK23" s="234">
        <v>0</v>
      </c>
      <c r="BL23" s="234">
        <v>0</v>
      </c>
      <c r="BM23" s="234">
        <v>0</v>
      </c>
      <c r="BN23" s="234">
        <f>IF(ECON_OUTPUT!BE23="Other",1,0)</f>
        <v>0</v>
      </c>
    </row>
    <row r="24" spans="1:66" x14ac:dyDescent="0.25">
      <c r="A24" s="234">
        <v>23</v>
      </c>
      <c r="B24" s="234" t="s">
        <v>1771</v>
      </c>
      <c r="C24" s="234" t="s">
        <v>235</v>
      </c>
      <c r="D24" s="234" t="s">
        <v>236</v>
      </c>
      <c r="E24" s="235">
        <v>42234</v>
      </c>
      <c r="F24" s="234" t="s">
        <v>177</v>
      </c>
      <c r="G24" s="234">
        <v>354000</v>
      </c>
      <c r="H24" s="234">
        <v>396811</v>
      </c>
      <c r="I24" s="234">
        <v>0.120935028</v>
      </c>
      <c r="J24" s="234" t="s">
        <v>465</v>
      </c>
      <c r="K24" s="234">
        <v>3</v>
      </c>
      <c r="L24" s="234" t="s">
        <v>25</v>
      </c>
      <c r="M24" s="234">
        <v>3</v>
      </c>
      <c r="N24" s="234" t="s">
        <v>458</v>
      </c>
      <c r="O24" s="234" t="s">
        <v>1751</v>
      </c>
      <c r="P24" s="234" t="s">
        <v>1754</v>
      </c>
      <c r="Q24" s="234">
        <v>607000</v>
      </c>
      <c r="R24" s="234">
        <v>261.05560000000003</v>
      </c>
      <c r="S24" s="234">
        <v>274.73050000000001</v>
      </c>
      <c r="T24" s="234">
        <v>344.00310000000002</v>
      </c>
      <c r="U24" s="234">
        <v>1688.223</v>
      </c>
      <c r="V24" s="234">
        <v>2173.7350000000001</v>
      </c>
      <c r="W24" s="234">
        <v>551.07799999999997</v>
      </c>
      <c r="X24" s="234">
        <v>1201.1949999999999</v>
      </c>
      <c r="Y24" s="234">
        <v>1205.8240000000001</v>
      </c>
      <c r="Z24" s="234">
        <v>340.11579999999998</v>
      </c>
      <c r="AA24" s="234">
        <v>1430.029</v>
      </c>
      <c r="AB24" s="234">
        <v>192.62790000000001</v>
      </c>
      <c r="AC24" s="234">
        <v>869.60929999999996</v>
      </c>
      <c r="AD24" s="234">
        <v>327.14909999999998</v>
      </c>
      <c r="AE24" s="234">
        <v>401.34160000000003</v>
      </c>
      <c r="AF24" s="234">
        <v>34128.019999999997</v>
      </c>
      <c r="AG24" s="234">
        <v>9779.01</v>
      </c>
      <c r="AH24" s="234">
        <v>57138.81</v>
      </c>
      <c r="AI24" s="234">
        <v>30235.59</v>
      </c>
      <c r="AJ24" s="234">
        <v>16123.1</v>
      </c>
      <c r="AK24" s="234">
        <v>30775.95</v>
      </c>
      <c r="AL24" s="234">
        <v>171768.7</v>
      </c>
      <c r="AM24" s="234">
        <v>20121.990000000002</v>
      </c>
      <c r="AN24" s="234">
        <v>15984.1</v>
      </c>
      <c r="AO24" s="234">
        <v>55007.1</v>
      </c>
      <c r="AP24" s="234">
        <v>59622.75</v>
      </c>
      <c r="AQ24" s="234">
        <v>13924.58</v>
      </c>
      <c r="AR24" s="234">
        <v>23219.02</v>
      </c>
      <c r="AS24" s="234">
        <v>259925.5</v>
      </c>
      <c r="AT24" s="234">
        <v>251342.2</v>
      </c>
      <c r="AU24" s="234">
        <v>312354.90000000002</v>
      </c>
      <c r="AV24" s="234">
        <v>72445.11</v>
      </c>
      <c r="AW24" s="234">
        <v>75748.3</v>
      </c>
      <c r="AX24" s="234">
        <v>8825.9269999999997</v>
      </c>
      <c r="AY24" s="234">
        <v>2173.7350000000001</v>
      </c>
      <c r="AZ24" s="234">
        <v>365181.6</v>
      </c>
      <c r="BA24" s="234">
        <v>18384.75</v>
      </c>
      <c r="BB24" s="234">
        <v>48731</v>
      </c>
      <c r="BC24" s="234">
        <v>54098</v>
      </c>
      <c r="BD24" s="234">
        <v>10039</v>
      </c>
      <c r="BE24" s="234" t="s">
        <v>1753</v>
      </c>
      <c r="BF24" s="234">
        <v>1.7146892655367201</v>
      </c>
      <c r="BG24" s="234">
        <v>1</v>
      </c>
      <c r="BH24" s="234">
        <v>253000</v>
      </c>
      <c r="BI24" s="234">
        <v>1</v>
      </c>
      <c r="BJ24" s="234">
        <v>0</v>
      </c>
      <c r="BK24" s="234">
        <v>0</v>
      </c>
      <c r="BL24" s="234">
        <v>0</v>
      </c>
      <c r="BM24" s="234">
        <v>0</v>
      </c>
      <c r="BN24" s="234">
        <f>IF(ECON_OUTPUT!BE24="Other",1,0)</f>
        <v>1</v>
      </c>
    </row>
    <row r="25" spans="1:66" x14ac:dyDescent="0.25">
      <c r="A25" s="234">
        <v>24</v>
      </c>
      <c r="B25" s="234" t="s">
        <v>1771</v>
      </c>
      <c r="C25" s="234" t="s">
        <v>6</v>
      </c>
      <c r="D25" s="234" t="s">
        <v>7</v>
      </c>
      <c r="E25" s="235">
        <v>42243</v>
      </c>
      <c r="F25" s="234" t="s">
        <v>34</v>
      </c>
      <c r="G25" s="234">
        <v>1650000</v>
      </c>
      <c r="H25" s="234">
        <v>1898000</v>
      </c>
      <c r="I25" s="234">
        <v>0.15030303</v>
      </c>
      <c r="J25" s="234" t="s">
        <v>465</v>
      </c>
      <c r="K25" s="234">
        <v>4</v>
      </c>
      <c r="L25" s="234" t="s">
        <v>93</v>
      </c>
      <c r="M25" s="234">
        <v>3</v>
      </c>
      <c r="N25" s="234" t="s">
        <v>458</v>
      </c>
      <c r="O25" s="234" t="s">
        <v>1751</v>
      </c>
      <c r="P25" s="234" t="s">
        <v>1750</v>
      </c>
      <c r="Q25" s="234">
        <v>2440000</v>
      </c>
      <c r="R25" s="234">
        <v>261.05560000000003</v>
      </c>
      <c r="S25" s="234">
        <v>274.73050000000001</v>
      </c>
      <c r="T25" s="234">
        <v>344.00310000000002</v>
      </c>
      <c r="U25" s="234">
        <v>1688.223</v>
      </c>
      <c r="V25" s="234">
        <v>2173.7350000000001</v>
      </c>
      <c r="W25" s="234">
        <v>551.07799999999997</v>
      </c>
      <c r="X25" s="234">
        <v>1201.1949999999999</v>
      </c>
      <c r="Y25" s="234">
        <v>1205.8240000000001</v>
      </c>
      <c r="Z25" s="234">
        <v>340.11579999999998</v>
      </c>
      <c r="AA25" s="234">
        <v>1430.029</v>
      </c>
      <c r="AB25" s="234">
        <v>192.62790000000001</v>
      </c>
      <c r="AC25" s="234">
        <v>869.60929999999996</v>
      </c>
      <c r="AD25" s="234">
        <v>327.14909999999998</v>
      </c>
      <c r="AE25" s="234">
        <v>401.34160000000003</v>
      </c>
      <c r="AF25" s="234">
        <v>34128.019999999997</v>
      </c>
      <c r="AG25" s="234">
        <v>9779.01</v>
      </c>
      <c r="AH25" s="234">
        <v>57138.81</v>
      </c>
      <c r="AI25" s="234">
        <v>30235.59</v>
      </c>
      <c r="AJ25" s="234">
        <v>16123.1</v>
      </c>
      <c r="AK25" s="234">
        <v>30775.95</v>
      </c>
      <c r="AL25" s="234">
        <v>171768.7</v>
      </c>
      <c r="AM25" s="234">
        <v>20121.990000000002</v>
      </c>
      <c r="AN25" s="234">
        <v>15984.1</v>
      </c>
      <c r="AO25" s="234">
        <v>55007.1</v>
      </c>
      <c r="AP25" s="234">
        <v>59622.75</v>
      </c>
      <c r="AQ25" s="234">
        <v>13924.58</v>
      </c>
      <c r="AR25" s="234">
        <v>23219.02</v>
      </c>
      <c r="AS25" s="234">
        <v>259925.5</v>
      </c>
      <c r="AT25" s="234">
        <v>251342.2</v>
      </c>
      <c r="AU25" s="234">
        <v>312354.90000000002</v>
      </c>
      <c r="AV25" s="234">
        <v>72445.11</v>
      </c>
      <c r="AW25" s="234">
        <v>75748.3</v>
      </c>
      <c r="AX25" s="234">
        <v>8825.9269999999997</v>
      </c>
      <c r="AY25" s="234">
        <v>2173.7350000000001</v>
      </c>
      <c r="AZ25" s="234">
        <v>365181.6</v>
      </c>
      <c r="BA25" s="234">
        <v>18384.75</v>
      </c>
      <c r="BB25" s="234">
        <v>48731</v>
      </c>
      <c r="BC25" s="234">
        <v>54098</v>
      </c>
      <c r="BD25" s="234">
        <v>10039</v>
      </c>
      <c r="BE25" s="234" t="s">
        <v>34</v>
      </c>
      <c r="BF25" s="234">
        <v>1.4787878787878801</v>
      </c>
      <c r="BG25" s="234">
        <v>2</v>
      </c>
      <c r="BH25" s="234">
        <v>790000</v>
      </c>
      <c r="BI25" s="234">
        <v>0</v>
      </c>
      <c r="BJ25" s="234">
        <v>1</v>
      </c>
      <c r="BK25" s="234">
        <v>0</v>
      </c>
      <c r="BL25" s="234">
        <v>0</v>
      </c>
      <c r="BM25" s="234">
        <v>0</v>
      </c>
      <c r="BN25" s="234">
        <f>IF(ECON_OUTPUT!BE25="Other",1,0)</f>
        <v>0</v>
      </c>
    </row>
    <row r="26" spans="1:66" x14ac:dyDescent="0.25">
      <c r="A26" s="234">
        <v>25</v>
      </c>
      <c r="B26" s="234" t="s">
        <v>1771</v>
      </c>
      <c r="C26" s="234" t="s">
        <v>176</v>
      </c>
      <c r="D26" s="234" t="s">
        <v>417</v>
      </c>
      <c r="E26" s="235">
        <v>42256</v>
      </c>
      <c r="F26" s="234" t="s">
        <v>177</v>
      </c>
      <c r="G26" s="234">
        <v>325000</v>
      </c>
      <c r="H26" s="234">
        <v>377777</v>
      </c>
      <c r="I26" s="234">
        <v>0.16239076899999999</v>
      </c>
      <c r="J26" s="234" t="s">
        <v>465</v>
      </c>
      <c r="K26" s="234">
        <v>6</v>
      </c>
      <c r="L26" s="234" t="s">
        <v>25</v>
      </c>
      <c r="M26" s="234">
        <v>3</v>
      </c>
      <c r="N26" s="234" t="s">
        <v>458</v>
      </c>
      <c r="O26" s="234" t="s">
        <v>1751</v>
      </c>
      <c r="P26" s="234" t="s">
        <v>1754</v>
      </c>
      <c r="Q26" s="234">
        <v>415415</v>
      </c>
      <c r="R26" s="234">
        <v>261.05560000000003</v>
      </c>
      <c r="S26" s="234">
        <v>274.73050000000001</v>
      </c>
      <c r="T26" s="234">
        <v>344.00310000000002</v>
      </c>
      <c r="U26" s="234">
        <v>1688.223</v>
      </c>
      <c r="V26" s="234">
        <v>2173.7350000000001</v>
      </c>
      <c r="W26" s="234">
        <v>551.07799999999997</v>
      </c>
      <c r="X26" s="234">
        <v>1201.1949999999999</v>
      </c>
      <c r="Y26" s="234">
        <v>1205.8240000000001</v>
      </c>
      <c r="Z26" s="234">
        <v>340.11579999999998</v>
      </c>
      <c r="AA26" s="234">
        <v>1430.029</v>
      </c>
      <c r="AB26" s="234">
        <v>192.62790000000001</v>
      </c>
      <c r="AC26" s="234">
        <v>869.60929999999996</v>
      </c>
      <c r="AD26" s="234">
        <v>327.14909999999998</v>
      </c>
      <c r="AE26" s="234">
        <v>401.34160000000003</v>
      </c>
      <c r="AF26" s="234">
        <v>34128.019999999997</v>
      </c>
      <c r="AG26" s="234">
        <v>9779.01</v>
      </c>
      <c r="AH26" s="234">
        <v>57138.81</v>
      </c>
      <c r="AI26" s="234">
        <v>30235.59</v>
      </c>
      <c r="AJ26" s="234">
        <v>16123.1</v>
      </c>
      <c r="AK26" s="234">
        <v>30775.95</v>
      </c>
      <c r="AL26" s="234">
        <v>171768.7</v>
      </c>
      <c r="AM26" s="234">
        <v>20121.990000000002</v>
      </c>
      <c r="AN26" s="234">
        <v>15984.1</v>
      </c>
      <c r="AO26" s="234">
        <v>55007.1</v>
      </c>
      <c r="AP26" s="234">
        <v>59622.75</v>
      </c>
      <c r="AQ26" s="234">
        <v>13924.58</v>
      </c>
      <c r="AR26" s="234">
        <v>23219.02</v>
      </c>
      <c r="AS26" s="234">
        <v>259925.5</v>
      </c>
      <c r="AT26" s="234">
        <v>251342.2</v>
      </c>
      <c r="AU26" s="234">
        <v>312354.90000000002</v>
      </c>
      <c r="AV26" s="234">
        <v>72445.11</v>
      </c>
      <c r="AW26" s="234">
        <v>75748.3</v>
      </c>
      <c r="AX26" s="234">
        <v>8825.9269999999997</v>
      </c>
      <c r="AY26" s="234">
        <v>2173.7350000000001</v>
      </c>
      <c r="AZ26" s="234">
        <v>365181.6</v>
      </c>
      <c r="BA26" s="234">
        <v>18384.75</v>
      </c>
      <c r="BB26" s="234">
        <v>48731</v>
      </c>
      <c r="BC26" s="234">
        <v>54098</v>
      </c>
      <c r="BD26" s="234">
        <v>10039</v>
      </c>
      <c r="BE26" s="234" t="s">
        <v>1753</v>
      </c>
      <c r="BF26" s="234">
        <v>1.2782</v>
      </c>
      <c r="BG26" s="234">
        <v>1</v>
      </c>
      <c r="BH26" s="234">
        <v>90415</v>
      </c>
      <c r="BI26" s="234">
        <v>1</v>
      </c>
      <c r="BJ26" s="234">
        <v>0</v>
      </c>
      <c r="BK26" s="234">
        <v>0</v>
      </c>
      <c r="BL26" s="234">
        <v>0</v>
      </c>
      <c r="BM26" s="234">
        <v>0</v>
      </c>
      <c r="BN26" s="234">
        <f>IF(ECON_OUTPUT!BE26="Other",1,0)</f>
        <v>1</v>
      </c>
    </row>
    <row r="27" spans="1:66" x14ac:dyDescent="0.25">
      <c r="A27" s="234">
        <v>26</v>
      </c>
      <c r="B27" s="234" t="s">
        <v>1771</v>
      </c>
      <c r="C27" s="234" t="s">
        <v>151</v>
      </c>
      <c r="D27" s="234" t="s">
        <v>152</v>
      </c>
      <c r="E27" s="235">
        <v>42268</v>
      </c>
      <c r="F27" s="234" t="s">
        <v>34</v>
      </c>
      <c r="G27" s="234">
        <v>7900000</v>
      </c>
      <c r="H27" s="234">
        <v>6769800</v>
      </c>
      <c r="I27" s="234">
        <v>-0.14306329100000001</v>
      </c>
      <c r="J27" s="234" t="s">
        <v>464</v>
      </c>
      <c r="K27" s="234">
        <v>18</v>
      </c>
      <c r="L27" s="234" t="s">
        <v>93</v>
      </c>
      <c r="M27" s="234">
        <v>3</v>
      </c>
      <c r="N27" s="234" t="s">
        <v>458</v>
      </c>
      <c r="O27" s="234" t="s">
        <v>1751</v>
      </c>
      <c r="P27" s="234" t="s">
        <v>1754</v>
      </c>
      <c r="Q27" s="234">
        <v>8850000</v>
      </c>
      <c r="R27" s="234">
        <v>261.05560000000003</v>
      </c>
      <c r="S27" s="234">
        <v>274.73050000000001</v>
      </c>
      <c r="T27" s="234">
        <v>344.00310000000002</v>
      </c>
      <c r="U27" s="234">
        <v>1688.223</v>
      </c>
      <c r="V27" s="234">
        <v>2173.7350000000001</v>
      </c>
      <c r="W27" s="234">
        <v>551.07799999999997</v>
      </c>
      <c r="X27" s="234">
        <v>1201.1949999999999</v>
      </c>
      <c r="Y27" s="234">
        <v>1205.8240000000001</v>
      </c>
      <c r="Z27" s="234">
        <v>340.11579999999998</v>
      </c>
      <c r="AA27" s="234">
        <v>1430.029</v>
      </c>
      <c r="AB27" s="234">
        <v>192.62790000000001</v>
      </c>
      <c r="AC27" s="234">
        <v>869.60929999999996</v>
      </c>
      <c r="AD27" s="234">
        <v>327.14909999999998</v>
      </c>
      <c r="AE27" s="234">
        <v>401.34160000000003</v>
      </c>
      <c r="AF27" s="234">
        <v>34128.019999999997</v>
      </c>
      <c r="AG27" s="234">
        <v>9779.01</v>
      </c>
      <c r="AH27" s="234">
        <v>57138.81</v>
      </c>
      <c r="AI27" s="234">
        <v>30235.59</v>
      </c>
      <c r="AJ27" s="234">
        <v>16123.1</v>
      </c>
      <c r="AK27" s="234">
        <v>30775.95</v>
      </c>
      <c r="AL27" s="234">
        <v>171768.7</v>
      </c>
      <c r="AM27" s="234">
        <v>20121.990000000002</v>
      </c>
      <c r="AN27" s="234">
        <v>15984.1</v>
      </c>
      <c r="AO27" s="234">
        <v>55007.1</v>
      </c>
      <c r="AP27" s="234">
        <v>59622.75</v>
      </c>
      <c r="AQ27" s="234">
        <v>13924.58</v>
      </c>
      <c r="AR27" s="234">
        <v>23219.02</v>
      </c>
      <c r="AS27" s="234">
        <v>259925.5</v>
      </c>
      <c r="AT27" s="234">
        <v>251342.2</v>
      </c>
      <c r="AU27" s="234">
        <v>312354.90000000002</v>
      </c>
      <c r="AV27" s="234">
        <v>72445.11</v>
      </c>
      <c r="AW27" s="234">
        <v>75748.3</v>
      </c>
      <c r="AX27" s="234">
        <v>8825.9269999999997</v>
      </c>
      <c r="AY27" s="234">
        <v>2173.7350000000001</v>
      </c>
      <c r="AZ27" s="234">
        <v>365181.6</v>
      </c>
      <c r="BA27" s="234">
        <v>18384.75</v>
      </c>
      <c r="BB27" s="234">
        <v>48731</v>
      </c>
      <c r="BC27" s="234">
        <v>54098</v>
      </c>
      <c r="BD27" s="234">
        <v>10039</v>
      </c>
      <c r="BE27" s="234" t="s">
        <v>34</v>
      </c>
      <c r="BF27" s="234">
        <v>1.12025316455696</v>
      </c>
      <c r="BG27" s="234">
        <v>4</v>
      </c>
      <c r="BH27" s="234">
        <v>950000</v>
      </c>
      <c r="BI27" s="234">
        <v>0</v>
      </c>
      <c r="BJ27" s="234">
        <v>0</v>
      </c>
      <c r="BK27" s="234">
        <v>0</v>
      </c>
      <c r="BL27" s="234">
        <v>1</v>
      </c>
      <c r="BM27" s="234">
        <v>0</v>
      </c>
      <c r="BN27" s="234">
        <f>IF(ECON_OUTPUT!BE27="Other",1,0)</f>
        <v>0</v>
      </c>
    </row>
    <row r="28" spans="1:66" x14ac:dyDescent="0.25">
      <c r="A28" s="234">
        <v>27</v>
      </c>
      <c r="B28" s="234" t="s">
        <v>1771</v>
      </c>
      <c r="C28" s="234" t="s">
        <v>117</v>
      </c>
      <c r="D28" s="234" t="s">
        <v>118</v>
      </c>
      <c r="E28" s="235">
        <v>42277</v>
      </c>
      <c r="F28" s="234" t="s">
        <v>34</v>
      </c>
      <c r="G28" s="234">
        <v>7000000</v>
      </c>
      <c r="H28" s="234">
        <v>5851111</v>
      </c>
      <c r="I28" s="234">
        <v>-0.164127</v>
      </c>
      <c r="J28" s="234" t="s">
        <v>464</v>
      </c>
      <c r="K28" s="234">
        <v>15</v>
      </c>
      <c r="L28" s="234" t="s">
        <v>25</v>
      </c>
      <c r="M28" s="234">
        <v>3</v>
      </c>
      <c r="N28" s="234" t="s">
        <v>492</v>
      </c>
      <c r="O28" s="234" t="s">
        <v>1751</v>
      </c>
      <c r="P28" s="234" t="s">
        <v>1750</v>
      </c>
      <c r="Q28" s="234">
        <v>6789000</v>
      </c>
      <c r="R28" s="234">
        <v>261.05560000000003</v>
      </c>
      <c r="S28" s="234">
        <v>274.73050000000001</v>
      </c>
      <c r="T28" s="234">
        <v>344.00310000000002</v>
      </c>
      <c r="U28" s="234">
        <v>1688.223</v>
      </c>
      <c r="V28" s="234">
        <v>2173.7350000000001</v>
      </c>
      <c r="W28" s="234">
        <v>551.07799999999997</v>
      </c>
      <c r="X28" s="234">
        <v>1201.1949999999999</v>
      </c>
      <c r="Y28" s="234">
        <v>1205.8240000000001</v>
      </c>
      <c r="Z28" s="234">
        <v>340.11579999999998</v>
      </c>
      <c r="AA28" s="234">
        <v>1430.029</v>
      </c>
      <c r="AB28" s="234">
        <v>192.62790000000001</v>
      </c>
      <c r="AC28" s="234">
        <v>869.60929999999996</v>
      </c>
      <c r="AD28" s="234">
        <v>327.14909999999998</v>
      </c>
      <c r="AE28" s="234">
        <v>401.34160000000003</v>
      </c>
      <c r="AF28" s="234">
        <v>34128.019999999997</v>
      </c>
      <c r="AG28" s="234">
        <v>9779.01</v>
      </c>
      <c r="AH28" s="234">
        <v>57138.81</v>
      </c>
      <c r="AI28" s="234">
        <v>30235.59</v>
      </c>
      <c r="AJ28" s="234">
        <v>16123.1</v>
      </c>
      <c r="AK28" s="234">
        <v>30775.95</v>
      </c>
      <c r="AL28" s="234">
        <v>171768.7</v>
      </c>
      <c r="AM28" s="234">
        <v>20121.990000000002</v>
      </c>
      <c r="AN28" s="234">
        <v>15984.1</v>
      </c>
      <c r="AO28" s="234">
        <v>55007.1</v>
      </c>
      <c r="AP28" s="234">
        <v>59622.75</v>
      </c>
      <c r="AQ28" s="234">
        <v>13924.58</v>
      </c>
      <c r="AR28" s="234">
        <v>23219.02</v>
      </c>
      <c r="AS28" s="234">
        <v>259925.5</v>
      </c>
      <c r="AT28" s="234">
        <v>251342.2</v>
      </c>
      <c r="AU28" s="234">
        <v>312354.90000000002</v>
      </c>
      <c r="AV28" s="234">
        <v>72445.11</v>
      </c>
      <c r="AW28" s="234">
        <v>75748.3</v>
      </c>
      <c r="AX28" s="234">
        <v>8825.9269999999997</v>
      </c>
      <c r="AY28" s="234">
        <v>2173.7350000000001</v>
      </c>
      <c r="AZ28" s="234">
        <v>365181.6</v>
      </c>
      <c r="BA28" s="234">
        <v>18384.75</v>
      </c>
      <c r="BB28" s="234">
        <v>48731</v>
      </c>
      <c r="BC28" s="234">
        <v>54098</v>
      </c>
      <c r="BD28" s="234">
        <v>10039</v>
      </c>
      <c r="BE28" s="234" t="s">
        <v>34</v>
      </c>
      <c r="BF28" s="234">
        <v>0.96985714285714297</v>
      </c>
      <c r="BG28" s="234">
        <v>4</v>
      </c>
      <c r="BH28" s="234">
        <v>-211000</v>
      </c>
      <c r="BI28" s="234">
        <v>0</v>
      </c>
      <c r="BJ28" s="234">
        <v>0</v>
      </c>
      <c r="BK28" s="234">
        <v>0</v>
      </c>
      <c r="BL28" s="234">
        <v>1</v>
      </c>
      <c r="BM28" s="234">
        <v>0</v>
      </c>
      <c r="BN28" s="234">
        <f>IF(ECON_OUTPUT!BE28="Other",1,0)</f>
        <v>0</v>
      </c>
    </row>
    <row r="29" spans="1:66" x14ac:dyDescent="0.25">
      <c r="A29" s="234">
        <v>28</v>
      </c>
      <c r="B29" s="234" t="s">
        <v>1770</v>
      </c>
      <c r="C29" s="234" t="s">
        <v>219</v>
      </c>
      <c r="D29" s="234" t="s">
        <v>220</v>
      </c>
      <c r="E29" s="235">
        <v>42284</v>
      </c>
      <c r="F29" s="234" t="s">
        <v>1753</v>
      </c>
      <c r="G29" s="234">
        <v>7400000</v>
      </c>
      <c r="H29" s="234">
        <v>4985882.5</v>
      </c>
      <c r="I29" s="234">
        <v>-0.326232095</v>
      </c>
      <c r="J29" s="234" t="s">
        <v>465</v>
      </c>
      <c r="K29" s="234">
        <v>4</v>
      </c>
      <c r="L29" s="234" t="s">
        <v>226</v>
      </c>
      <c r="M29" s="234">
        <v>4</v>
      </c>
      <c r="N29" s="234" t="s">
        <v>457</v>
      </c>
      <c r="O29" s="234" t="s">
        <v>1751</v>
      </c>
      <c r="P29" s="234" t="s">
        <v>1755</v>
      </c>
      <c r="Q29" s="234">
        <v>5169777</v>
      </c>
      <c r="R29" s="234">
        <v>261.52190000000002</v>
      </c>
      <c r="S29" s="234">
        <v>274.84690000000001</v>
      </c>
      <c r="T29" s="234">
        <v>349.93700000000001</v>
      </c>
      <c r="U29" s="234">
        <v>1707.5319999999999</v>
      </c>
      <c r="V29" s="234">
        <v>2185.4920000000002</v>
      </c>
      <c r="W29" s="234">
        <v>553.20740000000001</v>
      </c>
      <c r="X29" s="234">
        <v>1200.2840000000001</v>
      </c>
      <c r="Y29" s="234">
        <v>1216.385</v>
      </c>
      <c r="Z29" s="234">
        <v>340.57249999999999</v>
      </c>
      <c r="AA29" s="234">
        <v>1439.297</v>
      </c>
      <c r="AB29" s="234">
        <v>192.9873</v>
      </c>
      <c r="AC29" s="234">
        <v>866.89239999999995</v>
      </c>
      <c r="AD29" s="234">
        <v>327.90780000000001</v>
      </c>
      <c r="AE29" s="234">
        <v>400.66559999999998</v>
      </c>
      <c r="AF29" s="234">
        <v>34602.5</v>
      </c>
      <c r="AG29" s="234">
        <v>9762.473</v>
      </c>
      <c r="AH29" s="234">
        <v>53383.68</v>
      </c>
      <c r="AI29" s="234">
        <v>30184.85</v>
      </c>
      <c r="AJ29" s="234">
        <v>16179.16</v>
      </c>
      <c r="AK29" s="234">
        <v>30790.32</v>
      </c>
      <c r="AL29" s="234">
        <v>167755.79999999999</v>
      </c>
      <c r="AM29" s="234">
        <v>20051.21</v>
      </c>
      <c r="AN29" s="234">
        <v>15069.69</v>
      </c>
      <c r="AO29" s="234">
        <v>55249.84</v>
      </c>
      <c r="AP29" s="234">
        <v>59122.23</v>
      </c>
      <c r="AQ29" s="234">
        <v>13659.83</v>
      </c>
      <c r="AR29" s="234">
        <v>23101.439999999999</v>
      </c>
      <c r="AS29" s="234">
        <v>258601.9</v>
      </c>
      <c r="AT29" s="234">
        <v>250176</v>
      </c>
      <c r="AU29" s="234">
        <v>310811.59999999998</v>
      </c>
      <c r="AV29" s="234">
        <v>71935.7</v>
      </c>
      <c r="AW29" s="234">
        <v>76297.16</v>
      </c>
      <c r="AX29" s="234">
        <v>8870.5159999999996</v>
      </c>
      <c r="AY29" s="234">
        <v>2185.4920000000002</v>
      </c>
      <c r="AZ29" s="234">
        <v>359764.3</v>
      </c>
      <c r="BA29" s="234">
        <v>18390.39</v>
      </c>
      <c r="BB29" s="234">
        <v>48467</v>
      </c>
      <c r="BC29" s="234">
        <v>48731</v>
      </c>
      <c r="BD29" s="234">
        <v>10092</v>
      </c>
      <c r="BE29" s="234" t="s">
        <v>1753</v>
      </c>
      <c r="BF29" s="234">
        <v>0.69861851351351401</v>
      </c>
      <c r="BG29" s="234">
        <v>4</v>
      </c>
      <c r="BH29" s="234">
        <v>-2230223</v>
      </c>
      <c r="BI29" s="234">
        <v>0</v>
      </c>
      <c r="BJ29" s="234">
        <v>0</v>
      </c>
      <c r="BK29" s="234">
        <v>0</v>
      </c>
      <c r="BL29" s="234">
        <v>1</v>
      </c>
      <c r="BM29" s="234">
        <v>0</v>
      </c>
      <c r="BN29" s="234">
        <f>IF(ECON_OUTPUT!BE29="Other",1,0)</f>
        <v>1</v>
      </c>
    </row>
    <row r="30" spans="1:66" x14ac:dyDescent="0.25">
      <c r="A30" s="234">
        <v>29</v>
      </c>
      <c r="B30" s="234" t="s">
        <v>1770</v>
      </c>
      <c r="C30" s="234" t="s">
        <v>106</v>
      </c>
      <c r="D30" s="234" t="s">
        <v>107</v>
      </c>
      <c r="E30" s="235">
        <v>42292</v>
      </c>
      <c r="F30" s="234" t="s">
        <v>34</v>
      </c>
      <c r="G30" s="234">
        <v>3650000</v>
      </c>
      <c r="H30" s="234">
        <v>3270000</v>
      </c>
      <c r="I30" s="234">
        <v>-0.104109589</v>
      </c>
      <c r="J30" s="234" t="s">
        <v>464</v>
      </c>
      <c r="K30" s="234">
        <v>6</v>
      </c>
      <c r="L30" s="234" t="s">
        <v>25</v>
      </c>
      <c r="M30" s="234">
        <v>4</v>
      </c>
      <c r="N30" s="234" t="s">
        <v>458</v>
      </c>
      <c r="O30" s="234" t="s">
        <v>1751</v>
      </c>
      <c r="P30" s="234" t="s">
        <v>1750</v>
      </c>
      <c r="Q30" s="234">
        <v>3654000</v>
      </c>
      <c r="R30" s="234">
        <v>261.52190000000002</v>
      </c>
      <c r="S30" s="234">
        <v>274.84690000000001</v>
      </c>
      <c r="T30" s="234">
        <v>349.93700000000001</v>
      </c>
      <c r="U30" s="234">
        <v>1707.5319999999999</v>
      </c>
      <c r="V30" s="234">
        <v>2185.4920000000002</v>
      </c>
      <c r="W30" s="234">
        <v>553.20740000000001</v>
      </c>
      <c r="X30" s="234">
        <v>1200.2840000000001</v>
      </c>
      <c r="Y30" s="234">
        <v>1216.385</v>
      </c>
      <c r="Z30" s="234">
        <v>340.57249999999999</v>
      </c>
      <c r="AA30" s="234">
        <v>1439.297</v>
      </c>
      <c r="AB30" s="234">
        <v>192.9873</v>
      </c>
      <c r="AC30" s="234">
        <v>866.89239999999995</v>
      </c>
      <c r="AD30" s="234">
        <v>327.90780000000001</v>
      </c>
      <c r="AE30" s="234">
        <v>400.66559999999998</v>
      </c>
      <c r="AF30" s="234">
        <v>34602.5</v>
      </c>
      <c r="AG30" s="234">
        <v>9762.473</v>
      </c>
      <c r="AH30" s="234">
        <v>53383.68</v>
      </c>
      <c r="AI30" s="234">
        <v>30184.85</v>
      </c>
      <c r="AJ30" s="234">
        <v>16179.16</v>
      </c>
      <c r="AK30" s="234">
        <v>30790.32</v>
      </c>
      <c r="AL30" s="234">
        <v>167755.79999999999</v>
      </c>
      <c r="AM30" s="234">
        <v>20051.21</v>
      </c>
      <c r="AN30" s="234">
        <v>15069.69</v>
      </c>
      <c r="AO30" s="234">
        <v>55249.84</v>
      </c>
      <c r="AP30" s="234">
        <v>59122.23</v>
      </c>
      <c r="AQ30" s="234">
        <v>13659.83</v>
      </c>
      <c r="AR30" s="234">
        <v>23101.439999999999</v>
      </c>
      <c r="AS30" s="234">
        <v>258601.9</v>
      </c>
      <c r="AT30" s="234">
        <v>250176</v>
      </c>
      <c r="AU30" s="234">
        <v>310811.59999999998</v>
      </c>
      <c r="AV30" s="234">
        <v>71935.7</v>
      </c>
      <c r="AW30" s="234">
        <v>76297.16</v>
      </c>
      <c r="AX30" s="234">
        <v>8870.5159999999996</v>
      </c>
      <c r="AY30" s="234">
        <v>2185.4920000000002</v>
      </c>
      <c r="AZ30" s="234">
        <v>359764.3</v>
      </c>
      <c r="BA30" s="234">
        <v>18390.39</v>
      </c>
      <c r="BB30" s="234">
        <v>48467</v>
      </c>
      <c r="BC30" s="234">
        <v>48731</v>
      </c>
      <c r="BD30" s="234">
        <v>10092</v>
      </c>
      <c r="BE30" s="234" t="s">
        <v>34</v>
      </c>
      <c r="BF30" s="234">
        <v>1.0010958904109599</v>
      </c>
      <c r="BG30" s="234">
        <v>3</v>
      </c>
      <c r="BH30" s="234">
        <v>4000</v>
      </c>
      <c r="BI30" s="234">
        <v>0</v>
      </c>
      <c r="BJ30" s="234">
        <v>0</v>
      </c>
      <c r="BK30" s="234">
        <v>1</v>
      </c>
      <c r="BL30" s="234">
        <v>0</v>
      </c>
      <c r="BM30" s="234">
        <v>0</v>
      </c>
      <c r="BN30" s="234">
        <f>IF(ECON_OUTPUT!BE30="Other",1,0)</f>
        <v>0</v>
      </c>
    </row>
    <row r="31" spans="1:66" x14ac:dyDescent="0.25">
      <c r="A31" s="234">
        <v>30</v>
      </c>
      <c r="B31" s="234" t="s">
        <v>1770</v>
      </c>
      <c r="C31" s="234" t="s">
        <v>101</v>
      </c>
      <c r="D31" s="234" t="s">
        <v>211</v>
      </c>
      <c r="E31" s="235">
        <v>42297</v>
      </c>
      <c r="F31" s="234" t="s">
        <v>34</v>
      </c>
      <c r="G31" s="234">
        <v>1290000</v>
      </c>
      <c r="H31" s="234">
        <v>1552600</v>
      </c>
      <c r="I31" s="234">
        <v>0.203565891</v>
      </c>
      <c r="J31" s="234" t="s">
        <v>465</v>
      </c>
      <c r="K31" s="234">
        <v>9</v>
      </c>
      <c r="L31" s="234" t="s">
        <v>25</v>
      </c>
      <c r="M31" s="234">
        <v>4</v>
      </c>
      <c r="N31" s="234" t="s">
        <v>457</v>
      </c>
      <c r="O31" s="234" t="s">
        <v>1751</v>
      </c>
      <c r="P31" s="234" t="s">
        <v>1755</v>
      </c>
      <c r="Q31" s="234">
        <v>1557557.5</v>
      </c>
      <c r="R31" s="234">
        <v>261.52190000000002</v>
      </c>
      <c r="S31" s="234">
        <v>274.84690000000001</v>
      </c>
      <c r="T31" s="234">
        <v>349.93700000000001</v>
      </c>
      <c r="U31" s="234">
        <v>1707.5319999999999</v>
      </c>
      <c r="V31" s="234">
        <v>2185.4920000000002</v>
      </c>
      <c r="W31" s="234">
        <v>553.20740000000001</v>
      </c>
      <c r="X31" s="234">
        <v>1200.2840000000001</v>
      </c>
      <c r="Y31" s="234">
        <v>1216.385</v>
      </c>
      <c r="Z31" s="234">
        <v>340.57249999999999</v>
      </c>
      <c r="AA31" s="234">
        <v>1439.297</v>
      </c>
      <c r="AB31" s="234">
        <v>192.9873</v>
      </c>
      <c r="AC31" s="234">
        <v>866.89239999999995</v>
      </c>
      <c r="AD31" s="234">
        <v>327.90780000000001</v>
      </c>
      <c r="AE31" s="234">
        <v>400.66559999999998</v>
      </c>
      <c r="AF31" s="234">
        <v>34602.5</v>
      </c>
      <c r="AG31" s="234">
        <v>9762.473</v>
      </c>
      <c r="AH31" s="234">
        <v>53383.68</v>
      </c>
      <c r="AI31" s="234">
        <v>30184.85</v>
      </c>
      <c r="AJ31" s="234">
        <v>16179.16</v>
      </c>
      <c r="AK31" s="234">
        <v>30790.32</v>
      </c>
      <c r="AL31" s="234">
        <v>167755.79999999999</v>
      </c>
      <c r="AM31" s="234">
        <v>20051.21</v>
      </c>
      <c r="AN31" s="234">
        <v>15069.69</v>
      </c>
      <c r="AO31" s="234">
        <v>55249.84</v>
      </c>
      <c r="AP31" s="234">
        <v>59122.23</v>
      </c>
      <c r="AQ31" s="234">
        <v>13659.83</v>
      </c>
      <c r="AR31" s="234">
        <v>23101.439999999999</v>
      </c>
      <c r="AS31" s="234">
        <v>258601.9</v>
      </c>
      <c r="AT31" s="234">
        <v>250176</v>
      </c>
      <c r="AU31" s="234">
        <v>310811.59999999998</v>
      </c>
      <c r="AV31" s="234">
        <v>71935.7</v>
      </c>
      <c r="AW31" s="234">
        <v>76297.16</v>
      </c>
      <c r="AX31" s="234">
        <v>8870.5159999999996</v>
      </c>
      <c r="AY31" s="234">
        <v>2185.4920000000002</v>
      </c>
      <c r="AZ31" s="234">
        <v>359764.3</v>
      </c>
      <c r="BA31" s="234">
        <v>18390.39</v>
      </c>
      <c r="BB31" s="234">
        <v>48467</v>
      </c>
      <c r="BC31" s="234">
        <v>48731</v>
      </c>
      <c r="BD31" s="234">
        <v>10092</v>
      </c>
      <c r="BE31" s="234" t="s">
        <v>34</v>
      </c>
      <c r="BF31" s="234">
        <v>1.2074089147286799</v>
      </c>
      <c r="BG31" s="234">
        <v>2</v>
      </c>
      <c r="BH31" s="234">
        <v>267557.5</v>
      </c>
      <c r="BI31" s="234">
        <v>0</v>
      </c>
      <c r="BJ31" s="234">
        <v>1</v>
      </c>
      <c r="BK31" s="234">
        <v>0</v>
      </c>
      <c r="BL31" s="234">
        <v>0</v>
      </c>
      <c r="BM31" s="234">
        <v>0</v>
      </c>
      <c r="BN31" s="234">
        <f>IF(ECON_OUTPUT!BE31="Other",1,0)</f>
        <v>0</v>
      </c>
    </row>
    <row r="32" spans="1:66" x14ac:dyDescent="0.25">
      <c r="A32" s="234">
        <v>31</v>
      </c>
      <c r="B32" s="234" t="s">
        <v>1770</v>
      </c>
      <c r="C32" s="234" t="s">
        <v>86</v>
      </c>
      <c r="D32" s="234" t="s">
        <v>416</v>
      </c>
      <c r="E32" s="235">
        <v>42304</v>
      </c>
      <c r="F32" s="234" t="s">
        <v>34</v>
      </c>
      <c r="G32" s="234">
        <v>1340000</v>
      </c>
      <c r="H32" s="234">
        <v>1850000</v>
      </c>
      <c r="I32" s="234">
        <v>0.38059701499999998</v>
      </c>
      <c r="J32" s="234" t="s">
        <v>465</v>
      </c>
      <c r="K32" s="234">
        <v>4</v>
      </c>
      <c r="L32" s="234" t="s">
        <v>25</v>
      </c>
      <c r="M32" s="234">
        <v>4</v>
      </c>
      <c r="N32" s="234" t="s">
        <v>457</v>
      </c>
      <c r="O32" s="234" t="s">
        <v>1751</v>
      </c>
      <c r="P32" s="234" t="s">
        <v>1750</v>
      </c>
      <c r="Q32" s="234">
        <v>2174000</v>
      </c>
      <c r="R32" s="234">
        <v>261.52190000000002</v>
      </c>
      <c r="S32" s="234">
        <v>274.84690000000001</v>
      </c>
      <c r="T32" s="234">
        <v>349.93700000000001</v>
      </c>
      <c r="U32" s="234">
        <v>1707.5319999999999</v>
      </c>
      <c r="V32" s="234">
        <v>2185.4920000000002</v>
      </c>
      <c r="W32" s="234">
        <v>553.20740000000001</v>
      </c>
      <c r="X32" s="234">
        <v>1200.2840000000001</v>
      </c>
      <c r="Y32" s="234">
        <v>1216.385</v>
      </c>
      <c r="Z32" s="234">
        <v>340.57249999999999</v>
      </c>
      <c r="AA32" s="234">
        <v>1439.297</v>
      </c>
      <c r="AB32" s="234">
        <v>192.9873</v>
      </c>
      <c r="AC32" s="234">
        <v>866.89239999999995</v>
      </c>
      <c r="AD32" s="234">
        <v>327.90780000000001</v>
      </c>
      <c r="AE32" s="234">
        <v>400.66559999999998</v>
      </c>
      <c r="AF32" s="234">
        <v>34602.5</v>
      </c>
      <c r="AG32" s="234">
        <v>9762.473</v>
      </c>
      <c r="AH32" s="234">
        <v>53383.68</v>
      </c>
      <c r="AI32" s="234">
        <v>30184.85</v>
      </c>
      <c r="AJ32" s="234">
        <v>16179.16</v>
      </c>
      <c r="AK32" s="234">
        <v>30790.32</v>
      </c>
      <c r="AL32" s="234">
        <v>167755.79999999999</v>
      </c>
      <c r="AM32" s="234">
        <v>20051.21</v>
      </c>
      <c r="AN32" s="234">
        <v>15069.69</v>
      </c>
      <c r="AO32" s="234">
        <v>55249.84</v>
      </c>
      <c r="AP32" s="234">
        <v>59122.23</v>
      </c>
      <c r="AQ32" s="234">
        <v>13659.83</v>
      </c>
      <c r="AR32" s="234">
        <v>23101.439999999999</v>
      </c>
      <c r="AS32" s="234">
        <v>258601.9</v>
      </c>
      <c r="AT32" s="234">
        <v>250176</v>
      </c>
      <c r="AU32" s="234">
        <v>310811.59999999998</v>
      </c>
      <c r="AV32" s="234">
        <v>71935.7</v>
      </c>
      <c r="AW32" s="234">
        <v>76297.16</v>
      </c>
      <c r="AX32" s="234">
        <v>8870.5159999999996</v>
      </c>
      <c r="AY32" s="234">
        <v>2185.4920000000002</v>
      </c>
      <c r="AZ32" s="234">
        <v>359764.3</v>
      </c>
      <c r="BA32" s="234">
        <v>18390.39</v>
      </c>
      <c r="BB32" s="234">
        <v>48467</v>
      </c>
      <c r="BC32" s="234">
        <v>48731</v>
      </c>
      <c r="BD32" s="234">
        <v>10092</v>
      </c>
      <c r="BE32" s="234" t="s">
        <v>34</v>
      </c>
      <c r="BF32" s="234">
        <v>1.6223880597014899</v>
      </c>
      <c r="BG32" s="234">
        <v>2</v>
      </c>
      <c r="BH32" s="234">
        <v>834000</v>
      </c>
      <c r="BI32" s="234">
        <v>0</v>
      </c>
      <c r="BJ32" s="234">
        <v>1</v>
      </c>
      <c r="BK32" s="234">
        <v>0</v>
      </c>
      <c r="BL32" s="234">
        <v>0</v>
      </c>
      <c r="BM32" s="234">
        <v>0</v>
      </c>
      <c r="BN32" s="234">
        <f>IF(ECON_OUTPUT!BE32="Other",1,0)</f>
        <v>0</v>
      </c>
    </row>
    <row r="33" spans="1:66" x14ac:dyDescent="0.25">
      <c r="A33" s="234">
        <v>32</v>
      </c>
      <c r="B33" s="234" t="s">
        <v>1770</v>
      </c>
      <c r="C33" s="234" t="s">
        <v>196</v>
      </c>
      <c r="D33" s="234" t="s">
        <v>197</v>
      </c>
      <c r="E33" s="235">
        <v>42307</v>
      </c>
      <c r="F33" s="234" t="s">
        <v>34</v>
      </c>
      <c r="G33" s="234">
        <v>7100000</v>
      </c>
      <c r="H33" s="234">
        <v>6676400</v>
      </c>
      <c r="I33" s="234">
        <v>-5.9661972000000001E-2</v>
      </c>
      <c r="J33" s="234" t="s">
        <v>464</v>
      </c>
      <c r="K33" s="234">
        <v>11</v>
      </c>
      <c r="L33" s="234" t="s">
        <v>226</v>
      </c>
      <c r="M33" s="234">
        <v>4</v>
      </c>
      <c r="N33" s="234" t="s">
        <v>457</v>
      </c>
      <c r="O33" s="234" t="s">
        <v>1751</v>
      </c>
      <c r="P33" s="234" t="s">
        <v>1750</v>
      </c>
      <c r="Q33" s="234">
        <v>8765900</v>
      </c>
      <c r="R33" s="234">
        <v>261.52190000000002</v>
      </c>
      <c r="S33" s="234">
        <v>274.84690000000001</v>
      </c>
      <c r="T33" s="234">
        <v>349.93700000000001</v>
      </c>
      <c r="U33" s="234">
        <v>1707.5319999999999</v>
      </c>
      <c r="V33" s="234">
        <v>2185.4920000000002</v>
      </c>
      <c r="W33" s="234">
        <v>553.20740000000001</v>
      </c>
      <c r="X33" s="234">
        <v>1200.2840000000001</v>
      </c>
      <c r="Y33" s="234">
        <v>1216.385</v>
      </c>
      <c r="Z33" s="234">
        <v>340.57249999999999</v>
      </c>
      <c r="AA33" s="234">
        <v>1439.297</v>
      </c>
      <c r="AB33" s="234">
        <v>192.9873</v>
      </c>
      <c r="AC33" s="234">
        <v>866.89239999999995</v>
      </c>
      <c r="AD33" s="234">
        <v>327.90780000000001</v>
      </c>
      <c r="AE33" s="234">
        <v>400.66559999999998</v>
      </c>
      <c r="AF33" s="234">
        <v>34602.5</v>
      </c>
      <c r="AG33" s="234">
        <v>9762.473</v>
      </c>
      <c r="AH33" s="234">
        <v>53383.68</v>
      </c>
      <c r="AI33" s="234">
        <v>30184.85</v>
      </c>
      <c r="AJ33" s="234">
        <v>16179.16</v>
      </c>
      <c r="AK33" s="234">
        <v>30790.32</v>
      </c>
      <c r="AL33" s="234">
        <v>167755.79999999999</v>
      </c>
      <c r="AM33" s="234">
        <v>20051.21</v>
      </c>
      <c r="AN33" s="234">
        <v>15069.69</v>
      </c>
      <c r="AO33" s="234">
        <v>55249.84</v>
      </c>
      <c r="AP33" s="234">
        <v>59122.23</v>
      </c>
      <c r="AQ33" s="234">
        <v>13659.83</v>
      </c>
      <c r="AR33" s="234">
        <v>23101.439999999999</v>
      </c>
      <c r="AS33" s="234">
        <v>258601.9</v>
      </c>
      <c r="AT33" s="234">
        <v>250176</v>
      </c>
      <c r="AU33" s="234">
        <v>310811.59999999998</v>
      </c>
      <c r="AV33" s="234">
        <v>71935.7</v>
      </c>
      <c r="AW33" s="234">
        <v>76297.16</v>
      </c>
      <c r="AX33" s="234">
        <v>8870.5159999999996</v>
      </c>
      <c r="AY33" s="234">
        <v>2185.4920000000002</v>
      </c>
      <c r="AZ33" s="234">
        <v>359764.3</v>
      </c>
      <c r="BA33" s="234">
        <v>18390.39</v>
      </c>
      <c r="BB33" s="234">
        <v>48467</v>
      </c>
      <c r="BC33" s="234">
        <v>48731</v>
      </c>
      <c r="BD33" s="234">
        <v>10092</v>
      </c>
      <c r="BE33" s="234" t="s">
        <v>34</v>
      </c>
      <c r="BF33" s="234">
        <v>1.2346338028168999</v>
      </c>
      <c r="BG33" s="234">
        <v>4</v>
      </c>
      <c r="BH33" s="234">
        <v>1665900</v>
      </c>
      <c r="BI33" s="234">
        <v>0</v>
      </c>
      <c r="BJ33" s="234">
        <v>0</v>
      </c>
      <c r="BK33" s="234">
        <v>0</v>
      </c>
      <c r="BL33" s="234">
        <v>1</v>
      </c>
      <c r="BM33" s="234">
        <v>0</v>
      </c>
      <c r="BN33" s="234">
        <f>IF(ECON_OUTPUT!BE33="Other",1,0)</f>
        <v>0</v>
      </c>
    </row>
    <row r="34" spans="1:66" x14ac:dyDescent="0.25">
      <c r="A34" s="234">
        <v>33</v>
      </c>
      <c r="B34" s="234" t="s">
        <v>1770</v>
      </c>
      <c r="C34" s="234" t="s">
        <v>188</v>
      </c>
      <c r="D34" s="234" t="s">
        <v>189</v>
      </c>
      <c r="E34" s="235">
        <v>42310</v>
      </c>
      <c r="F34" s="234" t="s">
        <v>1753</v>
      </c>
      <c r="G34" s="234">
        <v>7055100</v>
      </c>
      <c r="H34" s="234">
        <v>5774440</v>
      </c>
      <c r="I34" s="234">
        <v>-0.18152258600000001</v>
      </c>
      <c r="J34" s="234" t="s">
        <v>465</v>
      </c>
      <c r="K34" s="234">
        <v>3</v>
      </c>
      <c r="L34" s="234" t="s">
        <v>25</v>
      </c>
      <c r="M34" s="234">
        <v>4</v>
      </c>
      <c r="N34" s="234" t="s">
        <v>458</v>
      </c>
      <c r="O34" s="234" t="s">
        <v>1751</v>
      </c>
      <c r="P34" s="234" t="s">
        <v>1755</v>
      </c>
      <c r="Q34" s="234">
        <v>6387950</v>
      </c>
      <c r="R34" s="234">
        <v>261.52190000000002</v>
      </c>
      <c r="S34" s="234">
        <v>274.84690000000001</v>
      </c>
      <c r="T34" s="234">
        <v>349.93700000000001</v>
      </c>
      <c r="U34" s="234">
        <v>1707.5319999999999</v>
      </c>
      <c r="V34" s="234">
        <v>2185.4920000000002</v>
      </c>
      <c r="W34" s="234">
        <v>553.20740000000001</v>
      </c>
      <c r="X34" s="234">
        <v>1200.2840000000001</v>
      </c>
      <c r="Y34" s="234">
        <v>1216.385</v>
      </c>
      <c r="Z34" s="234">
        <v>340.57249999999999</v>
      </c>
      <c r="AA34" s="234">
        <v>1439.297</v>
      </c>
      <c r="AB34" s="234">
        <v>192.9873</v>
      </c>
      <c r="AC34" s="234">
        <v>866.89239999999995</v>
      </c>
      <c r="AD34" s="234">
        <v>327.90780000000001</v>
      </c>
      <c r="AE34" s="234">
        <v>400.66559999999998</v>
      </c>
      <c r="AF34" s="234">
        <v>34602.5</v>
      </c>
      <c r="AG34" s="234">
        <v>9762.473</v>
      </c>
      <c r="AH34" s="234">
        <v>53383.68</v>
      </c>
      <c r="AI34" s="234">
        <v>30184.85</v>
      </c>
      <c r="AJ34" s="234">
        <v>16179.16</v>
      </c>
      <c r="AK34" s="234">
        <v>30790.32</v>
      </c>
      <c r="AL34" s="234">
        <v>167755.79999999999</v>
      </c>
      <c r="AM34" s="234">
        <v>20051.21</v>
      </c>
      <c r="AN34" s="234">
        <v>15069.69</v>
      </c>
      <c r="AO34" s="234">
        <v>55249.84</v>
      </c>
      <c r="AP34" s="234">
        <v>59122.23</v>
      </c>
      <c r="AQ34" s="234">
        <v>13659.83</v>
      </c>
      <c r="AR34" s="234">
        <v>23101.439999999999</v>
      </c>
      <c r="AS34" s="234">
        <v>258601.9</v>
      </c>
      <c r="AT34" s="234">
        <v>250176</v>
      </c>
      <c r="AU34" s="234">
        <v>310811.59999999998</v>
      </c>
      <c r="AV34" s="234">
        <v>71935.7</v>
      </c>
      <c r="AW34" s="234">
        <v>76297.16</v>
      </c>
      <c r="AX34" s="234">
        <v>8870.5159999999996</v>
      </c>
      <c r="AY34" s="234">
        <v>2185.4920000000002</v>
      </c>
      <c r="AZ34" s="234">
        <v>359764.3</v>
      </c>
      <c r="BA34" s="234">
        <v>18390.39</v>
      </c>
      <c r="BB34" s="234">
        <v>48467</v>
      </c>
      <c r="BC34" s="234">
        <v>48731</v>
      </c>
      <c r="BD34" s="234">
        <v>10092</v>
      </c>
      <c r="BE34" s="234" t="s">
        <v>1753</v>
      </c>
      <c r="BF34" s="234">
        <v>0.90543720145710205</v>
      </c>
      <c r="BG34" s="234">
        <v>4</v>
      </c>
      <c r="BH34" s="234">
        <v>-667150</v>
      </c>
      <c r="BI34" s="234">
        <v>0</v>
      </c>
      <c r="BJ34" s="234">
        <v>0</v>
      </c>
      <c r="BK34" s="234">
        <v>0</v>
      </c>
      <c r="BL34" s="234">
        <v>1</v>
      </c>
      <c r="BM34" s="234">
        <v>0</v>
      </c>
      <c r="BN34" s="234">
        <f>IF(ECON_OUTPUT!BE34="Other",1,0)</f>
        <v>1</v>
      </c>
    </row>
    <row r="35" spans="1:66" x14ac:dyDescent="0.25">
      <c r="A35" s="234">
        <v>34</v>
      </c>
      <c r="B35" s="234" t="s">
        <v>1770</v>
      </c>
      <c r="C35" s="234" t="s">
        <v>224</v>
      </c>
      <c r="D35" s="234" t="s">
        <v>80</v>
      </c>
      <c r="E35" s="235">
        <v>42312</v>
      </c>
      <c r="F35" s="234" t="s">
        <v>34</v>
      </c>
      <c r="G35" s="234">
        <v>8700000</v>
      </c>
      <c r="H35" s="234">
        <v>10162935</v>
      </c>
      <c r="I35" s="234">
        <v>0.16815344800000001</v>
      </c>
      <c r="J35" s="234" t="s">
        <v>465</v>
      </c>
      <c r="K35" s="234">
        <v>3</v>
      </c>
      <c r="L35" s="234" t="s">
        <v>226</v>
      </c>
      <c r="M35" s="234">
        <v>4</v>
      </c>
      <c r="N35" s="234" t="s">
        <v>457</v>
      </c>
      <c r="O35" s="234" t="s">
        <v>1751</v>
      </c>
      <c r="P35" s="234" t="s">
        <v>1750</v>
      </c>
      <c r="Q35" s="234">
        <v>10760000</v>
      </c>
      <c r="R35" s="234">
        <v>261.52190000000002</v>
      </c>
      <c r="S35" s="234">
        <v>274.84690000000001</v>
      </c>
      <c r="T35" s="234">
        <v>349.93700000000001</v>
      </c>
      <c r="U35" s="234">
        <v>1707.5319999999999</v>
      </c>
      <c r="V35" s="234">
        <v>2185.4920000000002</v>
      </c>
      <c r="W35" s="234">
        <v>553.20740000000001</v>
      </c>
      <c r="X35" s="234">
        <v>1200.2840000000001</v>
      </c>
      <c r="Y35" s="234">
        <v>1216.385</v>
      </c>
      <c r="Z35" s="234">
        <v>340.57249999999999</v>
      </c>
      <c r="AA35" s="234">
        <v>1439.297</v>
      </c>
      <c r="AB35" s="234">
        <v>192.9873</v>
      </c>
      <c r="AC35" s="234">
        <v>866.89239999999995</v>
      </c>
      <c r="AD35" s="234">
        <v>327.90780000000001</v>
      </c>
      <c r="AE35" s="234">
        <v>400.66559999999998</v>
      </c>
      <c r="AF35" s="234">
        <v>34602.5</v>
      </c>
      <c r="AG35" s="234">
        <v>9762.473</v>
      </c>
      <c r="AH35" s="234">
        <v>53383.68</v>
      </c>
      <c r="AI35" s="234">
        <v>30184.85</v>
      </c>
      <c r="AJ35" s="234">
        <v>16179.16</v>
      </c>
      <c r="AK35" s="234">
        <v>30790.32</v>
      </c>
      <c r="AL35" s="234">
        <v>167755.79999999999</v>
      </c>
      <c r="AM35" s="234">
        <v>20051.21</v>
      </c>
      <c r="AN35" s="234">
        <v>15069.69</v>
      </c>
      <c r="AO35" s="234">
        <v>55249.84</v>
      </c>
      <c r="AP35" s="234">
        <v>59122.23</v>
      </c>
      <c r="AQ35" s="234">
        <v>13659.83</v>
      </c>
      <c r="AR35" s="234">
        <v>23101.439999999999</v>
      </c>
      <c r="AS35" s="234">
        <v>258601.9</v>
      </c>
      <c r="AT35" s="234">
        <v>250176</v>
      </c>
      <c r="AU35" s="234">
        <v>310811.59999999998</v>
      </c>
      <c r="AV35" s="234">
        <v>71935.7</v>
      </c>
      <c r="AW35" s="234">
        <v>76297.16</v>
      </c>
      <c r="AX35" s="234">
        <v>8870.5159999999996</v>
      </c>
      <c r="AY35" s="234">
        <v>2185.4920000000002</v>
      </c>
      <c r="AZ35" s="234">
        <v>359764.3</v>
      </c>
      <c r="BA35" s="234">
        <v>18390.39</v>
      </c>
      <c r="BB35" s="234">
        <v>48467</v>
      </c>
      <c r="BC35" s="234">
        <v>48731</v>
      </c>
      <c r="BD35" s="234">
        <v>10092</v>
      </c>
      <c r="BE35" s="234" t="s">
        <v>34</v>
      </c>
      <c r="BF35" s="234">
        <v>1.2367816091954</v>
      </c>
      <c r="BG35" s="234">
        <v>4</v>
      </c>
      <c r="BH35" s="234">
        <v>2060000</v>
      </c>
      <c r="BI35" s="234">
        <v>0</v>
      </c>
      <c r="BJ35" s="234">
        <v>0</v>
      </c>
      <c r="BK35" s="234">
        <v>0</v>
      </c>
      <c r="BL35" s="234">
        <v>1</v>
      </c>
      <c r="BM35" s="234">
        <v>0</v>
      </c>
      <c r="BN35" s="234">
        <f>IF(ECON_OUTPUT!BE35="Other",1,0)</f>
        <v>0</v>
      </c>
    </row>
    <row r="36" spans="1:66" x14ac:dyDescent="0.25">
      <c r="A36" s="234">
        <v>35</v>
      </c>
      <c r="B36" s="234" t="s">
        <v>1770</v>
      </c>
      <c r="C36" s="234" t="s">
        <v>425</v>
      </c>
      <c r="D36" s="234" t="s">
        <v>426</v>
      </c>
      <c r="E36" s="235">
        <v>42338</v>
      </c>
      <c r="F36" s="234" t="s">
        <v>34</v>
      </c>
      <c r="G36" s="234">
        <v>1200000</v>
      </c>
      <c r="H36" s="234">
        <v>1222222</v>
      </c>
      <c r="I36" s="234">
        <v>1.8518333000000001E-2</v>
      </c>
      <c r="J36" s="234" t="s">
        <v>464</v>
      </c>
      <c r="K36" s="234">
        <v>6</v>
      </c>
      <c r="L36" s="234" t="s">
        <v>93</v>
      </c>
      <c r="M36" s="234">
        <v>4</v>
      </c>
      <c r="N36" s="234" t="s">
        <v>458</v>
      </c>
      <c r="O36" s="234" t="s">
        <v>1751</v>
      </c>
      <c r="P36" s="234" t="s">
        <v>1750</v>
      </c>
      <c r="Q36" s="234">
        <v>1488000</v>
      </c>
      <c r="R36" s="234">
        <v>261.52190000000002</v>
      </c>
      <c r="S36" s="234">
        <v>274.84690000000001</v>
      </c>
      <c r="T36" s="234">
        <v>349.93700000000001</v>
      </c>
      <c r="U36" s="234">
        <v>1707.5319999999999</v>
      </c>
      <c r="V36" s="234">
        <v>2185.4920000000002</v>
      </c>
      <c r="W36" s="234">
        <v>553.20740000000001</v>
      </c>
      <c r="X36" s="234">
        <v>1200.2840000000001</v>
      </c>
      <c r="Y36" s="234">
        <v>1216.385</v>
      </c>
      <c r="Z36" s="234">
        <v>340.57249999999999</v>
      </c>
      <c r="AA36" s="234">
        <v>1439.297</v>
      </c>
      <c r="AB36" s="234">
        <v>192.9873</v>
      </c>
      <c r="AC36" s="234">
        <v>866.89239999999995</v>
      </c>
      <c r="AD36" s="234">
        <v>327.90780000000001</v>
      </c>
      <c r="AE36" s="234">
        <v>400.66559999999998</v>
      </c>
      <c r="AF36" s="234">
        <v>34602.5</v>
      </c>
      <c r="AG36" s="234">
        <v>9762.473</v>
      </c>
      <c r="AH36" s="234">
        <v>53383.68</v>
      </c>
      <c r="AI36" s="234">
        <v>30184.85</v>
      </c>
      <c r="AJ36" s="234">
        <v>16179.16</v>
      </c>
      <c r="AK36" s="234">
        <v>30790.32</v>
      </c>
      <c r="AL36" s="234">
        <v>167755.79999999999</v>
      </c>
      <c r="AM36" s="234">
        <v>20051.21</v>
      </c>
      <c r="AN36" s="234">
        <v>15069.69</v>
      </c>
      <c r="AO36" s="234">
        <v>55249.84</v>
      </c>
      <c r="AP36" s="234">
        <v>59122.23</v>
      </c>
      <c r="AQ36" s="234">
        <v>13659.83</v>
      </c>
      <c r="AR36" s="234">
        <v>23101.439999999999</v>
      </c>
      <c r="AS36" s="234">
        <v>258601.9</v>
      </c>
      <c r="AT36" s="234">
        <v>250176</v>
      </c>
      <c r="AU36" s="234">
        <v>310811.59999999998</v>
      </c>
      <c r="AV36" s="234">
        <v>71935.7</v>
      </c>
      <c r="AW36" s="234">
        <v>76297.16</v>
      </c>
      <c r="AX36" s="234">
        <v>8870.5159999999996</v>
      </c>
      <c r="AY36" s="234">
        <v>2185.4920000000002</v>
      </c>
      <c r="AZ36" s="234">
        <v>359764.3</v>
      </c>
      <c r="BA36" s="234">
        <v>18390.39</v>
      </c>
      <c r="BB36" s="234">
        <v>48467</v>
      </c>
      <c r="BC36" s="234">
        <v>48731</v>
      </c>
      <c r="BD36" s="234">
        <v>10092</v>
      </c>
      <c r="BE36" s="234" t="s">
        <v>34</v>
      </c>
      <c r="BF36" s="234">
        <v>1.24</v>
      </c>
      <c r="BG36" s="234">
        <v>2</v>
      </c>
      <c r="BH36" s="234">
        <v>288000</v>
      </c>
      <c r="BI36" s="234">
        <v>0</v>
      </c>
      <c r="BJ36" s="234">
        <v>1</v>
      </c>
      <c r="BK36" s="234">
        <v>0</v>
      </c>
      <c r="BL36" s="234">
        <v>0</v>
      </c>
      <c r="BM36" s="234">
        <v>0</v>
      </c>
      <c r="BN36" s="234">
        <f>IF(ECON_OUTPUT!BE36="Other",1,0)</f>
        <v>0</v>
      </c>
    </row>
    <row r="37" spans="1:66" x14ac:dyDescent="0.25">
      <c r="A37" s="234">
        <v>36</v>
      </c>
      <c r="B37" s="234" t="s">
        <v>1770</v>
      </c>
      <c r="C37" s="234" t="s">
        <v>434</v>
      </c>
      <c r="D37" s="234" t="s">
        <v>436</v>
      </c>
      <c r="E37" s="235">
        <v>42342</v>
      </c>
      <c r="F37" s="234" t="s">
        <v>1753</v>
      </c>
      <c r="G37" s="234">
        <v>2000000</v>
      </c>
      <c r="H37" s="234">
        <v>2092850</v>
      </c>
      <c r="I37" s="234">
        <v>4.6425000000000001E-2</v>
      </c>
      <c r="J37" s="234" t="s">
        <v>464</v>
      </c>
      <c r="K37" s="234">
        <v>4</v>
      </c>
      <c r="L37" s="234" t="s">
        <v>93</v>
      </c>
      <c r="M37" s="234">
        <v>4</v>
      </c>
      <c r="N37" s="234" t="s">
        <v>457</v>
      </c>
      <c r="O37" s="234" t="s">
        <v>1751</v>
      </c>
      <c r="P37" s="234" t="s">
        <v>1755</v>
      </c>
      <c r="Q37" s="234">
        <v>2196300</v>
      </c>
      <c r="R37" s="234">
        <v>261.52190000000002</v>
      </c>
      <c r="S37" s="234">
        <v>274.84690000000001</v>
      </c>
      <c r="T37" s="234">
        <v>349.93700000000001</v>
      </c>
      <c r="U37" s="234">
        <v>1707.5319999999999</v>
      </c>
      <c r="V37" s="234">
        <v>2185.4920000000002</v>
      </c>
      <c r="W37" s="234">
        <v>553.20740000000001</v>
      </c>
      <c r="X37" s="234">
        <v>1200.2840000000001</v>
      </c>
      <c r="Y37" s="234">
        <v>1216.385</v>
      </c>
      <c r="Z37" s="234">
        <v>340.57249999999999</v>
      </c>
      <c r="AA37" s="234">
        <v>1439.297</v>
      </c>
      <c r="AB37" s="234">
        <v>192.9873</v>
      </c>
      <c r="AC37" s="234">
        <v>866.89239999999995</v>
      </c>
      <c r="AD37" s="234">
        <v>327.90780000000001</v>
      </c>
      <c r="AE37" s="234">
        <v>400.66559999999998</v>
      </c>
      <c r="AF37" s="234">
        <v>34602.5</v>
      </c>
      <c r="AG37" s="234">
        <v>9762.473</v>
      </c>
      <c r="AH37" s="234">
        <v>53383.68</v>
      </c>
      <c r="AI37" s="234">
        <v>30184.85</v>
      </c>
      <c r="AJ37" s="234">
        <v>16179.16</v>
      </c>
      <c r="AK37" s="234">
        <v>30790.32</v>
      </c>
      <c r="AL37" s="234">
        <v>167755.79999999999</v>
      </c>
      <c r="AM37" s="234">
        <v>20051.21</v>
      </c>
      <c r="AN37" s="234">
        <v>15069.69</v>
      </c>
      <c r="AO37" s="234">
        <v>55249.84</v>
      </c>
      <c r="AP37" s="234">
        <v>59122.23</v>
      </c>
      <c r="AQ37" s="234">
        <v>13659.83</v>
      </c>
      <c r="AR37" s="234">
        <v>23101.439999999999</v>
      </c>
      <c r="AS37" s="234">
        <v>258601.9</v>
      </c>
      <c r="AT37" s="234">
        <v>250176</v>
      </c>
      <c r="AU37" s="234">
        <v>310811.59999999998</v>
      </c>
      <c r="AV37" s="234">
        <v>71935.7</v>
      </c>
      <c r="AW37" s="234">
        <v>76297.16</v>
      </c>
      <c r="AX37" s="234">
        <v>8870.5159999999996</v>
      </c>
      <c r="AY37" s="234">
        <v>2185.4920000000002</v>
      </c>
      <c r="AZ37" s="234">
        <v>359764.3</v>
      </c>
      <c r="BA37" s="234">
        <v>18390.39</v>
      </c>
      <c r="BB37" s="234">
        <v>48467</v>
      </c>
      <c r="BC37" s="234">
        <v>48731</v>
      </c>
      <c r="BD37" s="234">
        <v>10092</v>
      </c>
      <c r="BE37" s="234" t="s">
        <v>1753</v>
      </c>
      <c r="BF37" s="234">
        <v>1.09815</v>
      </c>
      <c r="BG37" s="234">
        <v>2</v>
      </c>
      <c r="BH37" s="234">
        <v>196300</v>
      </c>
      <c r="BI37" s="234">
        <v>0</v>
      </c>
      <c r="BJ37" s="234">
        <v>1</v>
      </c>
      <c r="BK37" s="234">
        <v>0</v>
      </c>
      <c r="BL37" s="234">
        <v>0</v>
      </c>
      <c r="BM37" s="234">
        <v>0</v>
      </c>
      <c r="BN37" s="234">
        <f>IF(ECON_OUTPUT!BE37="Other",1,0)</f>
        <v>1</v>
      </c>
    </row>
    <row r="38" spans="1:66" x14ac:dyDescent="0.25">
      <c r="A38" s="234">
        <v>37</v>
      </c>
      <c r="B38" s="234" t="s">
        <v>1769</v>
      </c>
      <c r="C38" s="234" t="s">
        <v>467</v>
      </c>
      <c r="D38" s="234" t="s">
        <v>468</v>
      </c>
      <c r="E38" s="235">
        <v>42383</v>
      </c>
      <c r="F38" s="234" t="s">
        <v>177</v>
      </c>
      <c r="G38" s="234">
        <v>1200000</v>
      </c>
      <c r="H38" s="234">
        <v>1050050</v>
      </c>
      <c r="I38" s="234">
        <v>-0.124958333</v>
      </c>
      <c r="J38" s="234" t="s">
        <v>464</v>
      </c>
      <c r="K38" s="234">
        <v>6</v>
      </c>
      <c r="L38" s="234" t="s">
        <v>25</v>
      </c>
      <c r="M38" s="234">
        <v>1</v>
      </c>
      <c r="N38" s="234" t="s">
        <v>492</v>
      </c>
      <c r="O38" s="234" t="s">
        <v>1751</v>
      </c>
      <c r="P38" s="234" t="s">
        <v>1755</v>
      </c>
      <c r="Q38" s="234">
        <v>1083107</v>
      </c>
      <c r="R38" s="234">
        <v>261.0797</v>
      </c>
      <c r="S38" s="234">
        <v>274.24450000000002</v>
      </c>
      <c r="T38" s="234">
        <v>355.46969999999999</v>
      </c>
      <c r="U38" s="234">
        <v>1720.847</v>
      </c>
      <c r="V38" s="234">
        <v>2196.8530000000001</v>
      </c>
      <c r="W38" s="234">
        <v>553.90729999999996</v>
      </c>
      <c r="X38" s="234">
        <v>1202.96</v>
      </c>
      <c r="Y38" s="234">
        <v>1221.8520000000001</v>
      </c>
      <c r="Z38" s="234">
        <v>341.42540000000002</v>
      </c>
      <c r="AA38" s="234">
        <v>1448.712</v>
      </c>
      <c r="AB38" s="234">
        <v>194.23400000000001</v>
      </c>
      <c r="AC38" s="234">
        <v>868.71780000000001</v>
      </c>
      <c r="AD38" s="234">
        <v>330.62909999999999</v>
      </c>
      <c r="AE38" s="234">
        <v>400.28399999999999</v>
      </c>
      <c r="AF38" s="234">
        <v>35597.360000000001</v>
      </c>
      <c r="AG38" s="234">
        <v>10066.59</v>
      </c>
      <c r="AH38" s="234">
        <v>57464.39</v>
      </c>
      <c r="AI38" s="234">
        <v>30287.599999999999</v>
      </c>
      <c r="AJ38" s="234">
        <v>16401.32</v>
      </c>
      <c r="AK38" s="234">
        <v>31439.77</v>
      </c>
      <c r="AL38" s="234">
        <v>172218.1</v>
      </c>
      <c r="AM38" s="234">
        <v>20143.12</v>
      </c>
      <c r="AN38" s="234">
        <v>16242.6</v>
      </c>
      <c r="AO38" s="234">
        <v>55410.79</v>
      </c>
      <c r="AP38" s="234">
        <v>59342.93</v>
      </c>
      <c r="AQ38" s="234">
        <v>13614.16</v>
      </c>
      <c r="AR38" s="234">
        <v>22480.46</v>
      </c>
      <c r="AS38" s="234">
        <v>264878.3</v>
      </c>
      <c r="AT38" s="234">
        <v>256109.2</v>
      </c>
      <c r="AU38" s="234">
        <v>316274.59999999998</v>
      </c>
      <c r="AV38" s="234">
        <v>72401.41</v>
      </c>
      <c r="AW38" s="234">
        <v>77987.95</v>
      </c>
      <c r="AX38" s="234">
        <v>8913.2829999999994</v>
      </c>
      <c r="AY38" s="234">
        <v>2196.8530000000001</v>
      </c>
      <c r="AZ38" s="234">
        <v>367091.6</v>
      </c>
      <c r="BA38" s="234">
        <v>18395.59</v>
      </c>
      <c r="BB38" s="234">
        <v>43463</v>
      </c>
      <c r="BC38" s="234">
        <v>48467</v>
      </c>
      <c r="BD38" s="234">
        <v>10181</v>
      </c>
      <c r="BE38" s="234" t="s">
        <v>1753</v>
      </c>
      <c r="BF38" s="234">
        <v>0.902589166666667</v>
      </c>
      <c r="BG38" s="234">
        <v>1</v>
      </c>
      <c r="BH38" s="234">
        <v>-116893</v>
      </c>
      <c r="BI38" s="234">
        <v>1</v>
      </c>
      <c r="BJ38" s="234">
        <v>0</v>
      </c>
      <c r="BK38" s="234">
        <v>0</v>
      </c>
      <c r="BL38" s="234">
        <v>0</v>
      </c>
      <c r="BM38" s="234">
        <v>0</v>
      </c>
      <c r="BN38" s="234">
        <f>IF(ECON_OUTPUT!BE38="Other",1,0)</f>
        <v>1</v>
      </c>
    </row>
    <row r="39" spans="1:66" x14ac:dyDescent="0.25">
      <c r="A39" s="234">
        <v>38</v>
      </c>
      <c r="B39" s="234" t="s">
        <v>1769</v>
      </c>
      <c r="C39" s="234" t="s">
        <v>448</v>
      </c>
      <c r="D39" s="234" t="s">
        <v>449</v>
      </c>
      <c r="E39" s="235">
        <v>42388</v>
      </c>
      <c r="F39" s="234" t="s">
        <v>1753</v>
      </c>
      <c r="G39" s="234">
        <v>9000000</v>
      </c>
      <c r="H39" s="234">
        <v>8936000</v>
      </c>
      <c r="I39" s="234">
        <v>-7.1111109999999998E-3</v>
      </c>
      <c r="J39" s="234" t="s">
        <v>464</v>
      </c>
      <c r="K39" s="234">
        <v>3</v>
      </c>
      <c r="L39" s="234" t="s">
        <v>93</v>
      </c>
      <c r="M39" s="234">
        <v>1</v>
      </c>
      <c r="N39" s="234" t="s">
        <v>455</v>
      </c>
      <c r="O39" s="234" t="s">
        <v>1751</v>
      </c>
      <c r="P39" s="234" t="s">
        <v>1754</v>
      </c>
      <c r="Q39" s="234">
        <v>9201691</v>
      </c>
      <c r="R39" s="234">
        <v>261.0797</v>
      </c>
      <c r="S39" s="234">
        <v>274.24450000000002</v>
      </c>
      <c r="T39" s="234">
        <v>355.46969999999999</v>
      </c>
      <c r="U39" s="234">
        <v>1720.847</v>
      </c>
      <c r="V39" s="234">
        <v>2196.8530000000001</v>
      </c>
      <c r="W39" s="234">
        <v>553.90729999999996</v>
      </c>
      <c r="X39" s="234">
        <v>1202.96</v>
      </c>
      <c r="Y39" s="234">
        <v>1221.8520000000001</v>
      </c>
      <c r="Z39" s="234">
        <v>341.42540000000002</v>
      </c>
      <c r="AA39" s="234">
        <v>1448.712</v>
      </c>
      <c r="AB39" s="234">
        <v>194.23400000000001</v>
      </c>
      <c r="AC39" s="234">
        <v>868.71780000000001</v>
      </c>
      <c r="AD39" s="234">
        <v>330.62909999999999</v>
      </c>
      <c r="AE39" s="234">
        <v>400.28399999999999</v>
      </c>
      <c r="AF39" s="234">
        <v>35597.360000000001</v>
      </c>
      <c r="AG39" s="234">
        <v>10066.59</v>
      </c>
      <c r="AH39" s="234">
        <v>57464.39</v>
      </c>
      <c r="AI39" s="234">
        <v>30287.599999999999</v>
      </c>
      <c r="AJ39" s="234">
        <v>16401.32</v>
      </c>
      <c r="AK39" s="234">
        <v>31439.77</v>
      </c>
      <c r="AL39" s="234">
        <v>172218.1</v>
      </c>
      <c r="AM39" s="234">
        <v>20143.12</v>
      </c>
      <c r="AN39" s="234">
        <v>16242.6</v>
      </c>
      <c r="AO39" s="234">
        <v>55410.79</v>
      </c>
      <c r="AP39" s="234">
        <v>59342.93</v>
      </c>
      <c r="AQ39" s="234">
        <v>13614.16</v>
      </c>
      <c r="AR39" s="234">
        <v>22480.46</v>
      </c>
      <c r="AS39" s="234">
        <v>264878.3</v>
      </c>
      <c r="AT39" s="234">
        <v>256109.2</v>
      </c>
      <c r="AU39" s="234">
        <v>316274.59999999998</v>
      </c>
      <c r="AV39" s="234">
        <v>72401.41</v>
      </c>
      <c r="AW39" s="234">
        <v>77987.95</v>
      </c>
      <c r="AX39" s="234">
        <v>8913.2829999999994</v>
      </c>
      <c r="AY39" s="234">
        <v>2196.8530000000001</v>
      </c>
      <c r="AZ39" s="234">
        <v>367091.6</v>
      </c>
      <c r="BA39" s="234">
        <v>18395.59</v>
      </c>
      <c r="BB39" s="234">
        <v>43463</v>
      </c>
      <c r="BC39" s="234">
        <v>48467</v>
      </c>
      <c r="BD39" s="234">
        <v>10181</v>
      </c>
      <c r="BE39" s="234" t="s">
        <v>1753</v>
      </c>
      <c r="BF39" s="234">
        <v>1.0224101111111099</v>
      </c>
      <c r="BG39" s="234">
        <v>4</v>
      </c>
      <c r="BH39" s="234">
        <v>201691</v>
      </c>
      <c r="BI39" s="234">
        <v>0</v>
      </c>
      <c r="BJ39" s="234">
        <v>0</v>
      </c>
      <c r="BK39" s="234">
        <v>0</v>
      </c>
      <c r="BL39" s="234">
        <v>1</v>
      </c>
      <c r="BM39" s="234">
        <v>0</v>
      </c>
      <c r="BN39" s="234">
        <f>IF(ECON_OUTPUT!BE39="Other",1,0)</f>
        <v>1</v>
      </c>
    </row>
    <row r="40" spans="1:66" x14ac:dyDescent="0.25">
      <c r="A40" s="234">
        <v>39</v>
      </c>
      <c r="B40" s="234" t="s">
        <v>1769</v>
      </c>
      <c r="C40" s="234" t="s">
        <v>481</v>
      </c>
      <c r="D40" s="234" t="s">
        <v>482</v>
      </c>
      <c r="E40" s="235">
        <v>42389</v>
      </c>
      <c r="F40" s="234" t="s">
        <v>34</v>
      </c>
      <c r="G40" s="234">
        <v>10000000</v>
      </c>
      <c r="H40" s="234">
        <v>6499990</v>
      </c>
      <c r="I40" s="234">
        <v>-0.35000100000000001</v>
      </c>
      <c r="J40" s="234" t="s">
        <v>465</v>
      </c>
      <c r="K40" s="234">
        <v>6</v>
      </c>
      <c r="L40" s="234" t="s">
        <v>25</v>
      </c>
      <c r="M40" s="234">
        <v>1</v>
      </c>
      <c r="N40" s="234" t="s">
        <v>492</v>
      </c>
      <c r="O40" s="234" t="s">
        <v>1751</v>
      </c>
      <c r="P40" s="234" t="s">
        <v>1750</v>
      </c>
      <c r="Q40" s="234">
        <v>7138000</v>
      </c>
      <c r="R40" s="234">
        <v>261.0797</v>
      </c>
      <c r="S40" s="234">
        <v>274.24450000000002</v>
      </c>
      <c r="T40" s="234">
        <v>355.46969999999999</v>
      </c>
      <c r="U40" s="234">
        <v>1720.847</v>
      </c>
      <c r="V40" s="234">
        <v>2196.8530000000001</v>
      </c>
      <c r="W40" s="234">
        <v>553.90729999999996</v>
      </c>
      <c r="X40" s="234">
        <v>1202.96</v>
      </c>
      <c r="Y40" s="234">
        <v>1221.8520000000001</v>
      </c>
      <c r="Z40" s="234">
        <v>341.42540000000002</v>
      </c>
      <c r="AA40" s="234">
        <v>1448.712</v>
      </c>
      <c r="AB40" s="234">
        <v>194.23400000000001</v>
      </c>
      <c r="AC40" s="234">
        <v>868.71780000000001</v>
      </c>
      <c r="AD40" s="234">
        <v>330.62909999999999</v>
      </c>
      <c r="AE40" s="234">
        <v>400.28399999999999</v>
      </c>
      <c r="AF40" s="234">
        <v>35597.360000000001</v>
      </c>
      <c r="AG40" s="234">
        <v>10066.59</v>
      </c>
      <c r="AH40" s="234">
        <v>57464.39</v>
      </c>
      <c r="AI40" s="234">
        <v>30287.599999999999</v>
      </c>
      <c r="AJ40" s="234">
        <v>16401.32</v>
      </c>
      <c r="AK40" s="234">
        <v>31439.77</v>
      </c>
      <c r="AL40" s="234">
        <v>172218.1</v>
      </c>
      <c r="AM40" s="234">
        <v>20143.12</v>
      </c>
      <c r="AN40" s="234">
        <v>16242.6</v>
      </c>
      <c r="AO40" s="234">
        <v>55410.79</v>
      </c>
      <c r="AP40" s="234">
        <v>59342.93</v>
      </c>
      <c r="AQ40" s="234">
        <v>13614.16</v>
      </c>
      <c r="AR40" s="234">
        <v>22480.46</v>
      </c>
      <c r="AS40" s="234">
        <v>264878.3</v>
      </c>
      <c r="AT40" s="234">
        <v>256109.2</v>
      </c>
      <c r="AU40" s="234">
        <v>316274.59999999998</v>
      </c>
      <c r="AV40" s="234">
        <v>72401.41</v>
      </c>
      <c r="AW40" s="234">
        <v>77987.95</v>
      </c>
      <c r="AX40" s="234">
        <v>8913.2829999999994</v>
      </c>
      <c r="AY40" s="234">
        <v>2196.8530000000001</v>
      </c>
      <c r="AZ40" s="234">
        <v>367091.6</v>
      </c>
      <c r="BA40" s="234">
        <v>18395.59</v>
      </c>
      <c r="BB40" s="234">
        <v>43463</v>
      </c>
      <c r="BC40" s="234">
        <v>48467</v>
      </c>
      <c r="BD40" s="234">
        <v>10181</v>
      </c>
      <c r="BE40" s="234" t="s">
        <v>34</v>
      </c>
      <c r="BF40" s="234">
        <v>0.71379999999999999</v>
      </c>
      <c r="BG40" s="234">
        <v>4</v>
      </c>
      <c r="BH40" s="234">
        <v>-2862000</v>
      </c>
      <c r="BI40" s="234">
        <v>0</v>
      </c>
      <c r="BJ40" s="234">
        <v>0</v>
      </c>
      <c r="BK40" s="234">
        <v>0</v>
      </c>
      <c r="BL40" s="234">
        <v>1</v>
      </c>
      <c r="BM40" s="234">
        <v>0</v>
      </c>
      <c r="BN40" s="234">
        <f>IF(ECON_OUTPUT!BE40="Other",1,0)</f>
        <v>0</v>
      </c>
    </row>
    <row r="41" spans="1:66" x14ac:dyDescent="0.25">
      <c r="A41" s="234">
        <v>40</v>
      </c>
      <c r="B41" s="234" t="s">
        <v>1769</v>
      </c>
      <c r="C41" s="234" t="s">
        <v>543</v>
      </c>
      <c r="D41" s="234" t="s">
        <v>544</v>
      </c>
      <c r="E41" s="235">
        <v>42391</v>
      </c>
      <c r="F41" s="234" t="s">
        <v>34</v>
      </c>
      <c r="G41" s="234">
        <v>4574000</v>
      </c>
      <c r="H41" s="234">
        <v>3774000</v>
      </c>
      <c r="I41" s="234">
        <v>-0.17490161800000001</v>
      </c>
      <c r="J41" s="234" t="s">
        <v>464</v>
      </c>
      <c r="K41" s="234">
        <v>4</v>
      </c>
      <c r="L41" s="234" t="s">
        <v>25</v>
      </c>
      <c r="M41" s="234">
        <v>1</v>
      </c>
      <c r="N41" s="234" t="s">
        <v>459</v>
      </c>
      <c r="O41" s="234" t="s">
        <v>1751</v>
      </c>
      <c r="P41" s="234" t="s">
        <v>1750</v>
      </c>
      <c r="Q41" s="234">
        <v>4055000</v>
      </c>
      <c r="R41" s="234">
        <v>261.0797</v>
      </c>
      <c r="S41" s="234">
        <v>274.24450000000002</v>
      </c>
      <c r="T41" s="234">
        <v>355.46969999999999</v>
      </c>
      <c r="U41" s="234">
        <v>1720.847</v>
      </c>
      <c r="V41" s="234">
        <v>2196.8530000000001</v>
      </c>
      <c r="W41" s="234">
        <v>553.90729999999996</v>
      </c>
      <c r="X41" s="234">
        <v>1202.96</v>
      </c>
      <c r="Y41" s="234">
        <v>1221.8520000000001</v>
      </c>
      <c r="Z41" s="234">
        <v>341.42540000000002</v>
      </c>
      <c r="AA41" s="234">
        <v>1448.712</v>
      </c>
      <c r="AB41" s="234">
        <v>194.23400000000001</v>
      </c>
      <c r="AC41" s="234">
        <v>868.71780000000001</v>
      </c>
      <c r="AD41" s="234">
        <v>330.62909999999999</v>
      </c>
      <c r="AE41" s="234">
        <v>400.28399999999999</v>
      </c>
      <c r="AF41" s="234">
        <v>35597.360000000001</v>
      </c>
      <c r="AG41" s="234">
        <v>10066.59</v>
      </c>
      <c r="AH41" s="234">
        <v>57464.39</v>
      </c>
      <c r="AI41" s="234">
        <v>30287.599999999999</v>
      </c>
      <c r="AJ41" s="234">
        <v>16401.32</v>
      </c>
      <c r="AK41" s="234">
        <v>31439.77</v>
      </c>
      <c r="AL41" s="234">
        <v>172218.1</v>
      </c>
      <c r="AM41" s="234">
        <v>20143.12</v>
      </c>
      <c r="AN41" s="234">
        <v>16242.6</v>
      </c>
      <c r="AO41" s="234">
        <v>55410.79</v>
      </c>
      <c r="AP41" s="234">
        <v>59342.93</v>
      </c>
      <c r="AQ41" s="234">
        <v>13614.16</v>
      </c>
      <c r="AR41" s="234">
        <v>22480.46</v>
      </c>
      <c r="AS41" s="234">
        <v>264878.3</v>
      </c>
      <c r="AT41" s="234">
        <v>256109.2</v>
      </c>
      <c r="AU41" s="234">
        <v>316274.59999999998</v>
      </c>
      <c r="AV41" s="234">
        <v>72401.41</v>
      </c>
      <c r="AW41" s="234">
        <v>77987.95</v>
      </c>
      <c r="AX41" s="234">
        <v>8913.2829999999994</v>
      </c>
      <c r="AY41" s="234">
        <v>2196.8530000000001</v>
      </c>
      <c r="AZ41" s="234">
        <v>367091.6</v>
      </c>
      <c r="BA41" s="234">
        <v>18395.59</v>
      </c>
      <c r="BB41" s="234">
        <v>43463</v>
      </c>
      <c r="BC41" s="234">
        <v>48467</v>
      </c>
      <c r="BD41" s="234">
        <v>10181</v>
      </c>
      <c r="BE41" s="234" t="s">
        <v>34</v>
      </c>
      <c r="BF41" s="234">
        <v>0.88653257542632302</v>
      </c>
      <c r="BG41" s="234">
        <v>3</v>
      </c>
      <c r="BH41" s="234">
        <v>-519000</v>
      </c>
      <c r="BI41" s="234">
        <v>0</v>
      </c>
      <c r="BJ41" s="234">
        <v>0</v>
      </c>
      <c r="BK41" s="234">
        <v>1</v>
      </c>
      <c r="BL41" s="234">
        <v>0</v>
      </c>
      <c r="BM41" s="234">
        <v>0</v>
      </c>
      <c r="BN41" s="234">
        <f>IF(ECON_OUTPUT!BE41="Other",1,0)</f>
        <v>0</v>
      </c>
    </row>
    <row r="42" spans="1:66" x14ac:dyDescent="0.25">
      <c r="A42" s="234">
        <v>41</v>
      </c>
      <c r="B42" s="234" t="s">
        <v>1769</v>
      </c>
      <c r="C42" s="234" t="s">
        <v>493</v>
      </c>
      <c r="D42" s="234" t="s">
        <v>495</v>
      </c>
      <c r="E42" s="235">
        <v>42394</v>
      </c>
      <c r="F42" s="234" t="s">
        <v>34</v>
      </c>
      <c r="G42" s="234">
        <v>2530000</v>
      </c>
      <c r="H42" s="234">
        <v>1836000</v>
      </c>
      <c r="I42" s="234">
        <v>-0.2743083</v>
      </c>
      <c r="J42" s="234" t="s">
        <v>464</v>
      </c>
      <c r="K42" s="234">
        <v>7</v>
      </c>
      <c r="L42" s="234" t="s">
        <v>93</v>
      </c>
      <c r="M42" s="234">
        <v>1</v>
      </c>
      <c r="N42" s="234" t="s">
        <v>458</v>
      </c>
      <c r="O42" s="234" t="s">
        <v>1751</v>
      </c>
      <c r="P42" s="234" t="s">
        <v>1750</v>
      </c>
      <c r="Q42" s="234">
        <v>2495500</v>
      </c>
      <c r="R42" s="234">
        <v>261.0797</v>
      </c>
      <c r="S42" s="234">
        <v>274.24450000000002</v>
      </c>
      <c r="T42" s="234">
        <v>355.46969999999999</v>
      </c>
      <c r="U42" s="234">
        <v>1720.847</v>
      </c>
      <c r="V42" s="234">
        <v>2196.8530000000001</v>
      </c>
      <c r="W42" s="234">
        <v>553.90729999999996</v>
      </c>
      <c r="X42" s="234">
        <v>1202.96</v>
      </c>
      <c r="Y42" s="234">
        <v>1221.8520000000001</v>
      </c>
      <c r="Z42" s="234">
        <v>341.42540000000002</v>
      </c>
      <c r="AA42" s="234">
        <v>1448.712</v>
      </c>
      <c r="AB42" s="234">
        <v>194.23400000000001</v>
      </c>
      <c r="AC42" s="234">
        <v>868.71780000000001</v>
      </c>
      <c r="AD42" s="234">
        <v>330.62909999999999</v>
      </c>
      <c r="AE42" s="234">
        <v>400.28399999999999</v>
      </c>
      <c r="AF42" s="234">
        <v>35597.360000000001</v>
      </c>
      <c r="AG42" s="234">
        <v>10066.59</v>
      </c>
      <c r="AH42" s="234">
        <v>57464.39</v>
      </c>
      <c r="AI42" s="234">
        <v>30287.599999999999</v>
      </c>
      <c r="AJ42" s="234">
        <v>16401.32</v>
      </c>
      <c r="AK42" s="234">
        <v>31439.77</v>
      </c>
      <c r="AL42" s="234">
        <v>172218.1</v>
      </c>
      <c r="AM42" s="234">
        <v>20143.12</v>
      </c>
      <c r="AN42" s="234">
        <v>16242.6</v>
      </c>
      <c r="AO42" s="234">
        <v>55410.79</v>
      </c>
      <c r="AP42" s="234">
        <v>59342.93</v>
      </c>
      <c r="AQ42" s="234">
        <v>13614.16</v>
      </c>
      <c r="AR42" s="234">
        <v>22480.46</v>
      </c>
      <c r="AS42" s="234">
        <v>264878.3</v>
      </c>
      <c r="AT42" s="234">
        <v>256109.2</v>
      </c>
      <c r="AU42" s="234">
        <v>316274.59999999998</v>
      </c>
      <c r="AV42" s="234">
        <v>72401.41</v>
      </c>
      <c r="AW42" s="234">
        <v>77987.95</v>
      </c>
      <c r="AX42" s="234">
        <v>8913.2829999999994</v>
      </c>
      <c r="AY42" s="234">
        <v>2196.8530000000001</v>
      </c>
      <c r="AZ42" s="234">
        <v>367091.6</v>
      </c>
      <c r="BA42" s="234">
        <v>18395.59</v>
      </c>
      <c r="BB42" s="234">
        <v>43463</v>
      </c>
      <c r="BC42" s="234">
        <v>48467</v>
      </c>
      <c r="BD42" s="234">
        <v>10181</v>
      </c>
      <c r="BE42" s="234" t="s">
        <v>34</v>
      </c>
      <c r="BF42" s="234">
        <v>0.986363636363636</v>
      </c>
      <c r="BG42" s="234">
        <v>3</v>
      </c>
      <c r="BH42" s="234">
        <v>-34500</v>
      </c>
      <c r="BI42" s="234">
        <v>0</v>
      </c>
      <c r="BJ42" s="234">
        <v>0</v>
      </c>
      <c r="BK42" s="234">
        <v>1</v>
      </c>
      <c r="BL42" s="234">
        <v>0</v>
      </c>
      <c r="BM42" s="234">
        <v>0</v>
      </c>
      <c r="BN42" s="234">
        <f>IF(ECON_OUTPUT!BE42="Other",1,0)</f>
        <v>0</v>
      </c>
    </row>
    <row r="43" spans="1:66" x14ac:dyDescent="0.25">
      <c r="A43" s="234">
        <v>42</v>
      </c>
      <c r="B43" s="234" t="s">
        <v>1769</v>
      </c>
      <c r="C43" s="234" t="s">
        <v>538</v>
      </c>
      <c r="D43" s="234" t="s">
        <v>539</v>
      </c>
      <c r="E43" s="235">
        <v>42404</v>
      </c>
      <c r="F43" s="234" t="s">
        <v>34</v>
      </c>
      <c r="G43" s="234">
        <v>4072000</v>
      </c>
      <c r="H43" s="234">
        <v>2733000</v>
      </c>
      <c r="I43" s="234">
        <v>-0.32883104099999999</v>
      </c>
      <c r="J43" s="234" t="s">
        <v>465</v>
      </c>
      <c r="K43" s="234">
        <v>3</v>
      </c>
      <c r="L43" s="234" t="s">
        <v>93</v>
      </c>
      <c r="M43" s="234">
        <v>1</v>
      </c>
      <c r="N43" s="234" t="s">
        <v>458</v>
      </c>
      <c r="O43" s="234" t="s">
        <v>1751</v>
      </c>
      <c r="P43" s="234" t="s">
        <v>1755</v>
      </c>
      <c r="Q43" s="234">
        <v>3147496</v>
      </c>
      <c r="R43" s="234">
        <v>261.0797</v>
      </c>
      <c r="S43" s="234">
        <v>274.24450000000002</v>
      </c>
      <c r="T43" s="234">
        <v>355.46969999999999</v>
      </c>
      <c r="U43" s="234">
        <v>1720.847</v>
      </c>
      <c r="V43" s="234">
        <v>2196.8530000000001</v>
      </c>
      <c r="W43" s="234">
        <v>553.90729999999996</v>
      </c>
      <c r="X43" s="234">
        <v>1202.96</v>
      </c>
      <c r="Y43" s="234">
        <v>1221.8520000000001</v>
      </c>
      <c r="Z43" s="234">
        <v>341.42540000000002</v>
      </c>
      <c r="AA43" s="234">
        <v>1448.712</v>
      </c>
      <c r="AB43" s="234">
        <v>194.23400000000001</v>
      </c>
      <c r="AC43" s="234">
        <v>868.71780000000001</v>
      </c>
      <c r="AD43" s="234">
        <v>330.62909999999999</v>
      </c>
      <c r="AE43" s="234">
        <v>400.28399999999999</v>
      </c>
      <c r="AF43" s="234">
        <v>35597.360000000001</v>
      </c>
      <c r="AG43" s="234">
        <v>10066.59</v>
      </c>
      <c r="AH43" s="234">
        <v>57464.39</v>
      </c>
      <c r="AI43" s="234">
        <v>30287.599999999999</v>
      </c>
      <c r="AJ43" s="234">
        <v>16401.32</v>
      </c>
      <c r="AK43" s="234">
        <v>31439.77</v>
      </c>
      <c r="AL43" s="234">
        <v>172218.1</v>
      </c>
      <c r="AM43" s="234">
        <v>20143.12</v>
      </c>
      <c r="AN43" s="234">
        <v>16242.6</v>
      </c>
      <c r="AO43" s="234">
        <v>55410.79</v>
      </c>
      <c r="AP43" s="234">
        <v>59342.93</v>
      </c>
      <c r="AQ43" s="234">
        <v>13614.16</v>
      </c>
      <c r="AR43" s="234">
        <v>22480.46</v>
      </c>
      <c r="AS43" s="234">
        <v>264878.3</v>
      </c>
      <c r="AT43" s="234">
        <v>256109.2</v>
      </c>
      <c r="AU43" s="234">
        <v>316274.59999999998</v>
      </c>
      <c r="AV43" s="234">
        <v>72401.41</v>
      </c>
      <c r="AW43" s="234">
        <v>77987.95</v>
      </c>
      <c r="AX43" s="234">
        <v>8913.2829999999994</v>
      </c>
      <c r="AY43" s="234">
        <v>2196.8530000000001</v>
      </c>
      <c r="AZ43" s="234">
        <v>367091.6</v>
      </c>
      <c r="BA43" s="234">
        <v>18395.59</v>
      </c>
      <c r="BB43" s="234">
        <v>43463</v>
      </c>
      <c r="BC43" s="234">
        <v>48467</v>
      </c>
      <c r="BD43" s="234">
        <v>10181</v>
      </c>
      <c r="BE43" s="234" t="s">
        <v>34</v>
      </c>
      <c r="BF43" s="234">
        <v>0.772960707269155</v>
      </c>
      <c r="BG43" s="234">
        <v>3</v>
      </c>
      <c r="BH43" s="234">
        <v>-924504</v>
      </c>
      <c r="BI43" s="234">
        <v>0</v>
      </c>
      <c r="BJ43" s="234">
        <v>0</v>
      </c>
      <c r="BK43" s="234">
        <v>1</v>
      </c>
      <c r="BL43" s="234">
        <v>0</v>
      </c>
      <c r="BM43" s="234">
        <v>0</v>
      </c>
      <c r="BN43" s="234">
        <f>IF(ECON_OUTPUT!BE43="Other",1,0)</f>
        <v>0</v>
      </c>
    </row>
    <row r="44" spans="1:66" x14ac:dyDescent="0.25">
      <c r="A44" s="234">
        <v>43</v>
      </c>
      <c r="B44" s="234" t="s">
        <v>1769</v>
      </c>
      <c r="C44" s="234" t="s">
        <v>503</v>
      </c>
      <c r="D44" s="234" t="s">
        <v>518</v>
      </c>
      <c r="E44" s="235">
        <v>42411</v>
      </c>
      <c r="F44" s="234" t="s">
        <v>34</v>
      </c>
      <c r="G44" s="234">
        <v>69865000</v>
      </c>
      <c r="H44" s="234">
        <v>57000000</v>
      </c>
      <c r="I44" s="234">
        <v>-0.184140843</v>
      </c>
      <c r="J44" s="234" t="s">
        <v>464</v>
      </c>
      <c r="K44" s="234">
        <v>11</v>
      </c>
      <c r="L44" s="234" t="s">
        <v>25</v>
      </c>
      <c r="M44" s="234">
        <v>1</v>
      </c>
      <c r="N44" s="234" t="s">
        <v>457</v>
      </c>
      <c r="O44" s="234" t="s">
        <v>1751</v>
      </c>
      <c r="P44" s="234" t="s">
        <v>1750</v>
      </c>
      <c r="Q44" s="234">
        <v>58617000</v>
      </c>
      <c r="R44" s="234">
        <v>261.0797</v>
      </c>
      <c r="S44" s="234">
        <v>274.24450000000002</v>
      </c>
      <c r="T44" s="234">
        <v>355.46969999999999</v>
      </c>
      <c r="U44" s="234">
        <v>1720.847</v>
      </c>
      <c r="V44" s="234">
        <v>2196.8530000000001</v>
      </c>
      <c r="W44" s="234">
        <v>553.90729999999996</v>
      </c>
      <c r="X44" s="234">
        <v>1202.96</v>
      </c>
      <c r="Y44" s="234">
        <v>1221.8520000000001</v>
      </c>
      <c r="Z44" s="234">
        <v>341.42540000000002</v>
      </c>
      <c r="AA44" s="234">
        <v>1448.712</v>
      </c>
      <c r="AB44" s="234">
        <v>194.23400000000001</v>
      </c>
      <c r="AC44" s="234">
        <v>868.71780000000001</v>
      </c>
      <c r="AD44" s="234">
        <v>330.62909999999999</v>
      </c>
      <c r="AE44" s="234">
        <v>400.28399999999999</v>
      </c>
      <c r="AF44" s="234">
        <v>35597.360000000001</v>
      </c>
      <c r="AG44" s="234">
        <v>10066.59</v>
      </c>
      <c r="AH44" s="234">
        <v>57464.39</v>
      </c>
      <c r="AI44" s="234">
        <v>30287.599999999999</v>
      </c>
      <c r="AJ44" s="234">
        <v>16401.32</v>
      </c>
      <c r="AK44" s="234">
        <v>31439.77</v>
      </c>
      <c r="AL44" s="234">
        <v>172218.1</v>
      </c>
      <c r="AM44" s="234">
        <v>20143.12</v>
      </c>
      <c r="AN44" s="234">
        <v>16242.6</v>
      </c>
      <c r="AO44" s="234">
        <v>55410.79</v>
      </c>
      <c r="AP44" s="234">
        <v>59342.93</v>
      </c>
      <c r="AQ44" s="234">
        <v>13614.16</v>
      </c>
      <c r="AR44" s="234">
        <v>22480.46</v>
      </c>
      <c r="AS44" s="234">
        <v>264878.3</v>
      </c>
      <c r="AT44" s="234">
        <v>256109.2</v>
      </c>
      <c r="AU44" s="234">
        <v>316274.59999999998</v>
      </c>
      <c r="AV44" s="234">
        <v>72401.41</v>
      </c>
      <c r="AW44" s="234">
        <v>77987.95</v>
      </c>
      <c r="AX44" s="234">
        <v>8913.2829999999994</v>
      </c>
      <c r="AY44" s="234">
        <v>2196.8530000000001</v>
      </c>
      <c r="AZ44" s="234">
        <v>367091.6</v>
      </c>
      <c r="BA44" s="234">
        <v>18395.59</v>
      </c>
      <c r="BB44" s="234">
        <v>43463</v>
      </c>
      <c r="BC44" s="234">
        <v>48467</v>
      </c>
      <c r="BD44" s="234">
        <v>10181</v>
      </c>
      <c r="BE44" s="234" t="s">
        <v>34</v>
      </c>
      <c r="BF44" s="234">
        <v>0.83900379302941397</v>
      </c>
      <c r="BG44" s="234">
        <v>5</v>
      </c>
      <c r="BH44" s="234">
        <v>-11248000</v>
      </c>
      <c r="BI44" s="234">
        <v>0</v>
      </c>
      <c r="BJ44" s="234">
        <v>0</v>
      </c>
      <c r="BK44" s="234">
        <v>0</v>
      </c>
      <c r="BL44" s="234">
        <v>0</v>
      </c>
      <c r="BM44" s="234">
        <v>1</v>
      </c>
      <c r="BN44" s="234">
        <f>IF(ECON_OUTPUT!BE44="Other",1,0)</f>
        <v>0</v>
      </c>
    </row>
    <row r="45" spans="1:66" x14ac:dyDescent="0.25">
      <c r="A45" s="234">
        <v>44</v>
      </c>
      <c r="B45" s="234" t="s">
        <v>1769</v>
      </c>
      <c r="C45" s="234" t="s">
        <v>520</v>
      </c>
      <c r="D45" s="234" t="s">
        <v>550</v>
      </c>
      <c r="E45" s="235">
        <v>42418</v>
      </c>
      <c r="F45" s="234" t="s">
        <v>34</v>
      </c>
      <c r="G45" s="234">
        <v>3250000</v>
      </c>
      <c r="H45" s="234">
        <v>2849549</v>
      </c>
      <c r="I45" s="234">
        <v>-0.123215692</v>
      </c>
      <c r="J45" s="234" t="s">
        <v>464</v>
      </c>
      <c r="K45" s="234">
        <v>12</v>
      </c>
      <c r="L45" s="234" t="s">
        <v>93</v>
      </c>
      <c r="M45" s="234">
        <v>1</v>
      </c>
      <c r="N45" s="234" t="s">
        <v>458</v>
      </c>
      <c r="O45" s="234" t="s">
        <v>1751</v>
      </c>
      <c r="P45" s="234" t="s">
        <v>1750</v>
      </c>
      <c r="Q45" s="234">
        <v>3167185</v>
      </c>
      <c r="R45" s="234">
        <v>261.0797</v>
      </c>
      <c r="S45" s="234">
        <v>274.24450000000002</v>
      </c>
      <c r="T45" s="234">
        <v>355.46969999999999</v>
      </c>
      <c r="U45" s="234">
        <v>1720.847</v>
      </c>
      <c r="V45" s="234">
        <v>2196.8530000000001</v>
      </c>
      <c r="W45" s="234">
        <v>553.90729999999996</v>
      </c>
      <c r="X45" s="234">
        <v>1202.96</v>
      </c>
      <c r="Y45" s="234">
        <v>1221.8520000000001</v>
      </c>
      <c r="Z45" s="234">
        <v>341.42540000000002</v>
      </c>
      <c r="AA45" s="234">
        <v>1448.712</v>
      </c>
      <c r="AB45" s="234">
        <v>194.23400000000001</v>
      </c>
      <c r="AC45" s="234">
        <v>868.71780000000001</v>
      </c>
      <c r="AD45" s="234">
        <v>330.62909999999999</v>
      </c>
      <c r="AE45" s="234">
        <v>400.28399999999999</v>
      </c>
      <c r="AF45" s="234">
        <v>35597.360000000001</v>
      </c>
      <c r="AG45" s="234">
        <v>10066.59</v>
      </c>
      <c r="AH45" s="234">
        <v>57464.39</v>
      </c>
      <c r="AI45" s="234">
        <v>30287.599999999999</v>
      </c>
      <c r="AJ45" s="234">
        <v>16401.32</v>
      </c>
      <c r="AK45" s="234">
        <v>31439.77</v>
      </c>
      <c r="AL45" s="234">
        <v>172218.1</v>
      </c>
      <c r="AM45" s="234">
        <v>20143.12</v>
      </c>
      <c r="AN45" s="234">
        <v>16242.6</v>
      </c>
      <c r="AO45" s="234">
        <v>55410.79</v>
      </c>
      <c r="AP45" s="234">
        <v>59342.93</v>
      </c>
      <c r="AQ45" s="234">
        <v>13614.16</v>
      </c>
      <c r="AR45" s="234">
        <v>22480.46</v>
      </c>
      <c r="AS45" s="234">
        <v>264878.3</v>
      </c>
      <c r="AT45" s="234">
        <v>256109.2</v>
      </c>
      <c r="AU45" s="234">
        <v>316274.59999999998</v>
      </c>
      <c r="AV45" s="234">
        <v>72401.41</v>
      </c>
      <c r="AW45" s="234">
        <v>77987.95</v>
      </c>
      <c r="AX45" s="234">
        <v>8913.2829999999994</v>
      </c>
      <c r="AY45" s="234">
        <v>2196.8530000000001</v>
      </c>
      <c r="AZ45" s="234">
        <v>367091.6</v>
      </c>
      <c r="BA45" s="234">
        <v>18395.59</v>
      </c>
      <c r="BB45" s="234">
        <v>43463</v>
      </c>
      <c r="BC45" s="234">
        <v>48467</v>
      </c>
      <c r="BD45" s="234">
        <v>10181</v>
      </c>
      <c r="BE45" s="234" t="s">
        <v>34</v>
      </c>
      <c r="BF45" s="234">
        <v>0.974518461538462</v>
      </c>
      <c r="BG45" s="234">
        <v>3</v>
      </c>
      <c r="BH45" s="234">
        <v>-82815</v>
      </c>
      <c r="BI45" s="234">
        <v>0</v>
      </c>
      <c r="BJ45" s="234">
        <v>0</v>
      </c>
      <c r="BK45" s="234">
        <v>1</v>
      </c>
      <c r="BL45" s="234">
        <v>0</v>
      </c>
      <c r="BM45" s="234">
        <v>0</v>
      </c>
      <c r="BN45" s="234">
        <f>IF(ECON_OUTPUT!BE45="Other",1,0)</f>
        <v>0</v>
      </c>
    </row>
    <row r="46" spans="1:66" x14ac:dyDescent="0.25">
      <c r="A46" s="234">
        <v>45</v>
      </c>
      <c r="B46" s="234" t="s">
        <v>1769</v>
      </c>
      <c r="C46" s="234" t="s">
        <v>552</v>
      </c>
      <c r="D46" s="234" t="s">
        <v>553</v>
      </c>
      <c r="E46" s="235">
        <v>42438</v>
      </c>
      <c r="F46" s="234" t="s">
        <v>34</v>
      </c>
      <c r="G46" s="234">
        <v>25210000</v>
      </c>
      <c r="H46" s="234">
        <v>17827873</v>
      </c>
      <c r="I46" s="234">
        <v>-0.29282534700000001</v>
      </c>
      <c r="J46" s="234" t="s">
        <v>465</v>
      </c>
      <c r="K46" s="234">
        <v>13</v>
      </c>
      <c r="L46" s="234" t="s">
        <v>25</v>
      </c>
      <c r="M46" s="234">
        <v>1</v>
      </c>
      <c r="N46" s="234" t="s">
        <v>458</v>
      </c>
      <c r="O46" s="234" t="s">
        <v>1751</v>
      </c>
      <c r="P46" s="234" t="s">
        <v>1750</v>
      </c>
      <c r="Q46" s="234">
        <v>18662460</v>
      </c>
      <c r="R46" s="234">
        <v>261.0797</v>
      </c>
      <c r="S46" s="234">
        <v>274.24450000000002</v>
      </c>
      <c r="T46" s="234">
        <v>355.46969999999999</v>
      </c>
      <c r="U46" s="234">
        <v>1720.847</v>
      </c>
      <c r="V46" s="234">
        <v>2196.8530000000001</v>
      </c>
      <c r="W46" s="234">
        <v>553.90729999999996</v>
      </c>
      <c r="X46" s="234">
        <v>1202.96</v>
      </c>
      <c r="Y46" s="234">
        <v>1221.8520000000001</v>
      </c>
      <c r="Z46" s="234">
        <v>341.42540000000002</v>
      </c>
      <c r="AA46" s="234">
        <v>1448.712</v>
      </c>
      <c r="AB46" s="234">
        <v>194.23400000000001</v>
      </c>
      <c r="AC46" s="234">
        <v>868.71780000000001</v>
      </c>
      <c r="AD46" s="234">
        <v>330.62909999999999</v>
      </c>
      <c r="AE46" s="234">
        <v>400.28399999999999</v>
      </c>
      <c r="AF46" s="234">
        <v>35597.360000000001</v>
      </c>
      <c r="AG46" s="234">
        <v>10066.59</v>
      </c>
      <c r="AH46" s="234">
        <v>57464.39</v>
      </c>
      <c r="AI46" s="234">
        <v>30287.599999999999</v>
      </c>
      <c r="AJ46" s="234">
        <v>16401.32</v>
      </c>
      <c r="AK46" s="234">
        <v>31439.77</v>
      </c>
      <c r="AL46" s="234">
        <v>172218.1</v>
      </c>
      <c r="AM46" s="234">
        <v>20143.12</v>
      </c>
      <c r="AN46" s="234">
        <v>16242.6</v>
      </c>
      <c r="AO46" s="234">
        <v>55410.79</v>
      </c>
      <c r="AP46" s="234">
        <v>59342.93</v>
      </c>
      <c r="AQ46" s="234">
        <v>13614.16</v>
      </c>
      <c r="AR46" s="234">
        <v>22480.46</v>
      </c>
      <c r="AS46" s="234">
        <v>264878.3</v>
      </c>
      <c r="AT46" s="234">
        <v>256109.2</v>
      </c>
      <c r="AU46" s="234">
        <v>316274.59999999998</v>
      </c>
      <c r="AV46" s="234">
        <v>72401.41</v>
      </c>
      <c r="AW46" s="234">
        <v>77987.95</v>
      </c>
      <c r="AX46" s="234">
        <v>8913.2829999999994</v>
      </c>
      <c r="AY46" s="234">
        <v>2196.8530000000001</v>
      </c>
      <c r="AZ46" s="234">
        <v>367091.6</v>
      </c>
      <c r="BA46" s="234">
        <v>18395.59</v>
      </c>
      <c r="BB46" s="234">
        <v>43463</v>
      </c>
      <c r="BC46" s="234">
        <v>48467</v>
      </c>
      <c r="BD46" s="234">
        <v>10181</v>
      </c>
      <c r="BE46" s="234" t="s">
        <v>34</v>
      </c>
      <c r="BF46" s="234">
        <v>0.74028004760015897</v>
      </c>
      <c r="BG46" s="234">
        <v>5</v>
      </c>
      <c r="BH46" s="234">
        <v>-6547540</v>
      </c>
      <c r="BI46" s="234">
        <v>0</v>
      </c>
      <c r="BJ46" s="234">
        <v>0</v>
      </c>
      <c r="BK46" s="234">
        <v>0</v>
      </c>
      <c r="BL46" s="234">
        <v>0</v>
      </c>
      <c r="BM46" s="234">
        <v>1</v>
      </c>
      <c r="BN46" s="234">
        <f>IF(ECON_OUTPUT!BE46="Other",1,0)</f>
        <v>0</v>
      </c>
    </row>
    <row r="47" spans="1:66" x14ac:dyDescent="0.25">
      <c r="A47" s="234">
        <v>46</v>
      </c>
      <c r="B47" s="234" t="s">
        <v>1769</v>
      </c>
      <c r="C47" s="234" t="s">
        <v>565</v>
      </c>
      <c r="D47" s="234" t="s">
        <v>566</v>
      </c>
      <c r="E47" s="235">
        <v>42450</v>
      </c>
      <c r="F47" s="234" t="s">
        <v>1753</v>
      </c>
      <c r="G47" s="234">
        <v>13100000</v>
      </c>
      <c r="H47" s="234">
        <v>14145813</v>
      </c>
      <c r="I47" s="234">
        <v>7.9833053000000001E-2</v>
      </c>
      <c r="J47" s="234" t="s">
        <v>464</v>
      </c>
      <c r="K47" s="234">
        <v>5</v>
      </c>
      <c r="L47" s="234" t="s">
        <v>25</v>
      </c>
      <c r="M47" s="234">
        <v>1</v>
      </c>
      <c r="N47" s="234" t="s">
        <v>492</v>
      </c>
      <c r="O47" s="234" t="s">
        <v>1751</v>
      </c>
      <c r="P47" s="234" t="s">
        <v>1750</v>
      </c>
      <c r="Q47" s="234">
        <v>15521750</v>
      </c>
      <c r="R47" s="234">
        <v>261.0797</v>
      </c>
      <c r="S47" s="234">
        <v>274.24450000000002</v>
      </c>
      <c r="T47" s="234">
        <v>355.46969999999999</v>
      </c>
      <c r="U47" s="234">
        <v>1720.847</v>
      </c>
      <c r="V47" s="234">
        <v>2196.8530000000001</v>
      </c>
      <c r="W47" s="234">
        <v>553.90729999999996</v>
      </c>
      <c r="X47" s="234">
        <v>1202.96</v>
      </c>
      <c r="Y47" s="234">
        <v>1221.8520000000001</v>
      </c>
      <c r="Z47" s="234">
        <v>341.42540000000002</v>
      </c>
      <c r="AA47" s="234">
        <v>1448.712</v>
      </c>
      <c r="AB47" s="234">
        <v>194.23400000000001</v>
      </c>
      <c r="AC47" s="234">
        <v>868.71780000000001</v>
      </c>
      <c r="AD47" s="234">
        <v>330.62909999999999</v>
      </c>
      <c r="AE47" s="234">
        <v>400.28399999999999</v>
      </c>
      <c r="AF47" s="234">
        <v>35597.360000000001</v>
      </c>
      <c r="AG47" s="234">
        <v>10066.59</v>
      </c>
      <c r="AH47" s="234">
        <v>57464.39</v>
      </c>
      <c r="AI47" s="234">
        <v>30287.599999999999</v>
      </c>
      <c r="AJ47" s="234">
        <v>16401.32</v>
      </c>
      <c r="AK47" s="234">
        <v>31439.77</v>
      </c>
      <c r="AL47" s="234">
        <v>172218.1</v>
      </c>
      <c r="AM47" s="234">
        <v>20143.12</v>
      </c>
      <c r="AN47" s="234">
        <v>16242.6</v>
      </c>
      <c r="AO47" s="234">
        <v>55410.79</v>
      </c>
      <c r="AP47" s="234">
        <v>59342.93</v>
      </c>
      <c r="AQ47" s="234">
        <v>13614.16</v>
      </c>
      <c r="AR47" s="234">
        <v>22480.46</v>
      </c>
      <c r="AS47" s="234">
        <v>264878.3</v>
      </c>
      <c r="AT47" s="234">
        <v>256109.2</v>
      </c>
      <c r="AU47" s="234">
        <v>316274.59999999998</v>
      </c>
      <c r="AV47" s="234">
        <v>72401.41</v>
      </c>
      <c r="AW47" s="234">
        <v>77987.95</v>
      </c>
      <c r="AX47" s="234">
        <v>8913.2829999999994</v>
      </c>
      <c r="AY47" s="234">
        <v>2196.8530000000001</v>
      </c>
      <c r="AZ47" s="234">
        <v>367091.6</v>
      </c>
      <c r="BA47" s="234">
        <v>18395.59</v>
      </c>
      <c r="BB47" s="234">
        <v>43463</v>
      </c>
      <c r="BC47" s="234">
        <v>48467</v>
      </c>
      <c r="BD47" s="234">
        <v>10181</v>
      </c>
      <c r="BE47" s="234" t="s">
        <v>1753</v>
      </c>
      <c r="BF47" s="234">
        <v>1.18486641221374</v>
      </c>
      <c r="BG47" s="234">
        <v>5</v>
      </c>
      <c r="BH47" s="234">
        <v>2421750</v>
      </c>
      <c r="BI47" s="234">
        <v>0</v>
      </c>
      <c r="BJ47" s="234">
        <v>0</v>
      </c>
      <c r="BK47" s="234">
        <v>0</v>
      </c>
      <c r="BL47" s="234">
        <v>0</v>
      </c>
      <c r="BM47" s="234">
        <v>1</v>
      </c>
      <c r="BN47" s="234">
        <f>IF(ECON_OUTPUT!BE47="Other",1,0)</f>
        <v>1</v>
      </c>
    </row>
    <row r="48" spans="1:66" x14ac:dyDescent="0.25">
      <c r="A48" s="234">
        <v>47</v>
      </c>
      <c r="B48" s="234" t="s">
        <v>1768</v>
      </c>
      <c r="C48" s="234" t="s">
        <v>590</v>
      </c>
      <c r="D48" s="234" t="s">
        <v>591</v>
      </c>
      <c r="E48" s="235">
        <v>42465</v>
      </c>
      <c r="F48" s="234" t="s">
        <v>34</v>
      </c>
      <c r="G48" s="234">
        <v>1300000</v>
      </c>
      <c r="H48" s="234">
        <v>1334000</v>
      </c>
      <c r="I48" s="234">
        <v>2.6153846000000001E-2</v>
      </c>
      <c r="J48" s="234" t="s">
        <v>464</v>
      </c>
      <c r="K48" s="234">
        <v>6</v>
      </c>
      <c r="L48" s="234" t="s">
        <v>93</v>
      </c>
      <c r="M48" s="234">
        <v>2</v>
      </c>
      <c r="N48" s="234" t="s">
        <v>458</v>
      </c>
      <c r="O48" s="234" t="s">
        <v>1751</v>
      </c>
      <c r="P48" s="234" t="s">
        <v>1754</v>
      </c>
      <c r="Q48" s="234">
        <v>1444444</v>
      </c>
      <c r="R48" s="234">
        <v>262.7826</v>
      </c>
      <c r="S48" s="234">
        <v>271.53660000000002</v>
      </c>
      <c r="T48" s="234">
        <v>355.99299999999999</v>
      </c>
      <c r="U48" s="234">
        <v>1735</v>
      </c>
      <c r="V48" s="234">
        <v>2204.6439999999998</v>
      </c>
      <c r="W48" s="234">
        <v>554.08389999999997</v>
      </c>
      <c r="X48" s="234">
        <v>1202.5340000000001</v>
      </c>
      <c r="Y48" s="234">
        <v>1227.1099999999999</v>
      </c>
      <c r="Z48" s="234">
        <v>338.964</v>
      </c>
      <c r="AA48" s="234">
        <v>1454.65</v>
      </c>
      <c r="AB48" s="234">
        <v>195.91</v>
      </c>
      <c r="AC48" s="234">
        <v>869.19470000000001</v>
      </c>
      <c r="AD48" s="234">
        <v>334.04899999999998</v>
      </c>
      <c r="AE48" s="234">
        <v>398.31869999999998</v>
      </c>
      <c r="AF48" s="234">
        <v>37171.69</v>
      </c>
      <c r="AG48" s="234">
        <v>9895.5830000000005</v>
      </c>
      <c r="AH48" s="234">
        <v>58201.34</v>
      </c>
      <c r="AI48" s="234">
        <v>30267.69</v>
      </c>
      <c r="AJ48" s="234">
        <v>16426.689999999999</v>
      </c>
      <c r="AK48" s="234">
        <v>31199.38</v>
      </c>
      <c r="AL48" s="234">
        <v>173729.9</v>
      </c>
      <c r="AM48" s="234">
        <v>20098.09</v>
      </c>
      <c r="AN48" s="234">
        <v>15699.78</v>
      </c>
      <c r="AO48" s="234">
        <v>55675.34</v>
      </c>
      <c r="AP48" s="234">
        <v>59853.22</v>
      </c>
      <c r="AQ48" s="234">
        <v>13558.89</v>
      </c>
      <c r="AR48" s="234">
        <v>22251.11</v>
      </c>
      <c r="AS48" s="234">
        <v>265292</v>
      </c>
      <c r="AT48" s="234">
        <v>255012.5</v>
      </c>
      <c r="AU48" s="234">
        <v>316937.7</v>
      </c>
      <c r="AV48" s="234">
        <v>73616.91</v>
      </c>
      <c r="AW48" s="234">
        <v>78853.91</v>
      </c>
      <c r="AX48" s="234">
        <v>8937.3439999999991</v>
      </c>
      <c r="AY48" s="234">
        <v>2204.6439999999998</v>
      </c>
      <c r="AZ48" s="234">
        <v>368611.2</v>
      </c>
      <c r="BA48" s="234">
        <v>18401.55</v>
      </c>
      <c r="BB48" s="234">
        <v>48662</v>
      </c>
      <c r="BC48" s="234">
        <v>43463</v>
      </c>
      <c r="BD48" s="234">
        <v>10315</v>
      </c>
      <c r="BE48" s="234" t="s">
        <v>34</v>
      </c>
      <c r="BF48" s="234">
        <v>1.11111076923077</v>
      </c>
      <c r="BG48" s="234">
        <v>1</v>
      </c>
      <c r="BH48" s="234">
        <v>144444</v>
      </c>
      <c r="BI48" s="234">
        <v>1</v>
      </c>
      <c r="BJ48" s="234">
        <v>0</v>
      </c>
      <c r="BK48" s="234">
        <v>0</v>
      </c>
      <c r="BL48" s="234">
        <v>0</v>
      </c>
      <c r="BM48" s="234">
        <v>0</v>
      </c>
      <c r="BN48" s="234">
        <f>IF(ECON_OUTPUT!BE48="Other",1,0)</f>
        <v>0</v>
      </c>
    </row>
    <row r="49" spans="1:66" x14ac:dyDescent="0.25">
      <c r="A49" s="234">
        <v>48</v>
      </c>
      <c r="B49" s="234" t="s">
        <v>1768</v>
      </c>
      <c r="C49" s="234" t="s">
        <v>599</v>
      </c>
      <c r="D49" s="234" t="s">
        <v>600</v>
      </c>
      <c r="E49" s="235">
        <v>42473</v>
      </c>
      <c r="F49" s="234" t="s">
        <v>34</v>
      </c>
      <c r="G49" s="234">
        <v>1900000</v>
      </c>
      <c r="H49" s="234">
        <v>1348800</v>
      </c>
      <c r="I49" s="234">
        <v>-0.290105263</v>
      </c>
      <c r="J49" s="234" t="s">
        <v>464</v>
      </c>
      <c r="K49" s="234">
        <v>11</v>
      </c>
      <c r="L49" s="234" t="s">
        <v>25</v>
      </c>
      <c r="M49" s="234">
        <v>2</v>
      </c>
      <c r="N49" s="234" t="s">
        <v>459</v>
      </c>
      <c r="O49" s="234" t="s">
        <v>1751</v>
      </c>
      <c r="P49" s="234" t="s">
        <v>1750</v>
      </c>
      <c r="Q49" s="234">
        <v>1840100</v>
      </c>
      <c r="R49" s="234">
        <v>262.7826</v>
      </c>
      <c r="S49" s="234">
        <v>271.53660000000002</v>
      </c>
      <c r="T49" s="234">
        <v>355.99299999999999</v>
      </c>
      <c r="U49" s="234">
        <v>1735</v>
      </c>
      <c r="V49" s="234">
        <v>2204.6439999999998</v>
      </c>
      <c r="W49" s="234">
        <v>554.08389999999997</v>
      </c>
      <c r="X49" s="234">
        <v>1202.5340000000001</v>
      </c>
      <c r="Y49" s="234">
        <v>1227.1099999999999</v>
      </c>
      <c r="Z49" s="234">
        <v>338.964</v>
      </c>
      <c r="AA49" s="234">
        <v>1454.65</v>
      </c>
      <c r="AB49" s="234">
        <v>195.91</v>
      </c>
      <c r="AC49" s="234">
        <v>869.19470000000001</v>
      </c>
      <c r="AD49" s="234">
        <v>334.04899999999998</v>
      </c>
      <c r="AE49" s="234">
        <v>398.31869999999998</v>
      </c>
      <c r="AF49" s="234">
        <v>37171.69</v>
      </c>
      <c r="AG49" s="234">
        <v>9895.5830000000005</v>
      </c>
      <c r="AH49" s="234">
        <v>58201.34</v>
      </c>
      <c r="AI49" s="234">
        <v>30267.69</v>
      </c>
      <c r="AJ49" s="234">
        <v>16426.689999999999</v>
      </c>
      <c r="AK49" s="234">
        <v>31199.38</v>
      </c>
      <c r="AL49" s="234">
        <v>173729.9</v>
      </c>
      <c r="AM49" s="234">
        <v>20098.09</v>
      </c>
      <c r="AN49" s="234">
        <v>15699.78</v>
      </c>
      <c r="AO49" s="234">
        <v>55675.34</v>
      </c>
      <c r="AP49" s="234">
        <v>59853.22</v>
      </c>
      <c r="AQ49" s="234">
        <v>13558.89</v>
      </c>
      <c r="AR49" s="234">
        <v>22251.11</v>
      </c>
      <c r="AS49" s="234">
        <v>265292</v>
      </c>
      <c r="AT49" s="234">
        <v>255012.5</v>
      </c>
      <c r="AU49" s="234">
        <v>316937.7</v>
      </c>
      <c r="AV49" s="234">
        <v>73616.91</v>
      </c>
      <c r="AW49" s="234">
        <v>78853.91</v>
      </c>
      <c r="AX49" s="234">
        <v>8937.3439999999991</v>
      </c>
      <c r="AY49" s="234">
        <v>2204.6439999999998</v>
      </c>
      <c r="AZ49" s="234">
        <v>368611.2</v>
      </c>
      <c r="BA49" s="234">
        <v>18401.55</v>
      </c>
      <c r="BB49" s="234">
        <v>48662</v>
      </c>
      <c r="BC49" s="234">
        <v>43463</v>
      </c>
      <c r="BD49" s="234">
        <v>10315</v>
      </c>
      <c r="BE49" s="234" t="s">
        <v>34</v>
      </c>
      <c r="BF49" s="234">
        <v>0.96847368421052604</v>
      </c>
      <c r="BG49" s="234">
        <v>2</v>
      </c>
      <c r="BH49" s="234">
        <v>-59900</v>
      </c>
      <c r="BI49" s="234">
        <v>0</v>
      </c>
      <c r="BJ49" s="234">
        <v>1</v>
      </c>
      <c r="BK49" s="234">
        <v>0</v>
      </c>
      <c r="BL49" s="234">
        <v>0</v>
      </c>
      <c r="BM49" s="234">
        <v>0</v>
      </c>
      <c r="BN49" s="234">
        <f>IF(ECON_OUTPUT!BE49="Other",1,0)</f>
        <v>0</v>
      </c>
    </row>
    <row r="50" spans="1:66" x14ac:dyDescent="0.25">
      <c r="A50" s="234">
        <v>49</v>
      </c>
      <c r="B50" s="234" t="s">
        <v>1768</v>
      </c>
      <c r="C50" s="234" t="s">
        <v>609</v>
      </c>
      <c r="D50" s="234" t="s">
        <v>443</v>
      </c>
      <c r="E50" s="235">
        <v>42474</v>
      </c>
      <c r="F50" s="234" t="s">
        <v>34</v>
      </c>
      <c r="G50" s="234">
        <v>700000</v>
      </c>
      <c r="H50" s="234">
        <v>442247</v>
      </c>
      <c r="I50" s="234">
        <v>-0.36821857099999999</v>
      </c>
      <c r="J50" s="234" t="s">
        <v>464</v>
      </c>
      <c r="K50" s="234">
        <v>6</v>
      </c>
      <c r="L50" s="234" t="s">
        <v>25</v>
      </c>
      <c r="M50" s="234">
        <v>2</v>
      </c>
      <c r="N50" s="234" t="s">
        <v>492</v>
      </c>
      <c r="O50" s="234" t="s">
        <v>1751</v>
      </c>
      <c r="P50" s="234" t="s">
        <v>1754</v>
      </c>
      <c r="Q50" s="234">
        <v>518920</v>
      </c>
      <c r="R50" s="234">
        <v>262.7826</v>
      </c>
      <c r="S50" s="234">
        <v>271.53660000000002</v>
      </c>
      <c r="T50" s="234">
        <v>355.99299999999999</v>
      </c>
      <c r="U50" s="234">
        <v>1735</v>
      </c>
      <c r="V50" s="234">
        <v>2204.6439999999998</v>
      </c>
      <c r="W50" s="234">
        <v>554.08389999999997</v>
      </c>
      <c r="X50" s="234">
        <v>1202.5340000000001</v>
      </c>
      <c r="Y50" s="234">
        <v>1227.1099999999999</v>
      </c>
      <c r="Z50" s="234">
        <v>338.964</v>
      </c>
      <c r="AA50" s="234">
        <v>1454.65</v>
      </c>
      <c r="AB50" s="234">
        <v>195.91</v>
      </c>
      <c r="AC50" s="234">
        <v>869.19470000000001</v>
      </c>
      <c r="AD50" s="234">
        <v>334.04899999999998</v>
      </c>
      <c r="AE50" s="234">
        <v>398.31869999999998</v>
      </c>
      <c r="AF50" s="234">
        <v>37171.69</v>
      </c>
      <c r="AG50" s="234">
        <v>9895.5830000000005</v>
      </c>
      <c r="AH50" s="234">
        <v>58201.34</v>
      </c>
      <c r="AI50" s="234">
        <v>30267.69</v>
      </c>
      <c r="AJ50" s="234">
        <v>16426.689999999999</v>
      </c>
      <c r="AK50" s="234">
        <v>31199.38</v>
      </c>
      <c r="AL50" s="234">
        <v>173729.9</v>
      </c>
      <c r="AM50" s="234">
        <v>20098.09</v>
      </c>
      <c r="AN50" s="234">
        <v>15699.78</v>
      </c>
      <c r="AO50" s="234">
        <v>55675.34</v>
      </c>
      <c r="AP50" s="234">
        <v>59853.22</v>
      </c>
      <c r="AQ50" s="234">
        <v>13558.89</v>
      </c>
      <c r="AR50" s="234">
        <v>22251.11</v>
      </c>
      <c r="AS50" s="234">
        <v>265292</v>
      </c>
      <c r="AT50" s="234">
        <v>255012.5</v>
      </c>
      <c r="AU50" s="234">
        <v>316937.7</v>
      </c>
      <c r="AV50" s="234">
        <v>73616.91</v>
      </c>
      <c r="AW50" s="234">
        <v>78853.91</v>
      </c>
      <c r="AX50" s="234">
        <v>8937.3439999999991</v>
      </c>
      <c r="AY50" s="234">
        <v>2204.6439999999998</v>
      </c>
      <c r="AZ50" s="234">
        <v>368611.2</v>
      </c>
      <c r="BA50" s="234">
        <v>18401.55</v>
      </c>
      <c r="BB50" s="234">
        <v>48662</v>
      </c>
      <c r="BC50" s="234">
        <v>43463</v>
      </c>
      <c r="BD50" s="234">
        <v>10315</v>
      </c>
      <c r="BE50" s="234" t="s">
        <v>34</v>
      </c>
      <c r="BF50" s="234">
        <v>0.74131428571428604</v>
      </c>
      <c r="BG50" s="234">
        <v>1</v>
      </c>
      <c r="BH50" s="234">
        <v>-181080</v>
      </c>
      <c r="BI50" s="234">
        <v>1</v>
      </c>
      <c r="BJ50" s="234">
        <v>0</v>
      </c>
      <c r="BK50" s="234">
        <v>0</v>
      </c>
      <c r="BL50" s="234">
        <v>0</v>
      </c>
      <c r="BM50" s="234">
        <v>0</v>
      </c>
      <c r="BN50" s="234">
        <f>IF(ECON_OUTPUT!BE50="Other",1,0)</f>
        <v>0</v>
      </c>
    </row>
    <row r="51" spans="1:66" x14ac:dyDescent="0.25">
      <c r="A51" s="234">
        <v>50</v>
      </c>
      <c r="B51" s="234" t="s">
        <v>1768</v>
      </c>
      <c r="C51" s="234" t="s">
        <v>614</v>
      </c>
      <c r="D51" s="234" t="s">
        <v>615</v>
      </c>
      <c r="E51" s="235">
        <v>42479</v>
      </c>
      <c r="F51" s="234" t="s">
        <v>34</v>
      </c>
      <c r="G51" s="234">
        <v>670000</v>
      </c>
      <c r="H51" s="234">
        <v>897950</v>
      </c>
      <c r="I51" s="234">
        <v>0.34022388100000001</v>
      </c>
      <c r="J51" s="234" t="s">
        <v>465</v>
      </c>
      <c r="K51" s="234">
        <v>5</v>
      </c>
      <c r="L51" s="234" t="s">
        <v>25</v>
      </c>
      <c r="M51" s="234">
        <v>2</v>
      </c>
      <c r="N51" s="234" t="s">
        <v>458</v>
      </c>
      <c r="O51" s="234" t="s">
        <v>1751</v>
      </c>
      <c r="P51" s="234" t="s">
        <v>1750</v>
      </c>
      <c r="Q51" s="234">
        <v>914310</v>
      </c>
      <c r="R51" s="234">
        <v>262.7826</v>
      </c>
      <c r="S51" s="234">
        <v>271.53660000000002</v>
      </c>
      <c r="T51" s="234">
        <v>355.99299999999999</v>
      </c>
      <c r="U51" s="234">
        <v>1735</v>
      </c>
      <c r="V51" s="234">
        <v>2204.6439999999998</v>
      </c>
      <c r="W51" s="234">
        <v>554.08389999999997</v>
      </c>
      <c r="X51" s="234">
        <v>1202.5340000000001</v>
      </c>
      <c r="Y51" s="234">
        <v>1227.1099999999999</v>
      </c>
      <c r="Z51" s="234">
        <v>338.964</v>
      </c>
      <c r="AA51" s="234">
        <v>1454.65</v>
      </c>
      <c r="AB51" s="234">
        <v>195.91</v>
      </c>
      <c r="AC51" s="234">
        <v>869.19470000000001</v>
      </c>
      <c r="AD51" s="234">
        <v>334.04899999999998</v>
      </c>
      <c r="AE51" s="234">
        <v>398.31869999999998</v>
      </c>
      <c r="AF51" s="234">
        <v>37171.69</v>
      </c>
      <c r="AG51" s="234">
        <v>9895.5830000000005</v>
      </c>
      <c r="AH51" s="234">
        <v>58201.34</v>
      </c>
      <c r="AI51" s="234">
        <v>30267.69</v>
      </c>
      <c r="AJ51" s="234">
        <v>16426.689999999999</v>
      </c>
      <c r="AK51" s="234">
        <v>31199.38</v>
      </c>
      <c r="AL51" s="234">
        <v>173729.9</v>
      </c>
      <c r="AM51" s="234">
        <v>20098.09</v>
      </c>
      <c r="AN51" s="234">
        <v>15699.78</v>
      </c>
      <c r="AO51" s="234">
        <v>55675.34</v>
      </c>
      <c r="AP51" s="234">
        <v>59853.22</v>
      </c>
      <c r="AQ51" s="234">
        <v>13558.89</v>
      </c>
      <c r="AR51" s="234">
        <v>22251.11</v>
      </c>
      <c r="AS51" s="234">
        <v>265292</v>
      </c>
      <c r="AT51" s="234">
        <v>255012.5</v>
      </c>
      <c r="AU51" s="234">
        <v>316937.7</v>
      </c>
      <c r="AV51" s="234">
        <v>73616.91</v>
      </c>
      <c r="AW51" s="234">
        <v>78853.91</v>
      </c>
      <c r="AX51" s="234">
        <v>8937.3439999999991</v>
      </c>
      <c r="AY51" s="234">
        <v>2204.6439999999998</v>
      </c>
      <c r="AZ51" s="234">
        <v>368611.2</v>
      </c>
      <c r="BA51" s="234">
        <v>18401.55</v>
      </c>
      <c r="BB51" s="234">
        <v>48662</v>
      </c>
      <c r="BC51" s="234">
        <v>43463</v>
      </c>
      <c r="BD51" s="234">
        <v>10315</v>
      </c>
      <c r="BE51" s="234" t="s">
        <v>34</v>
      </c>
      <c r="BF51" s="234">
        <v>1.3646417910447799</v>
      </c>
      <c r="BG51" s="234">
        <v>1</v>
      </c>
      <c r="BH51" s="234">
        <v>244310</v>
      </c>
      <c r="BI51" s="234">
        <v>1</v>
      </c>
      <c r="BJ51" s="234">
        <v>0</v>
      </c>
      <c r="BK51" s="234">
        <v>0</v>
      </c>
      <c r="BL51" s="234">
        <v>0</v>
      </c>
      <c r="BM51" s="234">
        <v>0</v>
      </c>
      <c r="BN51" s="234">
        <f>IF(ECON_OUTPUT!BE51="Other",1,0)</f>
        <v>0</v>
      </c>
    </row>
    <row r="52" spans="1:66" x14ac:dyDescent="0.25">
      <c r="A52" s="234">
        <v>51</v>
      </c>
      <c r="B52" s="234" t="s">
        <v>1768</v>
      </c>
      <c r="C52" s="234" t="s">
        <v>625</v>
      </c>
      <c r="D52" s="234" t="s">
        <v>632</v>
      </c>
      <c r="E52" s="235">
        <v>42486</v>
      </c>
      <c r="F52" s="234" t="s">
        <v>34</v>
      </c>
      <c r="G52" s="234">
        <v>600000</v>
      </c>
      <c r="H52" s="234">
        <v>675000</v>
      </c>
      <c r="I52" s="234">
        <v>0.125</v>
      </c>
      <c r="J52" s="234" t="s">
        <v>465</v>
      </c>
      <c r="K52" s="234">
        <v>3</v>
      </c>
      <c r="L52" s="234" t="s">
        <v>93</v>
      </c>
      <c r="M52" s="234">
        <v>2</v>
      </c>
      <c r="N52" s="234" t="s">
        <v>457</v>
      </c>
      <c r="O52" s="234" t="s">
        <v>1751</v>
      </c>
      <c r="P52" s="234" t="s">
        <v>1750</v>
      </c>
      <c r="Q52" s="234">
        <v>686000</v>
      </c>
      <c r="R52" s="234">
        <v>262.7826</v>
      </c>
      <c r="S52" s="234">
        <v>271.53660000000002</v>
      </c>
      <c r="T52" s="234">
        <v>355.99299999999999</v>
      </c>
      <c r="U52" s="234">
        <v>1735</v>
      </c>
      <c r="V52" s="234">
        <v>2204.6439999999998</v>
      </c>
      <c r="W52" s="234">
        <v>554.08389999999997</v>
      </c>
      <c r="X52" s="234">
        <v>1202.5340000000001</v>
      </c>
      <c r="Y52" s="234">
        <v>1227.1099999999999</v>
      </c>
      <c r="Z52" s="234">
        <v>338.964</v>
      </c>
      <c r="AA52" s="234">
        <v>1454.65</v>
      </c>
      <c r="AB52" s="234">
        <v>195.91</v>
      </c>
      <c r="AC52" s="234">
        <v>869.19470000000001</v>
      </c>
      <c r="AD52" s="234">
        <v>334.04899999999998</v>
      </c>
      <c r="AE52" s="234">
        <v>398.31869999999998</v>
      </c>
      <c r="AF52" s="234">
        <v>37171.69</v>
      </c>
      <c r="AG52" s="234">
        <v>9895.5830000000005</v>
      </c>
      <c r="AH52" s="234">
        <v>58201.34</v>
      </c>
      <c r="AI52" s="234">
        <v>30267.69</v>
      </c>
      <c r="AJ52" s="234">
        <v>16426.689999999999</v>
      </c>
      <c r="AK52" s="234">
        <v>31199.38</v>
      </c>
      <c r="AL52" s="234">
        <v>173729.9</v>
      </c>
      <c r="AM52" s="234">
        <v>20098.09</v>
      </c>
      <c r="AN52" s="234">
        <v>15699.78</v>
      </c>
      <c r="AO52" s="234">
        <v>55675.34</v>
      </c>
      <c r="AP52" s="234">
        <v>59853.22</v>
      </c>
      <c r="AQ52" s="234">
        <v>13558.89</v>
      </c>
      <c r="AR52" s="234">
        <v>22251.11</v>
      </c>
      <c r="AS52" s="234">
        <v>265292</v>
      </c>
      <c r="AT52" s="234">
        <v>255012.5</v>
      </c>
      <c r="AU52" s="234">
        <v>316937.7</v>
      </c>
      <c r="AV52" s="234">
        <v>73616.91</v>
      </c>
      <c r="AW52" s="234">
        <v>78853.91</v>
      </c>
      <c r="AX52" s="234">
        <v>8937.3439999999991</v>
      </c>
      <c r="AY52" s="234">
        <v>2204.6439999999998</v>
      </c>
      <c r="AZ52" s="234">
        <v>368611.2</v>
      </c>
      <c r="BA52" s="234">
        <v>18401.55</v>
      </c>
      <c r="BB52" s="234">
        <v>48662</v>
      </c>
      <c r="BC52" s="234">
        <v>43463</v>
      </c>
      <c r="BD52" s="234">
        <v>10315</v>
      </c>
      <c r="BE52" s="234" t="s">
        <v>34</v>
      </c>
      <c r="BF52" s="234">
        <v>1.14333333333333</v>
      </c>
      <c r="BG52" s="234">
        <v>1</v>
      </c>
      <c r="BH52" s="234">
        <v>86000</v>
      </c>
      <c r="BI52" s="234">
        <v>1</v>
      </c>
      <c r="BJ52" s="234">
        <v>0</v>
      </c>
      <c r="BK52" s="234">
        <v>0</v>
      </c>
      <c r="BL52" s="234">
        <v>0</v>
      </c>
      <c r="BM52" s="234">
        <v>0</v>
      </c>
      <c r="BN52" s="234">
        <f>IF(ECON_OUTPUT!BE52="Other",1,0)</f>
        <v>0</v>
      </c>
    </row>
    <row r="53" spans="1:66" x14ac:dyDescent="0.25">
      <c r="A53" s="234">
        <v>52</v>
      </c>
      <c r="B53" s="234" t="s">
        <v>1768</v>
      </c>
      <c r="C53" s="234" t="s">
        <v>629</v>
      </c>
      <c r="D53" s="234" t="s">
        <v>633</v>
      </c>
      <c r="E53" s="235">
        <v>42488</v>
      </c>
      <c r="F53" s="234" t="s">
        <v>1753</v>
      </c>
      <c r="G53" s="234">
        <v>1700000</v>
      </c>
      <c r="H53" s="234">
        <v>815000</v>
      </c>
      <c r="I53" s="234">
        <v>-0.52058823499999995</v>
      </c>
      <c r="J53" s="234" t="s">
        <v>465</v>
      </c>
      <c r="K53" s="234">
        <v>7</v>
      </c>
      <c r="L53" s="234" t="s">
        <v>25</v>
      </c>
      <c r="M53" s="234">
        <v>2</v>
      </c>
      <c r="N53" s="234" t="s">
        <v>457</v>
      </c>
      <c r="O53" s="234" t="s">
        <v>1751</v>
      </c>
      <c r="P53" s="234" t="s">
        <v>1750</v>
      </c>
      <c r="Q53" s="234">
        <v>967120</v>
      </c>
      <c r="R53" s="234">
        <v>262.7826</v>
      </c>
      <c r="S53" s="234">
        <v>271.53660000000002</v>
      </c>
      <c r="T53" s="234">
        <v>355.99299999999999</v>
      </c>
      <c r="U53" s="234">
        <v>1735</v>
      </c>
      <c r="V53" s="234">
        <v>2204.6439999999998</v>
      </c>
      <c r="W53" s="234">
        <v>554.08389999999997</v>
      </c>
      <c r="X53" s="234">
        <v>1202.5340000000001</v>
      </c>
      <c r="Y53" s="234">
        <v>1227.1099999999999</v>
      </c>
      <c r="Z53" s="234">
        <v>338.964</v>
      </c>
      <c r="AA53" s="234">
        <v>1454.65</v>
      </c>
      <c r="AB53" s="234">
        <v>195.91</v>
      </c>
      <c r="AC53" s="234">
        <v>869.19470000000001</v>
      </c>
      <c r="AD53" s="234">
        <v>334.04899999999998</v>
      </c>
      <c r="AE53" s="234">
        <v>398.31869999999998</v>
      </c>
      <c r="AF53" s="234">
        <v>37171.69</v>
      </c>
      <c r="AG53" s="234">
        <v>9895.5830000000005</v>
      </c>
      <c r="AH53" s="234">
        <v>58201.34</v>
      </c>
      <c r="AI53" s="234">
        <v>30267.69</v>
      </c>
      <c r="AJ53" s="234">
        <v>16426.689999999999</v>
      </c>
      <c r="AK53" s="234">
        <v>31199.38</v>
      </c>
      <c r="AL53" s="234">
        <v>173729.9</v>
      </c>
      <c r="AM53" s="234">
        <v>20098.09</v>
      </c>
      <c r="AN53" s="234">
        <v>15699.78</v>
      </c>
      <c r="AO53" s="234">
        <v>55675.34</v>
      </c>
      <c r="AP53" s="234">
        <v>59853.22</v>
      </c>
      <c r="AQ53" s="234">
        <v>13558.89</v>
      </c>
      <c r="AR53" s="234">
        <v>22251.11</v>
      </c>
      <c r="AS53" s="234">
        <v>265292</v>
      </c>
      <c r="AT53" s="234">
        <v>255012.5</v>
      </c>
      <c r="AU53" s="234">
        <v>316937.7</v>
      </c>
      <c r="AV53" s="234">
        <v>73616.91</v>
      </c>
      <c r="AW53" s="234">
        <v>78853.91</v>
      </c>
      <c r="AX53" s="234">
        <v>8937.3439999999991</v>
      </c>
      <c r="AY53" s="234">
        <v>2204.6439999999998</v>
      </c>
      <c r="AZ53" s="234">
        <v>368611.2</v>
      </c>
      <c r="BA53" s="234">
        <v>18401.55</v>
      </c>
      <c r="BB53" s="234">
        <v>48662</v>
      </c>
      <c r="BC53" s="234">
        <v>43463</v>
      </c>
      <c r="BD53" s="234">
        <v>10315</v>
      </c>
      <c r="BE53" s="234" t="s">
        <v>1753</v>
      </c>
      <c r="BF53" s="234">
        <v>0.56889411764705899</v>
      </c>
      <c r="BG53" s="234">
        <v>1</v>
      </c>
      <c r="BH53" s="234">
        <v>-732880</v>
      </c>
      <c r="BI53" s="234">
        <v>1</v>
      </c>
      <c r="BJ53" s="234">
        <v>0</v>
      </c>
      <c r="BK53" s="234">
        <v>0</v>
      </c>
      <c r="BL53" s="234">
        <v>0</v>
      </c>
      <c r="BM53" s="234">
        <v>0</v>
      </c>
      <c r="BN53" s="234">
        <f>IF(ECON_OUTPUT!BE53="Other",1,0)</f>
        <v>1</v>
      </c>
    </row>
    <row r="54" spans="1:66" x14ac:dyDescent="0.25">
      <c r="A54" s="234">
        <v>53</v>
      </c>
      <c r="B54" s="234" t="s">
        <v>1768</v>
      </c>
      <c r="C54" s="234" t="s">
        <v>635</v>
      </c>
      <c r="D54" s="234" t="s">
        <v>636</v>
      </c>
      <c r="E54" s="235">
        <v>42496</v>
      </c>
      <c r="F54" s="234" t="s">
        <v>34</v>
      </c>
      <c r="G54" s="234">
        <v>2000000</v>
      </c>
      <c r="H54" s="234">
        <v>2059960</v>
      </c>
      <c r="I54" s="234">
        <v>2.998E-2</v>
      </c>
      <c r="J54" s="234" t="s">
        <v>464</v>
      </c>
      <c r="K54" s="234">
        <v>2</v>
      </c>
      <c r="L54" s="234" t="s">
        <v>25</v>
      </c>
      <c r="M54" s="234">
        <v>2</v>
      </c>
      <c r="N54" s="234" t="s">
        <v>457</v>
      </c>
      <c r="O54" s="234" t="s">
        <v>1751</v>
      </c>
      <c r="P54" s="234" t="s">
        <v>1750</v>
      </c>
      <c r="Q54" s="234">
        <v>4352800</v>
      </c>
      <c r="R54" s="234">
        <v>262.7826</v>
      </c>
      <c r="S54" s="234">
        <v>271.53660000000002</v>
      </c>
      <c r="T54" s="234">
        <v>355.99299999999999</v>
      </c>
      <c r="U54" s="234">
        <v>1735</v>
      </c>
      <c r="V54" s="234">
        <v>2204.6439999999998</v>
      </c>
      <c r="W54" s="234">
        <v>554.08389999999997</v>
      </c>
      <c r="X54" s="234">
        <v>1202.5340000000001</v>
      </c>
      <c r="Y54" s="234">
        <v>1227.1099999999999</v>
      </c>
      <c r="Z54" s="234">
        <v>338.964</v>
      </c>
      <c r="AA54" s="234">
        <v>1454.65</v>
      </c>
      <c r="AB54" s="234">
        <v>195.91</v>
      </c>
      <c r="AC54" s="234">
        <v>869.19470000000001</v>
      </c>
      <c r="AD54" s="234">
        <v>334.04899999999998</v>
      </c>
      <c r="AE54" s="234">
        <v>398.31869999999998</v>
      </c>
      <c r="AF54" s="234">
        <v>37171.69</v>
      </c>
      <c r="AG54" s="234">
        <v>9895.5830000000005</v>
      </c>
      <c r="AH54" s="234">
        <v>58201.34</v>
      </c>
      <c r="AI54" s="234">
        <v>30267.69</v>
      </c>
      <c r="AJ54" s="234">
        <v>16426.689999999999</v>
      </c>
      <c r="AK54" s="234">
        <v>31199.38</v>
      </c>
      <c r="AL54" s="234">
        <v>173729.9</v>
      </c>
      <c r="AM54" s="234">
        <v>20098.09</v>
      </c>
      <c r="AN54" s="234">
        <v>15699.78</v>
      </c>
      <c r="AO54" s="234">
        <v>55675.34</v>
      </c>
      <c r="AP54" s="234">
        <v>59853.22</v>
      </c>
      <c r="AQ54" s="234">
        <v>13558.89</v>
      </c>
      <c r="AR54" s="234">
        <v>22251.11</v>
      </c>
      <c r="AS54" s="234">
        <v>265292</v>
      </c>
      <c r="AT54" s="234">
        <v>255012.5</v>
      </c>
      <c r="AU54" s="234">
        <v>316937.7</v>
      </c>
      <c r="AV54" s="234">
        <v>73616.91</v>
      </c>
      <c r="AW54" s="234">
        <v>78853.91</v>
      </c>
      <c r="AX54" s="234">
        <v>8937.3439999999991</v>
      </c>
      <c r="AY54" s="234">
        <v>2204.6439999999998</v>
      </c>
      <c r="AZ54" s="234">
        <v>368611.2</v>
      </c>
      <c r="BA54" s="234">
        <v>18401.55</v>
      </c>
      <c r="BB54" s="234">
        <v>48662</v>
      </c>
      <c r="BC54" s="234">
        <v>43463</v>
      </c>
      <c r="BD54" s="234">
        <v>10315</v>
      </c>
      <c r="BE54" s="234" t="s">
        <v>34</v>
      </c>
      <c r="BF54" s="234">
        <v>2.1764000000000001</v>
      </c>
      <c r="BG54" s="234">
        <v>3</v>
      </c>
      <c r="BH54" s="234">
        <v>2352800</v>
      </c>
      <c r="BI54" s="234">
        <v>0</v>
      </c>
      <c r="BJ54" s="234">
        <v>0</v>
      </c>
      <c r="BK54" s="234">
        <v>1</v>
      </c>
      <c r="BL54" s="234">
        <v>0</v>
      </c>
      <c r="BM54" s="234">
        <v>0</v>
      </c>
      <c r="BN54" s="234">
        <f>IF(ECON_OUTPUT!BE54="Other",1,0)</f>
        <v>0</v>
      </c>
    </row>
    <row r="55" spans="1:66" x14ac:dyDescent="0.25">
      <c r="A55" s="234">
        <v>54</v>
      </c>
      <c r="B55" s="234" t="s">
        <v>1768</v>
      </c>
      <c r="C55" s="234" t="s">
        <v>648</v>
      </c>
      <c r="D55" s="234" t="s">
        <v>649</v>
      </c>
      <c r="E55" s="235">
        <v>42500</v>
      </c>
      <c r="F55" s="234" t="s">
        <v>34</v>
      </c>
      <c r="G55" s="234">
        <v>4000000</v>
      </c>
      <c r="H55" s="234">
        <v>3838287</v>
      </c>
      <c r="I55" s="234">
        <v>-4.0428249999999999E-2</v>
      </c>
      <c r="J55" s="234" t="s">
        <v>464</v>
      </c>
      <c r="K55" s="234">
        <v>11</v>
      </c>
      <c r="L55" s="234" t="s">
        <v>25</v>
      </c>
      <c r="M55" s="234">
        <v>2</v>
      </c>
      <c r="N55" s="234" t="s">
        <v>492</v>
      </c>
      <c r="O55" s="234" t="s">
        <v>1751</v>
      </c>
      <c r="P55" s="234" t="s">
        <v>1750</v>
      </c>
      <c r="Q55" s="234">
        <v>4691500</v>
      </c>
      <c r="R55" s="234">
        <v>262.7826</v>
      </c>
      <c r="S55" s="234">
        <v>271.53660000000002</v>
      </c>
      <c r="T55" s="234">
        <v>355.99299999999999</v>
      </c>
      <c r="U55" s="234">
        <v>1735</v>
      </c>
      <c r="V55" s="234">
        <v>2204.6439999999998</v>
      </c>
      <c r="W55" s="234">
        <v>554.08389999999997</v>
      </c>
      <c r="X55" s="234">
        <v>1202.5340000000001</v>
      </c>
      <c r="Y55" s="234">
        <v>1227.1099999999999</v>
      </c>
      <c r="Z55" s="234">
        <v>338.964</v>
      </c>
      <c r="AA55" s="234">
        <v>1454.65</v>
      </c>
      <c r="AB55" s="234">
        <v>195.91</v>
      </c>
      <c r="AC55" s="234">
        <v>869.19470000000001</v>
      </c>
      <c r="AD55" s="234">
        <v>334.04899999999998</v>
      </c>
      <c r="AE55" s="234">
        <v>398.31869999999998</v>
      </c>
      <c r="AF55" s="234">
        <v>37171.69</v>
      </c>
      <c r="AG55" s="234">
        <v>9895.5830000000005</v>
      </c>
      <c r="AH55" s="234">
        <v>58201.34</v>
      </c>
      <c r="AI55" s="234">
        <v>30267.69</v>
      </c>
      <c r="AJ55" s="234">
        <v>16426.689999999999</v>
      </c>
      <c r="AK55" s="234">
        <v>31199.38</v>
      </c>
      <c r="AL55" s="234">
        <v>173729.9</v>
      </c>
      <c r="AM55" s="234">
        <v>20098.09</v>
      </c>
      <c r="AN55" s="234">
        <v>15699.78</v>
      </c>
      <c r="AO55" s="234">
        <v>55675.34</v>
      </c>
      <c r="AP55" s="234">
        <v>59853.22</v>
      </c>
      <c r="AQ55" s="234">
        <v>13558.89</v>
      </c>
      <c r="AR55" s="234">
        <v>22251.11</v>
      </c>
      <c r="AS55" s="234">
        <v>265292</v>
      </c>
      <c r="AT55" s="234">
        <v>255012.5</v>
      </c>
      <c r="AU55" s="234">
        <v>316937.7</v>
      </c>
      <c r="AV55" s="234">
        <v>73616.91</v>
      </c>
      <c r="AW55" s="234">
        <v>78853.91</v>
      </c>
      <c r="AX55" s="234">
        <v>8937.3439999999991</v>
      </c>
      <c r="AY55" s="234">
        <v>2204.6439999999998</v>
      </c>
      <c r="AZ55" s="234">
        <v>368611.2</v>
      </c>
      <c r="BA55" s="234">
        <v>18401.55</v>
      </c>
      <c r="BB55" s="234">
        <v>48662</v>
      </c>
      <c r="BC55" s="234">
        <v>43463</v>
      </c>
      <c r="BD55" s="234">
        <v>10315</v>
      </c>
      <c r="BE55" s="234" t="s">
        <v>34</v>
      </c>
      <c r="BF55" s="234">
        <v>1.1728749999999999</v>
      </c>
      <c r="BG55" s="234">
        <v>4</v>
      </c>
      <c r="BH55" s="234">
        <v>691500</v>
      </c>
      <c r="BI55" s="234">
        <v>0</v>
      </c>
      <c r="BJ55" s="234">
        <v>0</v>
      </c>
      <c r="BK55" s="234">
        <v>0</v>
      </c>
      <c r="BL55" s="234">
        <v>1</v>
      </c>
      <c r="BM55" s="234">
        <v>0</v>
      </c>
      <c r="BN55" s="234">
        <f>IF(ECON_OUTPUT!BE55="Other",1,0)</f>
        <v>0</v>
      </c>
    </row>
    <row r="56" spans="1:66" x14ac:dyDescent="0.25">
      <c r="A56" s="234">
        <v>55</v>
      </c>
      <c r="B56" s="234" t="s">
        <v>1768</v>
      </c>
      <c r="C56" s="234" t="s">
        <v>663</v>
      </c>
      <c r="D56" s="234" t="s">
        <v>664</v>
      </c>
      <c r="E56" s="235">
        <v>42514</v>
      </c>
      <c r="F56" s="234" t="s">
        <v>1753</v>
      </c>
      <c r="G56" s="234">
        <v>1930000</v>
      </c>
      <c r="H56" s="234">
        <v>2277000</v>
      </c>
      <c r="I56" s="234">
        <v>0.179792746</v>
      </c>
      <c r="J56" s="234" t="s">
        <v>465</v>
      </c>
      <c r="K56" s="234">
        <v>4</v>
      </c>
      <c r="L56" s="234" t="s">
        <v>93</v>
      </c>
      <c r="M56" s="234">
        <v>2</v>
      </c>
      <c r="N56" s="234" t="s">
        <v>458</v>
      </c>
      <c r="O56" s="234" t="s">
        <v>1751</v>
      </c>
      <c r="P56" s="234" t="s">
        <v>1755</v>
      </c>
      <c r="Q56" s="234">
        <v>2587000</v>
      </c>
      <c r="R56" s="234">
        <v>262.7826</v>
      </c>
      <c r="S56" s="234">
        <v>271.53660000000002</v>
      </c>
      <c r="T56" s="234">
        <v>355.99299999999999</v>
      </c>
      <c r="U56" s="234">
        <v>1735</v>
      </c>
      <c r="V56" s="234">
        <v>2204.6439999999998</v>
      </c>
      <c r="W56" s="234">
        <v>554.08389999999997</v>
      </c>
      <c r="X56" s="234">
        <v>1202.5340000000001</v>
      </c>
      <c r="Y56" s="234">
        <v>1227.1099999999999</v>
      </c>
      <c r="Z56" s="234">
        <v>338.964</v>
      </c>
      <c r="AA56" s="234">
        <v>1454.65</v>
      </c>
      <c r="AB56" s="234">
        <v>195.91</v>
      </c>
      <c r="AC56" s="234">
        <v>869.19470000000001</v>
      </c>
      <c r="AD56" s="234">
        <v>334.04899999999998</v>
      </c>
      <c r="AE56" s="234">
        <v>398.31869999999998</v>
      </c>
      <c r="AF56" s="234">
        <v>37171.69</v>
      </c>
      <c r="AG56" s="234">
        <v>9895.5830000000005</v>
      </c>
      <c r="AH56" s="234">
        <v>58201.34</v>
      </c>
      <c r="AI56" s="234">
        <v>30267.69</v>
      </c>
      <c r="AJ56" s="234">
        <v>16426.689999999999</v>
      </c>
      <c r="AK56" s="234">
        <v>31199.38</v>
      </c>
      <c r="AL56" s="234">
        <v>173729.9</v>
      </c>
      <c r="AM56" s="234">
        <v>20098.09</v>
      </c>
      <c r="AN56" s="234">
        <v>15699.78</v>
      </c>
      <c r="AO56" s="234">
        <v>55675.34</v>
      </c>
      <c r="AP56" s="234">
        <v>59853.22</v>
      </c>
      <c r="AQ56" s="234">
        <v>13558.89</v>
      </c>
      <c r="AR56" s="234">
        <v>22251.11</v>
      </c>
      <c r="AS56" s="234">
        <v>265292</v>
      </c>
      <c r="AT56" s="234">
        <v>255012.5</v>
      </c>
      <c r="AU56" s="234">
        <v>316937.7</v>
      </c>
      <c r="AV56" s="234">
        <v>73616.91</v>
      </c>
      <c r="AW56" s="234">
        <v>78853.91</v>
      </c>
      <c r="AX56" s="234">
        <v>8937.3439999999991</v>
      </c>
      <c r="AY56" s="234">
        <v>2204.6439999999998</v>
      </c>
      <c r="AZ56" s="234">
        <v>368611.2</v>
      </c>
      <c r="BA56" s="234">
        <v>18401.55</v>
      </c>
      <c r="BB56" s="234">
        <v>48662</v>
      </c>
      <c r="BC56" s="234">
        <v>43463</v>
      </c>
      <c r="BD56" s="234">
        <v>10315</v>
      </c>
      <c r="BE56" s="234" t="s">
        <v>1753</v>
      </c>
      <c r="BF56" s="234">
        <v>1.34041450777202</v>
      </c>
      <c r="BG56" s="234">
        <v>3</v>
      </c>
      <c r="BH56" s="234">
        <v>657000</v>
      </c>
      <c r="BI56" s="234">
        <v>0</v>
      </c>
      <c r="BJ56" s="234">
        <v>0</v>
      </c>
      <c r="BK56" s="234">
        <v>1</v>
      </c>
      <c r="BL56" s="234">
        <v>0</v>
      </c>
      <c r="BM56" s="234">
        <v>0</v>
      </c>
      <c r="BN56" s="234">
        <f>IF(ECON_OUTPUT!BE56="Other",1,0)</f>
        <v>1</v>
      </c>
    </row>
    <row r="57" spans="1:66" x14ac:dyDescent="0.25">
      <c r="A57" s="234">
        <v>56</v>
      </c>
      <c r="B57" s="234" t="s">
        <v>1768</v>
      </c>
      <c r="C57" s="234" t="s">
        <v>668</v>
      </c>
      <c r="D57" s="234" t="s">
        <v>669</v>
      </c>
      <c r="E57" s="235">
        <v>42517</v>
      </c>
      <c r="F57" s="234" t="s">
        <v>34</v>
      </c>
      <c r="G57" s="234">
        <v>2800000</v>
      </c>
      <c r="H57" s="234">
        <v>3295274</v>
      </c>
      <c r="I57" s="234">
        <v>0.17688357099999999</v>
      </c>
      <c r="J57" s="234" t="s">
        <v>465</v>
      </c>
      <c r="K57" s="234">
        <v>6</v>
      </c>
      <c r="L57" s="234" t="s">
        <v>226</v>
      </c>
      <c r="M57" s="234">
        <v>2</v>
      </c>
      <c r="N57" s="234" t="s">
        <v>457</v>
      </c>
      <c r="O57" s="234" t="s">
        <v>1751</v>
      </c>
      <c r="P57" s="234" t="s">
        <v>1750</v>
      </c>
      <c r="Q57" s="234">
        <v>4199650</v>
      </c>
      <c r="R57" s="234">
        <v>262.7826</v>
      </c>
      <c r="S57" s="234">
        <v>271.53660000000002</v>
      </c>
      <c r="T57" s="234">
        <v>355.99299999999999</v>
      </c>
      <c r="U57" s="234">
        <v>1735</v>
      </c>
      <c r="V57" s="234">
        <v>2204.6439999999998</v>
      </c>
      <c r="W57" s="234">
        <v>554.08389999999997</v>
      </c>
      <c r="X57" s="234">
        <v>1202.5340000000001</v>
      </c>
      <c r="Y57" s="234">
        <v>1227.1099999999999</v>
      </c>
      <c r="Z57" s="234">
        <v>338.964</v>
      </c>
      <c r="AA57" s="234">
        <v>1454.65</v>
      </c>
      <c r="AB57" s="234">
        <v>195.91</v>
      </c>
      <c r="AC57" s="234">
        <v>869.19470000000001</v>
      </c>
      <c r="AD57" s="234">
        <v>334.04899999999998</v>
      </c>
      <c r="AE57" s="234">
        <v>398.31869999999998</v>
      </c>
      <c r="AF57" s="234">
        <v>37171.69</v>
      </c>
      <c r="AG57" s="234">
        <v>9895.5830000000005</v>
      </c>
      <c r="AH57" s="234">
        <v>58201.34</v>
      </c>
      <c r="AI57" s="234">
        <v>30267.69</v>
      </c>
      <c r="AJ57" s="234">
        <v>16426.689999999999</v>
      </c>
      <c r="AK57" s="234">
        <v>31199.38</v>
      </c>
      <c r="AL57" s="234">
        <v>173729.9</v>
      </c>
      <c r="AM57" s="234">
        <v>20098.09</v>
      </c>
      <c r="AN57" s="234">
        <v>15699.78</v>
      </c>
      <c r="AO57" s="234">
        <v>55675.34</v>
      </c>
      <c r="AP57" s="234">
        <v>59853.22</v>
      </c>
      <c r="AQ57" s="234">
        <v>13558.89</v>
      </c>
      <c r="AR57" s="234">
        <v>22251.11</v>
      </c>
      <c r="AS57" s="234">
        <v>265292</v>
      </c>
      <c r="AT57" s="234">
        <v>255012.5</v>
      </c>
      <c r="AU57" s="234">
        <v>316937.7</v>
      </c>
      <c r="AV57" s="234">
        <v>73616.91</v>
      </c>
      <c r="AW57" s="234">
        <v>78853.91</v>
      </c>
      <c r="AX57" s="234">
        <v>8937.3439999999991</v>
      </c>
      <c r="AY57" s="234">
        <v>2204.6439999999998</v>
      </c>
      <c r="AZ57" s="234">
        <v>368611.2</v>
      </c>
      <c r="BA57" s="234">
        <v>18401.55</v>
      </c>
      <c r="BB57" s="234">
        <v>48662</v>
      </c>
      <c r="BC57" s="234">
        <v>43463</v>
      </c>
      <c r="BD57" s="234">
        <v>10315</v>
      </c>
      <c r="BE57" s="234" t="s">
        <v>34</v>
      </c>
      <c r="BF57" s="234">
        <v>1.4998750000000001</v>
      </c>
      <c r="BG57" s="234">
        <v>3</v>
      </c>
      <c r="BH57" s="234">
        <v>1399650</v>
      </c>
      <c r="BI57" s="234">
        <v>0</v>
      </c>
      <c r="BJ57" s="234">
        <v>0</v>
      </c>
      <c r="BK57" s="234">
        <v>1</v>
      </c>
      <c r="BL57" s="234">
        <v>0</v>
      </c>
      <c r="BM57" s="234">
        <v>0</v>
      </c>
      <c r="BN57" s="234">
        <f>IF(ECON_OUTPUT!BE57="Other",1,0)</f>
        <v>0</v>
      </c>
    </row>
    <row r="58" spans="1:66" x14ac:dyDescent="0.25">
      <c r="A58" s="234">
        <v>57</v>
      </c>
      <c r="B58" s="234" t="s">
        <v>1768</v>
      </c>
      <c r="C58" s="234" t="s">
        <v>682</v>
      </c>
      <c r="D58" s="234" t="s">
        <v>688</v>
      </c>
      <c r="E58" s="235">
        <v>42523</v>
      </c>
      <c r="F58" s="234" t="s">
        <v>177</v>
      </c>
      <c r="G58" s="234">
        <v>2253000</v>
      </c>
      <c r="H58" s="234">
        <v>2665637</v>
      </c>
      <c r="I58" s="234">
        <v>0.183150022</v>
      </c>
      <c r="J58" s="234" t="s">
        <v>465</v>
      </c>
      <c r="K58" s="234">
        <v>4</v>
      </c>
      <c r="L58" s="234" t="s">
        <v>25</v>
      </c>
      <c r="M58" s="234">
        <v>2</v>
      </c>
      <c r="N58" s="234" t="s">
        <v>492</v>
      </c>
      <c r="O58" s="234" t="s">
        <v>1751</v>
      </c>
      <c r="P58" s="234" t="s">
        <v>1754</v>
      </c>
      <c r="Q58" s="234">
        <v>2702598</v>
      </c>
      <c r="R58" s="234">
        <v>262.7826</v>
      </c>
      <c r="S58" s="234">
        <v>271.53660000000002</v>
      </c>
      <c r="T58" s="234">
        <v>355.99299999999999</v>
      </c>
      <c r="U58" s="234">
        <v>1735</v>
      </c>
      <c r="V58" s="234">
        <v>2204.6439999999998</v>
      </c>
      <c r="W58" s="234">
        <v>554.08389999999997</v>
      </c>
      <c r="X58" s="234">
        <v>1202.5340000000001</v>
      </c>
      <c r="Y58" s="234">
        <v>1227.1099999999999</v>
      </c>
      <c r="Z58" s="234">
        <v>338.964</v>
      </c>
      <c r="AA58" s="234">
        <v>1454.65</v>
      </c>
      <c r="AB58" s="234">
        <v>195.91</v>
      </c>
      <c r="AC58" s="234">
        <v>869.19470000000001</v>
      </c>
      <c r="AD58" s="234">
        <v>334.04899999999998</v>
      </c>
      <c r="AE58" s="234">
        <v>398.31869999999998</v>
      </c>
      <c r="AF58" s="234">
        <v>37171.69</v>
      </c>
      <c r="AG58" s="234">
        <v>9895.5830000000005</v>
      </c>
      <c r="AH58" s="234">
        <v>58201.34</v>
      </c>
      <c r="AI58" s="234">
        <v>30267.69</v>
      </c>
      <c r="AJ58" s="234">
        <v>16426.689999999999</v>
      </c>
      <c r="AK58" s="234">
        <v>31199.38</v>
      </c>
      <c r="AL58" s="234">
        <v>173729.9</v>
      </c>
      <c r="AM58" s="234">
        <v>20098.09</v>
      </c>
      <c r="AN58" s="234">
        <v>15699.78</v>
      </c>
      <c r="AO58" s="234">
        <v>55675.34</v>
      </c>
      <c r="AP58" s="234">
        <v>59853.22</v>
      </c>
      <c r="AQ58" s="234">
        <v>13558.89</v>
      </c>
      <c r="AR58" s="234">
        <v>22251.11</v>
      </c>
      <c r="AS58" s="234">
        <v>265292</v>
      </c>
      <c r="AT58" s="234">
        <v>255012.5</v>
      </c>
      <c r="AU58" s="234">
        <v>316937.7</v>
      </c>
      <c r="AV58" s="234">
        <v>73616.91</v>
      </c>
      <c r="AW58" s="234">
        <v>78853.91</v>
      </c>
      <c r="AX58" s="234">
        <v>8937.3439999999991</v>
      </c>
      <c r="AY58" s="234">
        <v>2204.6439999999998</v>
      </c>
      <c r="AZ58" s="234">
        <v>368611.2</v>
      </c>
      <c r="BA58" s="234">
        <v>18401.55</v>
      </c>
      <c r="BB58" s="234">
        <v>48662</v>
      </c>
      <c r="BC58" s="234">
        <v>43463</v>
      </c>
      <c r="BD58" s="234">
        <v>10315</v>
      </c>
      <c r="BE58" s="234" t="s">
        <v>1753</v>
      </c>
      <c r="BF58" s="234">
        <v>1.19955525965379</v>
      </c>
      <c r="BG58" s="234">
        <v>3</v>
      </c>
      <c r="BH58" s="234">
        <v>449598</v>
      </c>
      <c r="BI58" s="234">
        <v>0</v>
      </c>
      <c r="BJ58" s="234">
        <v>0</v>
      </c>
      <c r="BK58" s="234">
        <v>1</v>
      </c>
      <c r="BL58" s="234">
        <v>0</v>
      </c>
      <c r="BM58" s="234">
        <v>0</v>
      </c>
      <c r="BN58" s="234">
        <f>IF(ECON_OUTPUT!BE58="Other",1,0)</f>
        <v>1</v>
      </c>
    </row>
    <row r="59" spans="1:66" x14ac:dyDescent="0.25">
      <c r="A59" s="234">
        <v>58</v>
      </c>
      <c r="B59" s="234" t="s">
        <v>1768</v>
      </c>
      <c r="C59" s="234" t="s">
        <v>670</v>
      </c>
      <c r="D59" s="234" t="s">
        <v>671</v>
      </c>
      <c r="E59" s="235">
        <v>42538</v>
      </c>
      <c r="F59" s="234" t="s">
        <v>34</v>
      </c>
      <c r="G59" s="234">
        <v>1800000</v>
      </c>
      <c r="H59" s="234">
        <v>1628370</v>
      </c>
      <c r="I59" s="234">
        <v>-9.5350000000000004E-2</v>
      </c>
      <c r="J59" s="234" t="s">
        <v>464</v>
      </c>
      <c r="K59" s="234">
        <v>13</v>
      </c>
      <c r="L59" s="234" t="s">
        <v>93</v>
      </c>
      <c r="M59" s="234">
        <v>2</v>
      </c>
      <c r="N59" s="234" t="s">
        <v>457</v>
      </c>
      <c r="O59" s="234" t="s">
        <v>1751</v>
      </c>
      <c r="P59" s="234" t="s">
        <v>1750</v>
      </c>
      <c r="Q59" s="234">
        <v>1992121</v>
      </c>
      <c r="R59" s="234">
        <v>262.7826</v>
      </c>
      <c r="S59" s="234">
        <v>271.53660000000002</v>
      </c>
      <c r="T59" s="234">
        <v>355.99299999999999</v>
      </c>
      <c r="U59" s="234">
        <v>1735</v>
      </c>
      <c r="V59" s="234">
        <v>2204.6439999999998</v>
      </c>
      <c r="W59" s="234">
        <v>554.08389999999997</v>
      </c>
      <c r="X59" s="234">
        <v>1202.5340000000001</v>
      </c>
      <c r="Y59" s="234">
        <v>1227.1099999999999</v>
      </c>
      <c r="Z59" s="234">
        <v>338.964</v>
      </c>
      <c r="AA59" s="234">
        <v>1454.65</v>
      </c>
      <c r="AB59" s="234">
        <v>195.91</v>
      </c>
      <c r="AC59" s="234">
        <v>869.19470000000001</v>
      </c>
      <c r="AD59" s="234">
        <v>334.04899999999998</v>
      </c>
      <c r="AE59" s="234">
        <v>398.31869999999998</v>
      </c>
      <c r="AF59" s="234">
        <v>37171.69</v>
      </c>
      <c r="AG59" s="234">
        <v>9895.5830000000005</v>
      </c>
      <c r="AH59" s="234">
        <v>58201.34</v>
      </c>
      <c r="AI59" s="234">
        <v>30267.69</v>
      </c>
      <c r="AJ59" s="234">
        <v>16426.689999999999</v>
      </c>
      <c r="AK59" s="234">
        <v>31199.38</v>
      </c>
      <c r="AL59" s="234">
        <v>173729.9</v>
      </c>
      <c r="AM59" s="234">
        <v>20098.09</v>
      </c>
      <c r="AN59" s="234">
        <v>15699.78</v>
      </c>
      <c r="AO59" s="234">
        <v>55675.34</v>
      </c>
      <c r="AP59" s="234">
        <v>59853.22</v>
      </c>
      <c r="AQ59" s="234">
        <v>13558.89</v>
      </c>
      <c r="AR59" s="234">
        <v>22251.11</v>
      </c>
      <c r="AS59" s="234">
        <v>265292</v>
      </c>
      <c r="AT59" s="234">
        <v>255012.5</v>
      </c>
      <c r="AU59" s="234">
        <v>316937.7</v>
      </c>
      <c r="AV59" s="234">
        <v>73616.91</v>
      </c>
      <c r="AW59" s="234">
        <v>78853.91</v>
      </c>
      <c r="AX59" s="234">
        <v>8937.3439999999991</v>
      </c>
      <c r="AY59" s="234">
        <v>2204.6439999999998</v>
      </c>
      <c r="AZ59" s="234">
        <v>368611.2</v>
      </c>
      <c r="BA59" s="234">
        <v>18401.55</v>
      </c>
      <c r="BB59" s="234">
        <v>48662</v>
      </c>
      <c r="BC59" s="234">
        <v>43463</v>
      </c>
      <c r="BD59" s="234">
        <v>10315</v>
      </c>
      <c r="BE59" s="234" t="s">
        <v>34</v>
      </c>
      <c r="BF59" s="234">
        <v>1.10673388888889</v>
      </c>
      <c r="BG59" s="234">
        <v>2</v>
      </c>
      <c r="BH59" s="234">
        <v>192121</v>
      </c>
      <c r="BI59" s="234">
        <v>0</v>
      </c>
      <c r="BJ59" s="234">
        <v>1</v>
      </c>
      <c r="BK59" s="234">
        <v>0</v>
      </c>
      <c r="BL59" s="234">
        <v>0</v>
      </c>
      <c r="BM59" s="234">
        <v>0</v>
      </c>
      <c r="BN59" s="234">
        <f>IF(ECON_OUTPUT!BE59="Other",1,0)</f>
        <v>0</v>
      </c>
    </row>
    <row r="60" spans="1:66" x14ac:dyDescent="0.25">
      <c r="A60" s="234">
        <v>59</v>
      </c>
      <c r="B60" s="234" t="s">
        <v>1767</v>
      </c>
      <c r="C60" s="234" t="s">
        <v>691</v>
      </c>
      <c r="D60" s="234" t="s">
        <v>692</v>
      </c>
      <c r="E60" s="235">
        <v>42579</v>
      </c>
      <c r="F60" s="234" t="s">
        <v>177</v>
      </c>
      <c r="G60" s="234">
        <v>1636000</v>
      </c>
      <c r="H60" s="234">
        <v>1365000</v>
      </c>
      <c r="I60" s="234">
        <v>-0.165647922</v>
      </c>
      <c r="J60" s="234" t="s">
        <v>464</v>
      </c>
      <c r="K60" s="234">
        <v>3</v>
      </c>
      <c r="L60" s="234" t="s">
        <v>93</v>
      </c>
      <c r="M60" s="234">
        <v>3</v>
      </c>
      <c r="N60" s="234" t="s">
        <v>457</v>
      </c>
      <c r="O60" s="234" t="s">
        <v>1751</v>
      </c>
      <c r="P60" s="234" t="s">
        <v>1750</v>
      </c>
      <c r="Q60" s="234">
        <v>1555556</v>
      </c>
      <c r="R60" s="234">
        <v>263.8254</v>
      </c>
      <c r="S60" s="234">
        <v>279.08240000000001</v>
      </c>
      <c r="T60" s="234">
        <v>358.81920000000002</v>
      </c>
      <c r="U60" s="234">
        <v>1752.779</v>
      </c>
      <c r="V60" s="234">
        <v>2218.0250000000001</v>
      </c>
      <c r="W60" s="234">
        <v>554.51319999999998</v>
      </c>
      <c r="X60" s="234">
        <v>1205.6410000000001</v>
      </c>
      <c r="Y60" s="234">
        <v>1236.7429999999999</v>
      </c>
      <c r="Z60" s="234">
        <v>338.56420000000003</v>
      </c>
      <c r="AA60" s="234">
        <v>1465.8920000000001</v>
      </c>
      <c r="AB60" s="234">
        <v>197.62010000000001</v>
      </c>
      <c r="AC60" s="234">
        <v>871.06650000000002</v>
      </c>
      <c r="AD60" s="234">
        <v>335.97039999999998</v>
      </c>
      <c r="AE60" s="234">
        <v>397.44920000000002</v>
      </c>
      <c r="AF60" s="234">
        <v>36084.18</v>
      </c>
      <c r="AG60" s="234">
        <v>9831.0640000000003</v>
      </c>
      <c r="AH60" s="234">
        <v>58186.77</v>
      </c>
      <c r="AI60" s="234">
        <v>30391.34</v>
      </c>
      <c r="AJ60" s="234">
        <v>16616.29</v>
      </c>
      <c r="AK60" s="234">
        <v>31116.66</v>
      </c>
      <c r="AL60" s="234">
        <v>173164.3</v>
      </c>
      <c r="AM60" s="234">
        <v>20101.25</v>
      </c>
      <c r="AN60" s="234">
        <v>15270.82</v>
      </c>
      <c r="AO60" s="234">
        <v>55181.07</v>
      </c>
      <c r="AP60" s="234">
        <v>59796.43</v>
      </c>
      <c r="AQ60" s="234">
        <v>13625.4</v>
      </c>
      <c r="AR60" s="234">
        <v>22239.99</v>
      </c>
      <c r="AS60" s="234">
        <v>267273.8</v>
      </c>
      <c r="AT60" s="234">
        <v>255810.9</v>
      </c>
      <c r="AU60" s="234">
        <v>319161.40000000002</v>
      </c>
      <c r="AV60" s="234">
        <v>74111.72</v>
      </c>
      <c r="AW60" s="234">
        <v>79600.649999999994</v>
      </c>
      <c r="AX60" s="234">
        <v>8994.14</v>
      </c>
      <c r="AY60" s="234">
        <v>2218.0250000000001</v>
      </c>
      <c r="AZ60" s="234">
        <v>366967.5</v>
      </c>
      <c r="BA60" s="234">
        <v>18405.93</v>
      </c>
      <c r="BB60" s="234">
        <v>49526</v>
      </c>
      <c r="BC60" s="234">
        <v>48662</v>
      </c>
      <c r="BD60" s="234">
        <v>10385</v>
      </c>
      <c r="BE60" s="234" t="s">
        <v>1753</v>
      </c>
      <c r="BF60" s="234">
        <v>0.95082885085574598</v>
      </c>
      <c r="BG60" s="234">
        <v>2</v>
      </c>
      <c r="BH60" s="234">
        <v>-80444</v>
      </c>
      <c r="BI60" s="234">
        <v>0</v>
      </c>
      <c r="BJ60" s="234">
        <v>1</v>
      </c>
      <c r="BK60" s="234">
        <v>0</v>
      </c>
      <c r="BL60" s="234">
        <v>0</v>
      </c>
      <c r="BM60" s="234">
        <v>0</v>
      </c>
      <c r="BN60" s="234">
        <f>IF(ECON_OUTPUT!BE60="Other",1,0)</f>
        <v>1</v>
      </c>
    </row>
    <row r="61" spans="1:66" x14ac:dyDescent="0.25">
      <c r="A61" s="234">
        <v>60</v>
      </c>
      <c r="B61" s="234" t="s">
        <v>1767</v>
      </c>
      <c r="C61" s="234" t="s">
        <v>694</v>
      </c>
      <c r="D61" s="234" t="s">
        <v>695</v>
      </c>
      <c r="E61" s="235">
        <v>42584</v>
      </c>
      <c r="F61" s="234" t="s">
        <v>34</v>
      </c>
      <c r="G61" s="234">
        <v>1750000</v>
      </c>
      <c r="H61" s="234">
        <v>1930000</v>
      </c>
      <c r="I61" s="234">
        <v>0.102857143</v>
      </c>
      <c r="J61" s="234" t="s">
        <v>464</v>
      </c>
      <c r="K61" s="234">
        <v>9</v>
      </c>
      <c r="L61" s="234" t="s">
        <v>93</v>
      </c>
      <c r="M61" s="234">
        <v>3</v>
      </c>
      <c r="N61" s="234" t="s">
        <v>458</v>
      </c>
      <c r="O61" s="234" t="s">
        <v>1751</v>
      </c>
      <c r="P61" s="234" t="s">
        <v>1750</v>
      </c>
      <c r="Q61" s="234">
        <v>1978000</v>
      </c>
      <c r="R61" s="234">
        <v>263.8254</v>
      </c>
      <c r="S61" s="234">
        <v>279.08240000000001</v>
      </c>
      <c r="T61" s="234">
        <v>358.81920000000002</v>
      </c>
      <c r="U61" s="234">
        <v>1752.779</v>
      </c>
      <c r="V61" s="234">
        <v>2218.0250000000001</v>
      </c>
      <c r="W61" s="234">
        <v>554.51319999999998</v>
      </c>
      <c r="X61" s="234">
        <v>1205.6410000000001</v>
      </c>
      <c r="Y61" s="234">
        <v>1236.7429999999999</v>
      </c>
      <c r="Z61" s="234">
        <v>338.56420000000003</v>
      </c>
      <c r="AA61" s="234">
        <v>1465.8920000000001</v>
      </c>
      <c r="AB61" s="234">
        <v>197.62010000000001</v>
      </c>
      <c r="AC61" s="234">
        <v>871.06650000000002</v>
      </c>
      <c r="AD61" s="234">
        <v>335.97039999999998</v>
      </c>
      <c r="AE61" s="234">
        <v>397.44920000000002</v>
      </c>
      <c r="AF61" s="234">
        <v>36084.18</v>
      </c>
      <c r="AG61" s="234">
        <v>9831.0640000000003</v>
      </c>
      <c r="AH61" s="234">
        <v>58186.77</v>
      </c>
      <c r="AI61" s="234">
        <v>30391.34</v>
      </c>
      <c r="AJ61" s="234">
        <v>16616.29</v>
      </c>
      <c r="AK61" s="234">
        <v>31116.66</v>
      </c>
      <c r="AL61" s="234">
        <v>173164.3</v>
      </c>
      <c r="AM61" s="234">
        <v>20101.25</v>
      </c>
      <c r="AN61" s="234">
        <v>15270.82</v>
      </c>
      <c r="AO61" s="234">
        <v>55181.07</v>
      </c>
      <c r="AP61" s="234">
        <v>59796.43</v>
      </c>
      <c r="AQ61" s="234">
        <v>13625.4</v>
      </c>
      <c r="AR61" s="234">
        <v>22239.99</v>
      </c>
      <c r="AS61" s="234">
        <v>267273.8</v>
      </c>
      <c r="AT61" s="234">
        <v>255810.9</v>
      </c>
      <c r="AU61" s="234">
        <v>319161.40000000002</v>
      </c>
      <c r="AV61" s="234">
        <v>74111.72</v>
      </c>
      <c r="AW61" s="234">
        <v>79600.649999999994</v>
      </c>
      <c r="AX61" s="234">
        <v>8994.14</v>
      </c>
      <c r="AY61" s="234">
        <v>2218.0250000000001</v>
      </c>
      <c r="AZ61" s="234">
        <v>366967.5</v>
      </c>
      <c r="BA61" s="234">
        <v>18405.93</v>
      </c>
      <c r="BB61" s="234">
        <v>49526</v>
      </c>
      <c r="BC61" s="234">
        <v>48662</v>
      </c>
      <c r="BD61" s="234">
        <v>10385</v>
      </c>
      <c r="BE61" s="234" t="s">
        <v>34</v>
      </c>
      <c r="BF61" s="234">
        <v>1.1302857142857099</v>
      </c>
      <c r="BG61" s="234">
        <v>2</v>
      </c>
      <c r="BH61" s="234">
        <v>228000</v>
      </c>
      <c r="BI61" s="234">
        <v>0</v>
      </c>
      <c r="BJ61" s="234">
        <v>1</v>
      </c>
      <c r="BK61" s="234">
        <v>0</v>
      </c>
      <c r="BL61" s="234">
        <v>0</v>
      </c>
      <c r="BM61" s="234">
        <v>0</v>
      </c>
      <c r="BN61" s="234">
        <f>IF(ECON_OUTPUT!BE61="Other",1,0)</f>
        <v>0</v>
      </c>
    </row>
    <row r="62" spans="1:66" x14ac:dyDescent="0.25">
      <c r="A62" s="234">
        <v>61</v>
      </c>
      <c r="B62" s="234" t="s">
        <v>1767</v>
      </c>
      <c r="C62" s="234" t="s">
        <v>705</v>
      </c>
      <c r="D62" s="234" t="s">
        <v>706</v>
      </c>
      <c r="E62" s="235">
        <v>42586</v>
      </c>
      <c r="F62" s="234" t="s">
        <v>177</v>
      </c>
      <c r="G62" s="234">
        <v>800000</v>
      </c>
      <c r="H62" s="234">
        <v>485250</v>
      </c>
      <c r="I62" s="234">
        <v>-0.3934375</v>
      </c>
      <c r="J62" s="234" t="s">
        <v>464</v>
      </c>
      <c r="K62" s="234">
        <v>4</v>
      </c>
      <c r="L62" s="234" t="s">
        <v>25</v>
      </c>
      <c r="M62" s="234">
        <v>3</v>
      </c>
      <c r="N62" s="234" t="s">
        <v>457</v>
      </c>
      <c r="O62" s="234" t="s">
        <v>1751</v>
      </c>
      <c r="P62" s="234" t="s">
        <v>1754</v>
      </c>
      <c r="Q62" s="234">
        <v>685749</v>
      </c>
      <c r="R62" s="234">
        <v>263.8254</v>
      </c>
      <c r="S62" s="234">
        <v>279.08240000000001</v>
      </c>
      <c r="T62" s="234">
        <v>358.81920000000002</v>
      </c>
      <c r="U62" s="234">
        <v>1752.779</v>
      </c>
      <c r="V62" s="234">
        <v>2218.0250000000001</v>
      </c>
      <c r="W62" s="234">
        <v>554.51319999999998</v>
      </c>
      <c r="X62" s="234">
        <v>1205.6410000000001</v>
      </c>
      <c r="Y62" s="234">
        <v>1236.7429999999999</v>
      </c>
      <c r="Z62" s="234">
        <v>338.56420000000003</v>
      </c>
      <c r="AA62" s="234">
        <v>1465.8920000000001</v>
      </c>
      <c r="AB62" s="234">
        <v>197.62010000000001</v>
      </c>
      <c r="AC62" s="234">
        <v>871.06650000000002</v>
      </c>
      <c r="AD62" s="234">
        <v>335.97039999999998</v>
      </c>
      <c r="AE62" s="234">
        <v>397.44920000000002</v>
      </c>
      <c r="AF62" s="234">
        <v>36084.18</v>
      </c>
      <c r="AG62" s="234">
        <v>9831.0640000000003</v>
      </c>
      <c r="AH62" s="234">
        <v>58186.77</v>
      </c>
      <c r="AI62" s="234">
        <v>30391.34</v>
      </c>
      <c r="AJ62" s="234">
        <v>16616.29</v>
      </c>
      <c r="AK62" s="234">
        <v>31116.66</v>
      </c>
      <c r="AL62" s="234">
        <v>173164.3</v>
      </c>
      <c r="AM62" s="234">
        <v>20101.25</v>
      </c>
      <c r="AN62" s="234">
        <v>15270.82</v>
      </c>
      <c r="AO62" s="234">
        <v>55181.07</v>
      </c>
      <c r="AP62" s="234">
        <v>59796.43</v>
      </c>
      <c r="AQ62" s="234">
        <v>13625.4</v>
      </c>
      <c r="AR62" s="234">
        <v>22239.99</v>
      </c>
      <c r="AS62" s="234">
        <v>267273.8</v>
      </c>
      <c r="AT62" s="234">
        <v>255810.9</v>
      </c>
      <c r="AU62" s="234">
        <v>319161.40000000002</v>
      </c>
      <c r="AV62" s="234">
        <v>74111.72</v>
      </c>
      <c r="AW62" s="234">
        <v>79600.649999999994</v>
      </c>
      <c r="AX62" s="234">
        <v>8994.14</v>
      </c>
      <c r="AY62" s="234">
        <v>2218.0250000000001</v>
      </c>
      <c r="AZ62" s="234">
        <v>366967.5</v>
      </c>
      <c r="BA62" s="234">
        <v>18405.93</v>
      </c>
      <c r="BB62" s="234">
        <v>49526</v>
      </c>
      <c r="BC62" s="234">
        <v>48662</v>
      </c>
      <c r="BD62" s="234">
        <v>10385</v>
      </c>
      <c r="BE62" s="234" t="s">
        <v>1753</v>
      </c>
      <c r="BF62" s="234">
        <v>0.85718625000000004</v>
      </c>
      <c r="BG62" s="234">
        <v>1</v>
      </c>
      <c r="BH62" s="234">
        <v>-114251</v>
      </c>
      <c r="BI62" s="234">
        <v>1</v>
      </c>
      <c r="BJ62" s="234">
        <v>0</v>
      </c>
      <c r="BK62" s="234">
        <v>0</v>
      </c>
      <c r="BL62" s="234">
        <v>0</v>
      </c>
      <c r="BM62" s="234">
        <v>0</v>
      </c>
      <c r="BN62" s="234">
        <f>IF(ECON_OUTPUT!BE62="Other",1,0)</f>
        <v>1</v>
      </c>
    </row>
    <row r="63" spans="1:66" x14ac:dyDescent="0.25">
      <c r="A63" s="234">
        <v>62</v>
      </c>
      <c r="B63" s="234" t="s">
        <v>1767</v>
      </c>
      <c r="C63" s="234" t="s">
        <v>716</v>
      </c>
      <c r="D63" s="234" t="s">
        <v>717</v>
      </c>
      <c r="E63" s="235">
        <v>42593</v>
      </c>
      <c r="F63" s="234" t="s">
        <v>34</v>
      </c>
      <c r="G63" s="234">
        <v>1450000</v>
      </c>
      <c r="H63" s="234">
        <v>763000</v>
      </c>
      <c r="I63" s="234">
        <v>-0.47379310299999999</v>
      </c>
      <c r="J63" s="234" t="s">
        <v>464</v>
      </c>
      <c r="K63" s="234">
        <v>6</v>
      </c>
      <c r="L63" s="234" t="s">
        <v>93</v>
      </c>
      <c r="M63" s="234">
        <v>3</v>
      </c>
      <c r="N63" s="234" t="s">
        <v>457</v>
      </c>
      <c r="O63" s="234" t="s">
        <v>1751</v>
      </c>
      <c r="P63" s="234" t="s">
        <v>1755</v>
      </c>
      <c r="Q63" s="234">
        <v>1291760</v>
      </c>
      <c r="R63" s="234">
        <v>263.8254</v>
      </c>
      <c r="S63" s="234">
        <v>279.08240000000001</v>
      </c>
      <c r="T63" s="234">
        <v>358.81920000000002</v>
      </c>
      <c r="U63" s="234">
        <v>1752.779</v>
      </c>
      <c r="V63" s="234">
        <v>2218.0250000000001</v>
      </c>
      <c r="W63" s="234">
        <v>554.51319999999998</v>
      </c>
      <c r="X63" s="234">
        <v>1205.6410000000001</v>
      </c>
      <c r="Y63" s="234">
        <v>1236.7429999999999</v>
      </c>
      <c r="Z63" s="234">
        <v>338.56420000000003</v>
      </c>
      <c r="AA63" s="234">
        <v>1465.8920000000001</v>
      </c>
      <c r="AB63" s="234">
        <v>197.62010000000001</v>
      </c>
      <c r="AC63" s="234">
        <v>871.06650000000002</v>
      </c>
      <c r="AD63" s="234">
        <v>335.97039999999998</v>
      </c>
      <c r="AE63" s="234">
        <v>397.44920000000002</v>
      </c>
      <c r="AF63" s="234">
        <v>36084.18</v>
      </c>
      <c r="AG63" s="234">
        <v>9831.0640000000003</v>
      </c>
      <c r="AH63" s="234">
        <v>58186.77</v>
      </c>
      <c r="AI63" s="234">
        <v>30391.34</v>
      </c>
      <c r="AJ63" s="234">
        <v>16616.29</v>
      </c>
      <c r="AK63" s="234">
        <v>31116.66</v>
      </c>
      <c r="AL63" s="234">
        <v>173164.3</v>
      </c>
      <c r="AM63" s="234">
        <v>20101.25</v>
      </c>
      <c r="AN63" s="234">
        <v>15270.82</v>
      </c>
      <c r="AO63" s="234">
        <v>55181.07</v>
      </c>
      <c r="AP63" s="234">
        <v>59796.43</v>
      </c>
      <c r="AQ63" s="234">
        <v>13625.4</v>
      </c>
      <c r="AR63" s="234">
        <v>22239.99</v>
      </c>
      <c r="AS63" s="234">
        <v>267273.8</v>
      </c>
      <c r="AT63" s="234">
        <v>255810.9</v>
      </c>
      <c r="AU63" s="234">
        <v>319161.40000000002</v>
      </c>
      <c r="AV63" s="234">
        <v>74111.72</v>
      </c>
      <c r="AW63" s="234">
        <v>79600.649999999994</v>
      </c>
      <c r="AX63" s="234">
        <v>8994.14</v>
      </c>
      <c r="AY63" s="234">
        <v>2218.0250000000001</v>
      </c>
      <c r="AZ63" s="234">
        <v>366967.5</v>
      </c>
      <c r="BA63" s="234">
        <v>18405.93</v>
      </c>
      <c r="BB63" s="234">
        <v>49526</v>
      </c>
      <c r="BC63" s="234">
        <v>48662</v>
      </c>
      <c r="BD63" s="234">
        <v>10385</v>
      </c>
      <c r="BE63" s="234" t="s">
        <v>34</v>
      </c>
      <c r="BF63" s="234">
        <v>0.89086896551724104</v>
      </c>
      <c r="BG63" s="234">
        <v>1</v>
      </c>
      <c r="BH63" s="234">
        <v>-158240</v>
      </c>
      <c r="BI63" s="234">
        <v>1</v>
      </c>
      <c r="BJ63" s="234">
        <v>0</v>
      </c>
      <c r="BK63" s="234">
        <v>0</v>
      </c>
      <c r="BL63" s="234">
        <v>0</v>
      </c>
      <c r="BM63" s="234">
        <v>0</v>
      </c>
      <c r="BN63" s="234">
        <f>IF(ECON_OUTPUT!BE63="Other",1,0)</f>
        <v>0</v>
      </c>
    </row>
    <row r="64" spans="1:66" x14ac:dyDescent="0.25">
      <c r="A64" s="234">
        <v>63</v>
      </c>
      <c r="B64" s="234" t="s">
        <v>1767</v>
      </c>
      <c r="C64" s="234" t="s">
        <v>719</v>
      </c>
      <c r="D64" s="234" t="s">
        <v>720</v>
      </c>
      <c r="E64" s="235">
        <v>42601</v>
      </c>
      <c r="F64" s="234" t="s">
        <v>34</v>
      </c>
      <c r="G64" s="234">
        <v>6120000</v>
      </c>
      <c r="H64" s="234">
        <v>4674300</v>
      </c>
      <c r="I64" s="234">
        <v>-0.23622549000000001</v>
      </c>
      <c r="J64" s="234" t="s">
        <v>464</v>
      </c>
      <c r="K64" s="234">
        <v>6</v>
      </c>
      <c r="L64" s="234" t="s">
        <v>25</v>
      </c>
      <c r="M64" s="234">
        <v>3</v>
      </c>
      <c r="N64" s="234" t="s">
        <v>459</v>
      </c>
      <c r="O64" s="234" t="s">
        <v>1751</v>
      </c>
      <c r="P64" s="234" t="s">
        <v>1754</v>
      </c>
      <c r="Q64" s="234">
        <v>4753054</v>
      </c>
      <c r="R64" s="234">
        <v>263.8254</v>
      </c>
      <c r="S64" s="234">
        <v>279.08240000000001</v>
      </c>
      <c r="T64" s="234">
        <v>358.81920000000002</v>
      </c>
      <c r="U64" s="234">
        <v>1752.779</v>
      </c>
      <c r="V64" s="234">
        <v>2218.0250000000001</v>
      </c>
      <c r="W64" s="234">
        <v>554.51319999999998</v>
      </c>
      <c r="X64" s="234">
        <v>1205.6410000000001</v>
      </c>
      <c r="Y64" s="234">
        <v>1236.7429999999999</v>
      </c>
      <c r="Z64" s="234">
        <v>338.56420000000003</v>
      </c>
      <c r="AA64" s="234">
        <v>1465.8920000000001</v>
      </c>
      <c r="AB64" s="234">
        <v>197.62010000000001</v>
      </c>
      <c r="AC64" s="234">
        <v>871.06650000000002</v>
      </c>
      <c r="AD64" s="234">
        <v>335.97039999999998</v>
      </c>
      <c r="AE64" s="234">
        <v>397.44920000000002</v>
      </c>
      <c r="AF64" s="234">
        <v>36084.18</v>
      </c>
      <c r="AG64" s="234">
        <v>9831.0640000000003</v>
      </c>
      <c r="AH64" s="234">
        <v>58186.77</v>
      </c>
      <c r="AI64" s="234">
        <v>30391.34</v>
      </c>
      <c r="AJ64" s="234">
        <v>16616.29</v>
      </c>
      <c r="AK64" s="234">
        <v>31116.66</v>
      </c>
      <c r="AL64" s="234">
        <v>173164.3</v>
      </c>
      <c r="AM64" s="234">
        <v>20101.25</v>
      </c>
      <c r="AN64" s="234">
        <v>15270.82</v>
      </c>
      <c r="AO64" s="234">
        <v>55181.07</v>
      </c>
      <c r="AP64" s="234">
        <v>59796.43</v>
      </c>
      <c r="AQ64" s="234">
        <v>13625.4</v>
      </c>
      <c r="AR64" s="234">
        <v>22239.99</v>
      </c>
      <c r="AS64" s="234">
        <v>267273.8</v>
      </c>
      <c r="AT64" s="234">
        <v>255810.9</v>
      </c>
      <c r="AU64" s="234">
        <v>319161.40000000002</v>
      </c>
      <c r="AV64" s="234">
        <v>74111.72</v>
      </c>
      <c r="AW64" s="234">
        <v>79600.649999999994</v>
      </c>
      <c r="AX64" s="234">
        <v>8994.14</v>
      </c>
      <c r="AY64" s="234">
        <v>2218.0250000000001</v>
      </c>
      <c r="AZ64" s="234">
        <v>366967.5</v>
      </c>
      <c r="BA64" s="234">
        <v>18405.93</v>
      </c>
      <c r="BB64" s="234">
        <v>49526</v>
      </c>
      <c r="BC64" s="234">
        <v>48662</v>
      </c>
      <c r="BD64" s="234">
        <v>10385</v>
      </c>
      <c r="BE64" s="234" t="s">
        <v>34</v>
      </c>
      <c r="BF64" s="234">
        <v>0.77664281045751604</v>
      </c>
      <c r="BG64" s="234">
        <v>4</v>
      </c>
      <c r="BH64" s="234">
        <v>-1366946</v>
      </c>
      <c r="BI64" s="234">
        <v>0</v>
      </c>
      <c r="BJ64" s="234">
        <v>0</v>
      </c>
      <c r="BK64" s="234">
        <v>0</v>
      </c>
      <c r="BL64" s="234">
        <v>1</v>
      </c>
      <c r="BM64" s="234">
        <v>0</v>
      </c>
      <c r="BN64" s="234">
        <f>IF(ECON_OUTPUT!BE64="Other",1,0)</f>
        <v>0</v>
      </c>
    </row>
    <row r="65" spans="1:66" x14ac:dyDescent="0.25">
      <c r="A65" s="234">
        <v>64</v>
      </c>
      <c r="B65" s="234" t="s">
        <v>1767</v>
      </c>
      <c r="C65" s="234" t="s">
        <v>727</v>
      </c>
      <c r="D65" s="234" t="s">
        <v>728</v>
      </c>
      <c r="E65" s="235">
        <v>42606</v>
      </c>
      <c r="F65" s="234" t="s">
        <v>177</v>
      </c>
      <c r="G65" s="234">
        <v>230000</v>
      </c>
      <c r="H65" s="234">
        <v>274450</v>
      </c>
      <c r="I65" s="234">
        <v>0.19326087</v>
      </c>
      <c r="J65" s="234" t="s">
        <v>465</v>
      </c>
      <c r="K65" s="234">
        <v>3</v>
      </c>
      <c r="L65" s="234" t="s">
        <v>25</v>
      </c>
      <c r="M65" s="234">
        <v>3</v>
      </c>
      <c r="N65" s="234" t="s">
        <v>458</v>
      </c>
      <c r="O65" s="234" t="s">
        <v>1751</v>
      </c>
      <c r="P65" s="234" t="s">
        <v>1750</v>
      </c>
      <c r="Q65" s="234">
        <v>395000</v>
      </c>
      <c r="R65" s="234">
        <v>263.8254</v>
      </c>
      <c r="S65" s="234">
        <v>279.08240000000001</v>
      </c>
      <c r="T65" s="234">
        <v>358.81920000000002</v>
      </c>
      <c r="U65" s="234">
        <v>1752.779</v>
      </c>
      <c r="V65" s="234">
        <v>2218.0250000000001</v>
      </c>
      <c r="W65" s="234">
        <v>554.51319999999998</v>
      </c>
      <c r="X65" s="234">
        <v>1205.6410000000001</v>
      </c>
      <c r="Y65" s="234">
        <v>1236.7429999999999</v>
      </c>
      <c r="Z65" s="234">
        <v>338.56420000000003</v>
      </c>
      <c r="AA65" s="234">
        <v>1465.8920000000001</v>
      </c>
      <c r="AB65" s="234">
        <v>197.62010000000001</v>
      </c>
      <c r="AC65" s="234">
        <v>871.06650000000002</v>
      </c>
      <c r="AD65" s="234">
        <v>335.97039999999998</v>
      </c>
      <c r="AE65" s="234">
        <v>397.44920000000002</v>
      </c>
      <c r="AF65" s="234">
        <v>36084.18</v>
      </c>
      <c r="AG65" s="234">
        <v>9831.0640000000003</v>
      </c>
      <c r="AH65" s="234">
        <v>58186.77</v>
      </c>
      <c r="AI65" s="234">
        <v>30391.34</v>
      </c>
      <c r="AJ65" s="234">
        <v>16616.29</v>
      </c>
      <c r="AK65" s="234">
        <v>31116.66</v>
      </c>
      <c r="AL65" s="234">
        <v>173164.3</v>
      </c>
      <c r="AM65" s="234">
        <v>20101.25</v>
      </c>
      <c r="AN65" s="234">
        <v>15270.82</v>
      </c>
      <c r="AO65" s="234">
        <v>55181.07</v>
      </c>
      <c r="AP65" s="234">
        <v>59796.43</v>
      </c>
      <c r="AQ65" s="234">
        <v>13625.4</v>
      </c>
      <c r="AR65" s="234">
        <v>22239.99</v>
      </c>
      <c r="AS65" s="234">
        <v>267273.8</v>
      </c>
      <c r="AT65" s="234">
        <v>255810.9</v>
      </c>
      <c r="AU65" s="234">
        <v>319161.40000000002</v>
      </c>
      <c r="AV65" s="234">
        <v>74111.72</v>
      </c>
      <c r="AW65" s="234">
        <v>79600.649999999994</v>
      </c>
      <c r="AX65" s="234">
        <v>8994.14</v>
      </c>
      <c r="AY65" s="234">
        <v>2218.0250000000001</v>
      </c>
      <c r="AZ65" s="234">
        <v>366967.5</v>
      </c>
      <c r="BA65" s="234">
        <v>18405.93</v>
      </c>
      <c r="BB65" s="234">
        <v>49526</v>
      </c>
      <c r="BC65" s="234">
        <v>48662</v>
      </c>
      <c r="BD65" s="234">
        <v>10385</v>
      </c>
      <c r="BE65" s="234" t="s">
        <v>1753</v>
      </c>
      <c r="BF65" s="234">
        <v>1.7173913043478299</v>
      </c>
      <c r="BG65" s="234">
        <v>1</v>
      </c>
      <c r="BH65" s="234">
        <v>165000</v>
      </c>
      <c r="BI65" s="234">
        <v>1</v>
      </c>
      <c r="BJ65" s="234">
        <v>0</v>
      </c>
      <c r="BK65" s="234">
        <v>0</v>
      </c>
      <c r="BL65" s="234">
        <v>0</v>
      </c>
      <c r="BM65" s="234">
        <v>0</v>
      </c>
      <c r="BN65" s="234">
        <f>IF(ECON_OUTPUT!BE65="Other",1,0)</f>
        <v>1</v>
      </c>
    </row>
    <row r="66" spans="1:66" x14ac:dyDescent="0.25">
      <c r="A66" s="234">
        <v>65</v>
      </c>
      <c r="B66" s="234" t="s">
        <v>1767</v>
      </c>
      <c r="C66" s="234" t="s">
        <v>731</v>
      </c>
      <c r="D66" s="234" t="s">
        <v>732</v>
      </c>
      <c r="E66" s="235">
        <v>42612</v>
      </c>
      <c r="F66" s="234" t="s">
        <v>34</v>
      </c>
      <c r="G66" s="234">
        <v>2000000</v>
      </c>
      <c r="H66" s="234">
        <v>1460000</v>
      </c>
      <c r="I66" s="234">
        <v>-0.27</v>
      </c>
      <c r="J66" s="234" t="s">
        <v>464</v>
      </c>
      <c r="K66" s="234">
        <v>10</v>
      </c>
      <c r="L66" s="234" t="s">
        <v>25</v>
      </c>
      <c r="M66" s="234">
        <v>3</v>
      </c>
      <c r="N66" s="234" t="s">
        <v>492</v>
      </c>
      <c r="O66" s="234" t="s">
        <v>1751</v>
      </c>
      <c r="P66" s="234" t="s">
        <v>1754</v>
      </c>
      <c r="Q66" s="234">
        <v>1500000</v>
      </c>
      <c r="R66" s="234">
        <v>263.8254</v>
      </c>
      <c r="S66" s="234">
        <v>279.08240000000001</v>
      </c>
      <c r="T66" s="234">
        <v>358.81920000000002</v>
      </c>
      <c r="U66" s="234">
        <v>1752.779</v>
      </c>
      <c r="V66" s="234">
        <v>2218.0250000000001</v>
      </c>
      <c r="W66" s="234">
        <v>554.51319999999998</v>
      </c>
      <c r="X66" s="234">
        <v>1205.6410000000001</v>
      </c>
      <c r="Y66" s="234">
        <v>1236.7429999999999</v>
      </c>
      <c r="Z66" s="234">
        <v>338.56420000000003</v>
      </c>
      <c r="AA66" s="234">
        <v>1465.8920000000001</v>
      </c>
      <c r="AB66" s="234">
        <v>197.62010000000001</v>
      </c>
      <c r="AC66" s="234">
        <v>871.06650000000002</v>
      </c>
      <c r="AD66" s="234">
        <v>335.97039999999998</v>
      </c>
      <c r="AE66" s="234">
        <v>397.44920000000002</v>
      </c>
      <c r="AF66" s="234">
        <v>36084.18</v>
      </c>
      <c r="AG66" s="234">
        <v>9831.0640000000003</v>
      </c>
      <c r="AH66" s="234">
        <v>58186.77</v>
      </c>
      <c r="AI66" s="234">
        <v>30391.34</v>
      </c>
      <c r="AJ66" s="234">
        <v>16616.29</v>
      </c>
      <c r="AK66" s="234">
        <v>31116.66</v>
      </c>
      <c r="AL66" s="234">
        <v>173164.3</v>
      </c>
      <c r="AM66" s="234">
        <v>20101.25</v>
      </c>
      <c r="AN66" s="234">
        <v>15270.82</v>
      </c>
      <c r="AO66" s="234">
        <v>55181.07</v>
      </c>
      <c r="AP66" s="234">
        <v>59796.43</v>
      </c>
      <c r="AQ66" s="234">
        <v>13625.4</v>
      </c>
      <c r="AR66" s="234">
        <v>22239.99</v>
      </c>
      <c r="AS66" s="234">
        <v>267273.8</v>
      </c>
      <c r="AT66" s="234">
        <v>255810.9</v>
      </c>
      <c r="AU66" s="234">
        <v>319161.40000000002</v>
      </c>
      <c r="AV66" s="234">
        <v>74111.72</v>
      </c>
      <c r="AW66" s="234">
        <v>79600.649999999994</v>
      </c>
      <c r="AX66" s="234">
        <v>8994.14</v>
      </c>
      <c r="AY66" s="234">
        <v>2218.0250000000001</v>
      </c>
      <c r="AZ66" s="234">
        <v>366967.5</v>
      </c>
      <c r="BA66" s="234">
        <v>18405.93</v>
      </c>
      <c r="BB66" s="234">
        <v>49526</v>
      </c>
      <c r="BC66" s="234">
        <v>48662</v>
      </c>
      <c r="BD66" s="234">
        <v>10385</v>
      </c>
      <c r="BE66" s="234" t="s">
        <v>34</v>
      </c>
      <c r="BF66" s="234">
        <v>0.75</v>
      </c>
      <c r="BG66" s="234">
        <v>2</v>
      </c>
      <c r="BH66" s="234">
        <v>-500000</v>
      </c>
      <c r="BI66" s="234">
        <v>0</v>
      </c>
      <c r="BJ66" s="234">
        <v>1</v>
      </c>
      <c r="BK66" s="234">
        <v>0</v>
      </c>
      <c r="BL66" s="234">
        <v>0</v>
      </c>
      <c r="BM66" s="234">
        <v>0</v>
      </c>
      <c r="BN66" s="234">
        <f>IF(ECON_OUTPUT!BE66="Other",1,0)</f>
        <v>0</v>
      </c>
    </row>
    <row r="67" spans="1:66" x14ac:dyDescent="0.25">
      <c r="A67" s="234">
        <v>66</v>
      </c>
      <c r="B67" s="234" t="s">
        <v>1767</v>
      </c>
      <c r="C67" s="234" t="s">
        <v>743</v>
      </c>
      <c r="D67" s="234" t="s">
        <v>744</v>
      </c>
      <c r="E67" s="235">
        <v>42626</v>
      </c>
      <c r="F67" s="234" t="s">
        <v>1753</v>
      </c>
      <c r="G67" s="234">
        <v>73640000</v>
      </c>
      <c r="H67" s="234">
        <v>68462700</v>
      </c>
      <c r="I67" s="234">
        <v>-7.030554E-2</v>
      </c>
      <c r="J67" s="234" t="s">
        <v>464</v>
      </c>
      <c r="K67" s="234">
        <v>2</v>
      </c>
      <c r="L67" s="234" t="s">
        <v>93</v>
      </c>
      <c r="M67" s="234">
        <v>3</v>
      </c>
      <c r="N67" s="234" t="s">
        <v>458</v>
      </c>
      <c r="O67" s="234" t="s">
        <v>1751</v>
      </c>
      <c r="P67" s="234" t="s">
        <v>1755</v>
      </c>
      <c r="Q67" s="234">
        <v>81159000</v>
      </c>
      <c r="R67" s="234">
        <v>263.8254</v>
      </c>
      <c r="S67" s="234">
        <v>279.08240000000001</v>
      </c>
      <c r="T67" s="234">
        <v>358.81920000000002</v>
      </c>
      <c r="U67" s="234">
        <v>1752.779</v>
      </c>
      <c r="V67" s="234">
        <v>2218.0250000000001</v>
      </c>
      <c r="W67" s="234">
        <v>554.51319999999998</v>
      </c>
      <c r="X67" s="234">
        <v>1205.6410000000001</v>
      </c>
      <c r="Y67" s="234">
        <v>1236.7429999999999</v>
      </c>
      <c r="Z67" s="234">
        <v>338.56420000000003</v>
      </c>
      <c r="AA67" s="234">
        <v>1465.8920000000001</v>
      </c>
      <c r="AB67" s="234">
        <v>197.62010000000001</v>
      </c>
      <c r="AC67" s="234">
        <v>871.06650000000002</v>
      </c>
      <c r="AD67" s="234">
        <v>335.97039999999998</v>
      </c>
      <c r="AE67" s="234">
        <v>397.44920000000002</v>
      </c>
      <c r="AF67" s="234">
        <v>36084.18</v>
      </c>
      <c r="AG67" s="234">
        <v>9831.0640000000003</v>
      </c>
      <c r="AH67" s="234">
        <v>58186.77</v>
      </c>
      <c r="AI67" s="234">
        <v>30391.34</v>
      </c>
      <c r="AJ67" s="234">
        <v>16616.29</v>
      </c>
      <c r="AK67" s="234">
        <v>31116.66</v>
      </c>
      <c r="AL67" s="234">
        <v>173164.3</v>
      </c>
      <c r="AM67" s="234">
        <v>20101.25</v>
      </c>
      <c r="AN67" s="234">
        <v>15270.82</v>
      </c>
      <c r="AO67" s="234">
        <v>55181.07</v>
      </c>
      <c r="AP67" s="234">
        <v>59796.43</v>
      </c>
      <c r="AQ67" s="234">
        <v>13625.4</v>
      </c>
      <c r="AR67" s="234">
        <v>22239.99</v>
      </c>
      <c r="AS67" s="234">
        <v>267273.8</v>
      </c>
      <c r="AT67" s="234">
        <v>255810.9</v>
      </c>
      <c r="AU67" s="234">
        <v>319161.40000000002</v>
      </c>
      <c r="AV67" s="234">
        <v>74111.72</v>
      </c>
      <c r="AW67" s="234">
        <v>79600.649999999994</v>
      </c>
      <c r="AX67" s="234">
        <v>8994.14</v>
      </c>
      <c r="AY67" s="234">
        <v>2218.0250000000001</v>
      </c>
      <c r="AZ67" s="234">
        <v>366967.5</v>
      </c>
      <c r="BA67" s="234">
        <v>18405.93</v>
      </c>
      <c r="BB67" s="234">
        <v>49526</v>
      </c>
      <c r="BC67" s="234">
        <v>48662</v>
      </c>
      <c r="BD67" s="234">
        <v>10385</v>
      </c>
      <c r="BE67" s="234" t="s">
        <v>1753</v>
      </c>
      <c r="BF67" s="234">
        <v>1.1021048343291699</v>
      </c>
      <c r="BG67" s="234">
        <v>5</v>
      </c>
      <c r="BH67" s="234">
        <v>7519000</v>
      </c>
      <c r="BI67" s="234">
        <v>0</v>
      </c>
      <c r="BJ67" s="234">
        <v>0</v>
      </c>
      <c r="BK67" s="234">
        <v>0</v>
      </c>
      <c r="BL67" s="234">
        <v>0</v>
      </c>
      <c r="BM67" s="234">
        <v>1</v>
      </c>
      <c r="BN67" s="234">
        <f>IF(ECON_OUTPUT!BE67="Other",1,0)</f>
        <v>1</v>
      </c>
    </row>
    <row r="68" spans="1:66" x14ac:dyDescent="0.25">
      <c r="A68" s="234">
        <v>67</v>
      </c>
      <c r="B68" s="234" t="s">
        <v>1766</v>
      </c>
      <c r="C68" s="234" t="s">
        <v>746</v>
      </c>
      <c r="D68" s="234" t="s">
        <v>747</v>
      </c>
      <c r="E68" s="235">
        <v>42648</v>
      </c>
      <c r="F68" s="234" t="s">
        <v>34</v>
      </c>
      <c r="G68" s="234">
        <v>3120000</v>
      </c>
      <c r="H68" s="234">
        <v>2147100</v>
      </c>
      <c r="I68" s="234">
        <v>-0.31182692299999998</v>
      </c>
      <c r="J68" s="234" t="s">
        <v>464</v>
      </c>
      <c r="K68" s="234">
        <v>7</v>
      </c>
      <c r="L68" s="234" t="s">
        <v>25</v>
      </c>
      <c r="M68" s="234">
        <v>4</v>
      </c>
      <c r="N68" s="234" t="s">
        <v>492</v>
      </c>
      <c r="O68" s="234" t="s">
        <v>1751</v>
      </c>
      <c r="P68" s="234" t="s">
        <v>1754</v>
      </c>
      <c r="Q68" s="234">
        <v>2381070</v>
      </c>
      <c r="R68" s="234">
        <v>265.79840000000002</v>
      </c>
      <c r="S68" s="234">
        <v>279.01679999999999</v>
      </c>
      <c r="T68" s="234">
        <v>360.8947</v>
      </c>
      <c r="U68" s="234">
        <v>1765.675</v>
      </c>
      <c r="V68" s="234">
        <v>2226.5390000000002</v>
      </c>
      <c r="W68" s="234">
        <v>553.49789999999996</v>
      </c>
      <c r="X68" s="234">
        <v>1203.0260000000001</v>
      </c>
      <c r="Y68" s="234">
        <v>1240.999</v>
      </c>
      <c r="Z68" s="234">
        <v>337.97089999999997</v>
      </c>
      <c r="AA68" s="234">
        <v>1474.8820000000001</v>
      </c>
      <c r="AB68" s="234">
        <v>198.15870000000001</v>
      </c>
      <c r="AC68" s="234">
        <v>872.98069999999996</v>
      </c>
      <c r="AD68" s="234">
        <v>339.67680000000001</v>
      </c>
      <c r="AE68" s="234">
        <v>397.67270000000002</v>
      </c>
      <c r="AF68" s="234">
        <v>37295.56</v>
      </c>
      <c r="AG68" s="234">
        <v>9854.4040000000005</v>
      </c>
      <c r="AH68" s="234">
        <v>55734.5</v>
      </c>
      <c r="AI68" s="234">
        <v>30369.05</v>
      </c>
      <c r="AJ68" s="234">
        <v>16745.62</v>
      </c>
      <c r="AK68" s="234">
        <v>31642.15</v>
      </c>
      <c r="AL68" s="234">
        <v>171648.2</v>
      </c>
      <c r="AM68" s="234">
        <v>20200.71</v>
      </c>
      <c r="AN68" s="234">
        <v>15081.91</v>
      </c>
      <c r="AO68" s="234">
        <v>55674.46</v>
      </c>
      <c r="AP68" s="234">
        <v>60239.26</v>
      </c>
      <c r="AQ68" s="234">
        <v>13901.16</v>
      </c>
      <c r="AR68" s="234">
        <v>21835.49</v>
      </c>
      <c r="AS68" s="234">
        <v>270915.59999999998</v>
      </c>
      <c r="AT68" s="234">
        <v>258054.2</v>
      </c>
      <c r="AU68" s="234">
        <v>322936.2</v>
      </c>
      <c r="AV68" s="234">
        <v>75054.13</v>
      </c>
      <c r="AW68" s="234">
        <v>80310.509999999995</v>
      </c>
      <c r="AX68" s="234">
        <v>9024.4509999999991</v>
      </c>
      <c r="AY68" s="234">
        <v>2226.5390000000002</v>
      </c>
      <c r="AZ68" s="234">
        <v>367004.1</v>
      </c>
      <c r="BA68" s="234">
        <v>18403.330000000002</v>
      </c>
      <c r="BB68" s="234">
        <v>43552</v>
      </c>
      <c r="BC68" s="234">
        <v>49526</v>
      </c>
      <c r="BD68" s="234">
        <v>10442</v>
      </c>
      <c r="BE68" s="234" t="s">
        <v>34</v>
      </c>
      <c r="BF68" s="234">
        <v>0.76316346153846104</v>
      </c>
      <c r="BG68" s="234">
        <v>2</v>
      </c>
      <c r="BH68" s="234">
        <v>-738930</v>
      </c>
      <c r="BI68" s="234">
        <v>0</v>
      </c>
      <c r="BJ68" s="234">
        <v>1</v>
      </c>
      <c r="BK68" s="234">
        <v>0</v>
      </c>
      <c r="BL68" s="234">
        <v>0</v>
      </c>
      <c r="BM68" s="234">
        <v>0</v>
      </c>
      <c r="BN68" s="234">
        <f>IF(ECON_OUTPUT!BE68="Other",1,0)</f>
        <v>0</v>
      </c>
    </row>
    <row r="69" spans="1:66" x14ac:dyDescent="0.25">
      <c r="A69" s="234">
        <v>68</v>
      </c>
      <c r="B69" s="234" t="s">
        <v>1766</v>
      </c>
      <c r="C69" s="234" t="s">
        <v>758</v>
      </c>
      <c r="D69" s="234" t="s">
        <v>759</v>
      </c>
      <c r="E69" s="235">
        <v>42667</v>
      </c>
      <c r="F69" s="234" t="s">
        <v>34</v>
      </c>
      <c r="G69" s="234">
        <v>2400000</v>
      </c>
      <c r="H69" s="234">
        <v>3617000</v>
      </c>
      <c r="I69" s="234">
        <v>0.50708333299999997</v>
      </c>
      <c r="J69" s="234" t="s">
        <v>465</v>
      </c>
      <c r="K69" s="234">
        <v>2</v>
      </c>
      <c r="L69" s="234" t="s">
        <v>93</v>
      </c>
      <c r="M69" s="234">
        <v>4</v>
      </c>
      <c r="N69" s="234" t="s">
        <v>459</v>
      </c>
      <c r="O69" s="234" t="s">
        <v>1751</v>
      </c>
      <c r="P69" s="234" t="s">
        <v>1754</v>
      </c>
      <c r="Q69" s="234">
        <v>4944123</v>
      </c>
      <c r="R69" s="234">
        <v>265.79840000000002</v>
      </c>
      <c r="S69" s="234">
        <v>279.01679999999999</v>
      </c>
      <c r="T69" s="234">
        <v>360.8947</v>
      </c>
      <c r="U69" s="234">
        <v>1765.675</v>
      </c>
      <c r="V69" s="234">
        <v>2226.5390000000002</v>
      </c>
      <c r="W69" s="234">
        <v>553.49789999999996</v>
      </c>
      <c r="X69" s="234">
        <v>1203.0260000000001</v>
      </c>
      <c r="Y69" s="234">
        <v>1240.999</v>
      </c>
      <c r="Z69" s="234">
        <v>337.97089999999997</v>
      </c>
      <c r="AA69" s="234">
        <v>1474.8820000000001</v>
      </c>
      <c r="AB69" s="234">
        <v>198.15870000000001</v>
      </c>
      <c r="AC69" s="234">
        <v>872.98069999999996</v>
      </c>
      <c r="AD69" s="234">
        <v>339.67680000000001</v>
      </c>
      <c r="AE69" s="234">
        <v>397.67270000000002</v>
      </c>
      <c r="AF69" s="234">
        <v>37295.56</v>
      </c>
      <c r="AG69" s="234">
        <v>9854.4040000000005</v>
      </c>
      <c r="AH69" s="234">
        <v>55734.5</v>
      </c>
      <c r="AI69" s="234">
        <v>30369.05</v>
      </c>
      <c r="AJ69" s="234">
        <v>16745.62</v>
      </c>
      <c r="AK69" s="234">
        <v>31642.15</v>
      </c>
      <c r="AL69" s="234">
        <v>171648.2</v>
      </c>
      <c r="AM69" s="234">
        <v>20200.71</v>
      </c>
      <c r="AN69" s="234">
        <v>15081.91</v>
      </c>
      <c r="AO69" s="234">
        <v>55674.46</v>
      </c>
      <c r="AP69" s="234">
        <v>60239.26</v>
      </c>
      <c r="AQ69" s="234">
        <v>13901.16</v>
      </c>
      <c r="AR69" s="234">
        <v>21835.49</v>
      </c>
      <c r="AS69" s="234">
        <v>270915.59999999998</v>
      </c>
      <c r="AT69" s="234">
        <v>258054.2</v>
      </c>
      <c r="AU69" s="234">
        <v>322936.2</v>
      </c>
      <c r="AV69" s="234">
        <v>75054.13</v>
      </c>
      <c r="AW69" s="234">
        <v>80310.509999999995</v>
      </c>
      <c r="AX69" s="234">
        <v>9024.4509999999991</v>
      </c>
      <c r="AY69" s="234">
        <v>2226.5390000000002</v>
      </c>
      <c r="AZ69" s="234">
        <v>367004.1</v>
      </c>
      <c r="BA69" s="234">
        <v>18403.330000000002</v>
      </c>
      <c r="BB69" s="234">
        <v>43552</v>
      </c>
      <c r="BC69" s="234">
        <v>49526</v>
      </c>
      <c r="BD69" s="234">
        <v>10442</v>
      </c>
      <c r="BE69" s="234" t="s">
        <v>34</v>
      </c>
      <c r="BF69" s="234">
        <v>2.0600512499999999</v>
      </c>
      <c r="BG69" s="234">
        <v>4</v>
      </c>
      <c r="BH69" s="234">
        <v>2544123</v>
      </c>
      <c r="BI69" s="234">
        <v>0</v>
      </c>
      <c r="BJ69" s="234">
        <v>0</v>
      </c>
      <c r="BK69" s="234">
        <v>0</v>
      </c>
      <c r="BL69" s="234">
        <v>1</v>
      </c>
      <c r="BM69" s="234">
        <v>0</v>
      </c>
      <c r="BN69" s="234">
        <f>IF(ECON_OUTPUT!BE69="Other",1,0)</f>
        <v>0</v>
      </c>
    </row>
    <row r="70" spans="1:66" x14ac:dyDescent="0.25">
      <c r="A70" s="234">
        <v>69</v>
      </c>
      <c r="B70" s="234" t="s">
        <v>1766</v>
      </c>
      <c r="C70" s="234" t="s">
        <v>767</v>
      </c>
      <c r="D70" s="234" t="s">
        <v>768</v>
      </c>
      <c r="E70" s="235">
        <v>42668</v>
      </c>
      <c r="F70" s="234" t="s">
        <v>34</v>
      </c>
      <c r="G70" s="234">
        <v>67636000</v>
      </c>
      <c r="H70" s="234">
        <v>49942700</v>
      </c>
      <c r="I70" s="234">
        <v>-0.26159589599999999</v>
      </c>
      <c r="J70" s="234" t="s">
        <v>465</v>
      </c>
      <c r="K70" s="234">
        <v>7</v>
      </c>
      <c r="L70" s="234" t="s">
        <v>25</v>
      </c>
      <c r="M70" s="234">
        <v>4</v>
      </c>
      <c r="N70" s="234" t="s">
        <v>457</v>
      </c>
      <c r="O70" s="234" t="s">
        <v>1751</v>
      </c>
      <c r="P70" s="234" t="s">
        <v>1750</v>
      </c>
      <c r="Q70" s="234">
        <v>51303284</v>
      </c>
      <c r="R70" s="234">
        <v>265.79840000000002</v>
      </c>
      <c r="S70" s="234">
        <v>279.01679999999999</v>
      </c>
      <c r="T70" s="234">
        <v>360.8947</v>
      </c>
      <c r="U70" s="234">
        <v>1765.675</v>
      </c>
      <c r="V70" s="234">
        <v>2226.5390000000002</v>
      </c>
      <c r="W70" s="234">
        <v>553.49789999999996</v>
      </c>
      <c r="X70" s="234">
        <v>1203.0260000000001</v>
      </c>
      <c r="Y70" s="234">
        <v>1240.999</v>
      </c>
      <c r="Z70" s="234">
        <v>337.97089999999997</v>
      </c>
      <c r="AA70" s="234">
        <v>1474.8820000000001</v>
      </c>
      <c r="AB70" s="234">
        <v>198.15870000000001</v>
      </c>
      <c r="AC70" s="234">
        <v>872.98069999999996</v>
      </c>
      <c r="AD70" s="234">
        <v>339.67680000000001</v>
      </c>
      <c r="AE70" s="234">
        <v>397.67270000000002</v>
      </c>
      <c r="AF70" s="234">
        <v>37295.56</v>
      </c>
      <c r="AG70" s="234">
        <v>9854.4040000000005</v>
      </c>
      <c r="AH70" s="234">
        <v>55734.5</v>
      </c>
      <c r="AI70" s="234">
        <v>30369.05</v>
      </c>
      <c r="AJ70" s="234">
        <v>16745.62</v>
      </c>
      <c r="AK70" s="234">
        <v>31642.15</v>
      </c>
      <c r="AL70" s="234">
        <v>171648.2</v>
      </c>
      <c r="AM70" s="234">
        <v>20200.71</v>
      </c>
      <c r="AN70" s="234">
        <v>15081.91</v>
      </c>
      <c r="AO70" s="234">
        <v>55674.46</v>
      </c>
      <c r="AP70" s="234">
        <v>60239.26</v>
      </c>
      <c r="AQ70" s="234">
        <v>13901.16</v>
      </c>
      <c r="AR70" s="234">
        <v>21835.49</v>
      </c>
      <c r="AS70" s="234">
        <v>270915.59999999998</v>
      </c>
      <c r="AT70" s="234">
        <v>258054.2</v>
      </c>
      <c r="AU70" s="234">
        <v>322936.2</v>
      </c>
      <c r="AV70" s="234">
        <v>75054.13</v>
      </c>
      <c r="AW70" s="234">
        <v>80310.509999999995</v>
      </c>
      <c r="AX70" s="234">
        <v>9024.4509999999991</v>
      </c>
      <c r="AY70" s="234">
        <v>2226.5390000000002</v>
      </c>
      <c r="AZ70" s="234">
        <v>367004.1</v>
      </c>
      <c r="BA70" s="234">
        <v>18403.330000000002</v>
      </c>
      <c r="BB70" s="234">
        <v>43552</v>
      </c>
      <c r="BC70" s="234">
        <v>49526</v>
      </c>
      <c r="BD70" s="234">
        <v>10442</v>
      </c>
      <c r="BE70" s="234" t="s">
        <v>34</v>
      </c>
      <c r="BF70" s="234">
        <v>0.75852037376545001</v>
      </c>
      <c r="BG70" s="234">
        <v>5</v>
      </c>
      <c r="BH70" s="234">
        <v>-16332716</v>
      </c>
      <c r="BI70" s="234">
        <v>0</v>
      </c>
      <c r="BJ70" s="234">
        <v>0</v>
      </c>
      <c r="BK70" s="234">
        <v>0</v>
      </c>
      <c r="BL70" s="234">
        <v>0</v>
      </c>
      <c r="BM70" s="234">
        <v>1</v>
      </c>
      <c r="BN70" s="234">
        <f>IF(ECON_OUTPUT!BE70="Other",1,0)</f>
        <v>0</v>
      </c>
    </row>
    <row r="71" spans="1:66" x14ac:dyDescent="0.25">
      <c r="A71" s="234">
        <v>70</v>
      </c>
      <c r="B71" s="234" t="s">
        <v>1766</v>
      </c>
      <c r="C71" s="234" t="s">
        <v>760</v>
      </c>
      <c r="D71" s="234" t="s">
        <v>761</v>
      </c>
      <c r="E71" s="235">
        <v>42670</v>
      </c>
      <c r="F71" s="234" t="s">
        <v>34</v>
      </c>
      <c r="G71" s="234">
        <v>2150000</v>
      </c>
      <c r="H71" s="234">
        <v>1654320</v>
      </c>
      <c r="I71" s="234">
        <v>-0.23054883700000001</v>
      </c>
      <c r="J71" s="234" t="s">
        <v>465</v>
      </c>
      <c r="K71" s="234">
        <v>1</v>
      </c>
      <c r="L71" s="234" t="s">
        <v>226</v>
      </c>
      <c r="M71" s="234">
        <v>4</v>
      </c>
      <c r="N71" s="234" t="s">
        <v>457</v>
      </c>
      <c r="O71" s="234" t="s">
        <v>1751</v>
      </c>
      <c r="P71" s="234" t="s">
        <v>1750</v>
      </c>
      <c r="Q71" s="234">
        <v>1654320</v>
      </c>
      <c r="R71" s="234">
        <v>265.79840000000002</v>
      </c>
      <c r="S71" s="234">
        <v>279.01679999999999</v>
      </c>
      <c r="T71" s="234">
        <v>360.8947</v>
      </c>
      <c r="U71" s="234">
        <v>1765.675</v>
      </c>
      <c r="V71" s="234">
        <v>2226.5390000000002</v>
      </c>
      <c r="W71" s="234">
        <v>553.49789999999996</v>
      </c>
      <c r="X71" s="234">
        <v>1203.0260000000001</v>
      </c>
      <c r="Y71" s="234">
        <v>1240.999</v>
      </c>
      <c r="Z71" s="234">
        <v>337.97089999999997</v>
      </c>
      <c r="AA71" s="234">
        <v>1474.8820000000001</v>
      </c>
      <c r="AB71" s="234">
        <v>198.15870000000001</v>
      </c>
      <c r="AC71" s="234">
        <v>872.98069999999996</v>
      </c>
      <c r="AD71" s="234">
        <v>339.67680000000001</v>
      </c>
      <c r="AE71" s="234">
        <v>397.67270000000002</v>
      </c>
      <c r="AF71" s="234">
        <v>37295.56</v>
      </c>
      <c r="AG71" s="234">
        <v>9854.4040000000005</v>
      </c>
      <c r="AH71" s="234">
        <v>55734.5</v>
      </c>
      <c r="AI71" s="234">
        <v>30369.05</v>
      </c>
      <c r="AJ71" s="234">
        <v>16745.62</v>
      </c>
      <c r="AK71" s="234">
        <v>31642.15</v>
      </c>
      <c r="AL71" s="234">
        <v>171648.2</v>
      </c>
      <c r="AM71" s="234">
        <v>20200.71</v>
      </c>
      <c r="AN71" s="234">
        <v>15081.91</v>
      </c>
      <c r="AO71" s="234">
        <v>55674.46</v>
      </c>
      <c r="AP71" s="234">
        <v>60239.26</v>
      </c>
      <c r="AQ71" s="234">
        <v>13901.16</v>
      </c>
      <c r="AR71" s="234">
        <v>21835.49</v>
      </c>
      <c r="AS71" s="234">
        <v>270915.59999999998</v>
      </c>
      <c r="AT71" s="234">
        <v>258054.2</v>
      </c>
      <c r="AU71" s="234">
        <v>322936.2</v>
      </c>
      <c r="AV71" s="234">
        <v>75054.13</v>
      </c>
      <c r="AW71" s="234">
        <v>80310.509999999995</v>
      </c>
      <c r="AX71" s="234">
        <v>9024.4509999999991</v>
      </c>
      <c r="AY71" s="234">
        <v>2226.5390000000002</v>
      </c>
      <c r="AZ71" s="234">
        <v>367004.1</v>
      </c>
      <c r="BA71" s="234">
        <v>18403.330000000002</v>
      </c>
      <c r="BB71" s="234">
        <v>43552</v>
      </c>
      <c r="BC71" s="234">
        <v>49526</v>
      </c>
      <c r="BD71" s="234">
        <v>10442</v>
      </c>
      <c r="BE71" s="234" t="s">
        <v>34</v>
      </c>
      <c r="BF71" s="234">
        <v>0.76945116279069803</v>
      </c>
      <c r="BG71" s="234">
        <v>2</v>
      </c>
      <c r="BH71" s="234">
        <v>-495680</v>
      </c>
      <c r="BI71" s="234">
        <v>0</v>
      </c>
      <c r="BJ71" s="234">
        <v>1</v>
      </c>
      <c r="BK71" s="234">
        <v>0</v>
      </c>
      <c r="BL71" s="234">
        <v>0</v>
      </c>
      <c r="BM71" s="234">
        <v>0</v>
      </c>
      <c r="BN71" s="234">
        <f>IF(ECON_OUTPUT!BE71="Other",1,0)</f>
        <v>0</v>
      </c>
    </row>
    <row r="72" spans="1:66" x14ac:dyDescent="0.25">
      <c r="A72" s="234">
        <v>71</v>
      </c>
      <c r="B72" s="234" t="s">
        <v>1766</v>
      </c>
      <c r="C72" s="234" t="s">
        <v>763</v>
      </c>
      <c r="D72" s="234" t="s">
        <v>764</v>
      </c>
      <c r="E72" s="235">
        <v>42677</v>
      </c>
      <c r="F72" s="234" t="s">
        <v>177</v>
      </c>
      <c r="G72" s="234">
        <v>480000</v>
      </c>
      <c r="H72" s="234">
        <v>770000</v>
      </c>
      <c r="I72" s="234">
        <v>0.60416666699999999</v>
      </c>
      <c r="J72" s="234" t="s">
        <v>465</v>
      </c>
      <c r="K72" s="234">
        <v>4</v>
      </c>
      <c r="L72" s="234" t="s">
        <v>226</v>
      </c>
      <c r="M72" s="234">
        <v>4</v>
      </c>
      <c r="N72" s="234" t="s">
        <v>457</v>
      </c>
      <c r="O72" s="234" t="s">
        <v>1751</v>
      </c>
      <c r="P72" s="234" t="s">
        <v>1750</v>
      </c>
      <c r="Q72" s="234">
        <v>1072000</v>
      </c>
      <c r="R72" s="234">
        <v>265.79840000000002</v>
      </c>
      <c r="S72" s="234">
        <v>279.01679999999999</v>
      </c>
      <c r="T72" s="234">
        <v>360.8947</v>
      </c>
      <c r="U72" s="234">
        <v>1765.675</v>
      </c>
      <c r="V72" s="234">
        <v>2226.5390000000002</v>
      </c>
      <c r="W72" s="234">
        <v>553.49789999999996</v>
      </c>
      <c r="X72" s="234">
        <v>1203.0260000000001</v>
      </c>
      <c r="Y72" s="234">
        <v>1240.999</v>
      </c>
      <c r="Z72" s="234">
        <v>337.97089999999997</v>
      </c>
      <c r="AA72" s="234">
        <v>1474.8820000000001</v>
      </c>
      <c r="AB72" s="234">
        <v>198.15870000000001</v>
      </c>
      <c r="AC72" s="234">
        <v>872.98069999999996</v>
      </c>
      <c r="AD72" s="234">
        <v>339.67680000000001</v>
      </c>
      <c r="AE72" s="234">
        <v>397.67270000000002</v>
      </c>
      <c r="AF72" s="234">
        <v>37295.56</v>
      </c>
      <c r="AG72" s="234">
        <v>9854.4040000000005</v>
      </c>
      <c r="AH72" s="234">
        <v>55734.5</v>
      </c>
      <c r="AI72" s="234">
        <v>30369.05</v>
      </c>
      <c r="AJ72" s="234">
        <v>16745.62</v>
      </c>
      <c r="AK72" s="234">
        <v>31642.15</v>
      </c>
      <c r="AL72" s="234">
        <v>171648.2</v>
      </c>
      <c r="AM72" s="234">
        <v>20200.71</v>
      </c>
      <c r="AN72" s="234">
        <v>15081.91</v>
      </c>
      <c r="AO72" s="234">
        <v>55674.46</v>
      </c>
      <c r="AP72" s="234">
        <v>60239.26</v>
      </c>
      <c r="AQ72" s="234">
        <v>13901.16</v>
      </c>
      <c r="AR72" s="234">
        <v>21835.49</v>
      </c>
      <c r="AS72" s="234">
        <v>270915.59999999998</v>
      </c>
      <c r="AT72" s="234">
        <v>258054.2</v>
      </c>
      <c r="AU72" s="234">
        <v>322936.2</v>
      </c>
      <c r="AV72" s="234">
        <v>75054.13</v>
      </c>
      <c r="AW72" s="234">
        <v>80310.509999999995</v>
      </c>
      <c r="AX72" s="234">
        <v>9024.4509999999991</v>
      </c>
      <c r="AY72" s="234">
        <v>2226.5390000000002</v>
      </c>
      <c r="AZ72" s="234">
        <v>367004.1</v>
      </c>
      <c r="BA72" s="234">
        <v>18403.330000000002</v>
      </c>
      <c r="BB72" s="234">
        <v>43552</v>
      </c>
      <c r="BC72" s="234">
        <v>49526</v>
      </c>
      <c r="BD72" s="234">
        <v>10442</v>
      </c>
      <c r="BE72" s="234" t="s">
        <v>1753</v>
      </c>
      <c r="BF72" s="234">
        <v>2.2333333333333298</v>
      </c>
      <c r="BG72" s="234">
        <v>1</v>
      </c>
      <c r="BH72" s="234">
        <v>592000</v>
      </c>
      <c r="BI72" s="234">
        <v>1</v>
      </c>
      <c r="BJ72" s="234">
        <v>0</v>
      </c>
      <c r="BK72" s="234">
        <v>0</v>
      </c>
      <c r="BL72" s="234">
        <v>0</v>
      </c>
      <c r="BM72" s="234">
        <v>0</v>
      </c>
      <c r="BN72" s="234">
        <f>IF(ECON_OUTPUT!BE72="Other",1,0)</f>
        <v>1</v>
      </c>
    </row>
    <row r="73" spans="1:66" x14ac:dyDescent="0.25">
      <c r="A73" s="234">
        <v>72</v>
      </c>
      <c r="B73" s="234" t="s">
        <v>1766</v>
      </c>
      <c r="C73" s="234" t="s">
        <v>770</v>
      </c>
      <c r="D73" s="234" t="s">
        <v>771</v>
      </c>
      <c r="E73" s="235">
        <v>42681</v>
      </c>
      <c r="F73" s="234" t="s">
        <v>1753</v>
      </c>
      <c r="G73" s="234">
        <v>850000</v>
      </c>
      <c r="H73" s="234">
        <v>651800</v>
      </c>
      <c r="I73" s="234">
        <v>-0.233176471</v>
      </c>
      <c r="J73" s="234" t="s">
        <v>464</v>
      </c>
      <c r="K73" s="234">
        <v>9</v>
      </c>
      <c r="L73" s="234" t="s">
        <v>25</v>
      </c>
      <c r="M73" s="234">
        <v>4</v>
      </c>
      <c r="N73" s="234" t="s">
        <v>457</v>
      </c>
      <c r="O73" s="234" t="s">
        <v>1751</v>
      </c>
      <c r="P73" s="234" t="s">
        <v>1755</v>
      </c>
      <c r="Q73" s="234">
        <v>698371</v>
      </c>
      <c r="R73" s="234">
        <v>265.79840000000002</v>
      </c>
      <c r="S73" s="234">
        <v>279.01679999999999</v>
      </c>
      <c r="T73" s="234">
        <v>360.8947</v>
      </c>
      <c r="U73" s="234">
        <v>1765.675</v>
      </c>
      <c r="V73" s="234">
        <v>2226.5390000000002</v>
      </c>
      <c r="W73" s="234">
        <v>553.49789999999996</v>
      </c>
      <c r="X73" s="234">
        <v>1203.0260000000001</v>
      </c>
      <c r="Y73" s="234">
        <v>1240.999</v>
      </c>
      <c r="Z73" s="234">
        <v>337.97089999999997</v>
      </c>
      <c r="AA73" s="234">
        <v>1474.8820000000001</v>
      </c>
      <c r="AB73" s="234">
        <v>198.15870000000001</v>
      </c>
      <c r="AC73" s="234">
        <v>872.98069999999996</v>
      </c>
      <c r="AD73" s="234">
        <v>339.67680000000001</v>
      </c>
      <c r="AE73" s="234">
        <v>397.67270000000002</v>
      </c>
      <c r="AF73" s="234">
        <v>37295.56</v>
      </c>
      <c r="AG73" s="234">
        <v>9854.4040000000005</v>
      </c>
      <c r="AH73" s="234">
        <v>55734.5</v>
      </c>
      <c r="AI73" s="234">
        <v>30369.05</v>
      </c>
      <c r="AJ73" s="234">
        <v>16745.62</v>
      </c>
      <c r="AK73" s="234">
        <v>31642.15</v>
      </c>
      <c r="AL73" s="234">
        <v>171648.2</v>
      </c>
      <c r="AM73" s="234">
        <v>20200.71</v>
      </c>
      <c r="AN73" s="234">
        <v>15081.91</v>
      </c>
      <c r="AO73" s="234">
        <v>55674.46</v>
      </c>
      <c r="AP73" s="234">
        <v>60239.26</v>
      </c>
      <c r="AQ73" s="234">
        <v>13901.16</v>
      </c>
      <c r="AR73" s="234">
        <v>21835.49</v>
      </c>
      <c r="AS73" s="234">
        <v>270915.59999999998</v>
      </c>
      <c r="AT73" s="234">
        <v>258054.2</v>
      </c>
      <c r="AU73" s="234">
        <v>322936.2</v>
      </c>
      <c r="AV73" s="234">
        <v>75054.13</v>
      </c>
      <c r="AW73" s="234">
        <v>80310.509999999995</v>
      </c>
      <c r="AX73" s="234">
        <v>9024.4509999999991</v>
      </c>
      <c r="AY73" s="234">
        <v>2226.5390000000002</v>
      </c>
      <c r="AZ73" s="234">
        <v>367004.1</v>
      </c>
      <c r="BA73" s="234">
        <v>18403.330000000002</v>
      </c>
      <c r="BB73" s="234">
        <v>43552</v>
      </c>
      <c r="BC73" s="234">
        <v>49526</v>
      </c>
      <c r="BD73" s="234">
        <v>10442</v>
      </c>
      <c r="BE73" s="234" t="s">
        <v>1753</v>
      </c>
      <c r="BF73" s="234">
        <v>0.82161294117647099</v>
      </c>
      <c r="BG73" s="234">
        <v>1</v>
      </c>
      <c r="BH73" s="234">
        <v>-151629</v>
      </c>
      <c r="BI73" s="234">
        <v>1</v>
      </c>
      <c r="BJ73" s="234">
        <v>0</v>
      </c>
      <c r="BK73" s="234">
        <v>0</v>
      </c>
      <c r="BL73" s="234">
        <v>0</v>
      </c>
      <c r="BM73" s="234">
        <v>0</v>
      </c>
      <c r="BN73" s="234">
        <f>IF(ECON_OUTPUT!BE73="Other",1,0)</f>
        <v>1</v>
      </c>
    </row>
    <row r="74" spans="1:66" x14ac:dyDescent="0.25">
      <c r="A74" s="234">
        <v>73</v>
      </c>
      <c r="B74" s="234" t="s">
        <v>1766</v>
      </c>
      <c r="C74" s="234" t="s">
        <v>783</v>
      </c>
      <c r="D74" s="234" t="s">
        <v>785</v>
      </c>
      <c r="E74" s="235">
        <v>42703</v>
      </c>
      <c r="F74" s="234" t="s">
        <v>34</v>
      </c>
      <c r="G74" s="234">
        <v>1763000</v>
      </c>
      <c r="H74" s="234">
        <v>2233850</v>
      </c>
      <c r="I74" s="234">
        <v>0.267073171</v>
      </c>
      <c r="J74" s="234" t="s">
        <v>465</v>
      </c>
      <c r="K74" s="234">
        <v>2</v>
      </c>
      <c r="L74" s="234" t="s">
        <v>93</v>
      </c>
      <c r="M74" s="234">
        <v>4</v>
      </c>
      <c r="N74" s="234" t="s">
        <v>458</v>
      </c>
      <c r="O74" s="234" t="s">
        <v>1751</v>
      </c>
      <c r="P74" s="234" t="s">
        <v>1755</v>
      </c>
      <c r="Q74" s="234">
        <v>2754705</v>
      </c>
      <c r="R74" s="234">
        <v>265.79840000000002</v>
      </c>
      <c r="S74" s="234">
        <v>279.01679999999999</v>
      </c>
      <c r="T74" s="234">
        <v>360.8947</v>
      </c>
      <c r="U74" s="234">
        <v>1765.675</v>
      </c>
      <c r="V74" s="234">
        <v>2226.5390000000002</v>
      </c>
      <c r="W74" s="234">
        <v>553.49789999999996</v>
      </c>
      <c r="X74" s="234">
        <v>1203.0260000000001</v>
      </c>
      <c r="Y74" s="234">
        <v>1240.999</v>
      </c>
      <c r="Z74" s="234">
        <v>337.97089999999997</v>
      </c>
      <c r="AA74" s="234">
        <v>1474.8820000000001</v>
      </c>
      <c r="AB74" s="234">
        <v>198.15870000000001</v>
      </c>
      <c r="AC74" s="234">
        <v>872.98069999999996</v>
      </c>
      <c r="AD74" s="234">
        <v>339.67680000000001</v>
      </c>
      <c r="AE74" s="234">
        <v>397.67270000000002</v>
      </c>
      <c r="AF74" s="234">
        <v>37295.56</v>
      </c>
      <c r="AG74" s="234">
        <v>9854.4040000000005</v>
      </c>
      <c r="AH74" s="234">
        <v>55734.5</v>
      </c>
      <c r="AI74" s="234">
        <v>30369.05</v>
      </c>
      <c r="AJ74" s="234">
        <v>16745.62</v>
      </c>
      <c r="AK74" s="234">
        <v>31642.15</v>
      </c>
      <c r="AL74" s="234">
        <v>171648.2</v>
      </c>
      <c r="AM74" s="234">
        <v>20200.71</v>
      </c>
      <c r="AN74" s="234">
        <v>15081.91</v>
      </c>
      <c r="AO74" s="234">
        <v>55674.46</v>
      </c>
      <c r="AP74" s="234">
        <v>60239.26</v>
      </c>
      <c r="AQ74" s="234">
        <v>13901.16</v>
      </c>
      <c r="AR74" s="234">
        <v>21835.49</v>
      </c>
      <c r="AS74" s="234">
        <v>270915.59999999998</v>
      </c>
      <c r="AT74" s="234">
        <v>258054.2</v>
      </c>
      <c r="AU74" s="234">
        <v>322936.2</v>
      </c>
      <c r="AV74" s="234">
        <v>75054.13</v>
      </c>
      <c r="AW74" s="234">
        <v>80310.509999999995</v>
      </c>
      <c r="AX74" s="234">
        <v>9024.4509999999991</v>
      </c>
      <c r="AY74" s="234">
        <v>2226.5390000000002</v>
      </c>
      <c r="AZ74" s="234">
        <v>367004.1</v>
      </c>
      <c r="BA74" s="234">
        <v>18403.330000000002</v>
      </c>
      <c r="BB74" s="234">
        <v>43552</v>
      </c>
      <c r="BC74" s="234">
        <v>49526</v>
      </c>
      <c r="BD74" s="234">
        <v>10442</v>
      </c>
      <c r="BE74" s="234" t="s">
        <v>34</v>
      </c>
      <c r="BF74" s="234">
        <v>1.5625099262620501</v>
      </c>
      <c r="BG74" s="234">
        <v>3</v>
      </c>
      <c r="BH74" s="234">
        <v>991705</v>
      </c>
      <c r="BI74" s="234">
        <v>0</v>
      </c>
      <c r="BJ74" s="234">
        <v>0</v>
      </c>
      <c r="BK74" s="234">
        <v>1</v>
      </c>
      <c r="BL74" s="234">
        <v>0</v>
      </c>
      <c r="BM74" s="234">
        <v>0</v>
      </c>
      <c r="BN74" s="234">
        <f>IF(ECON_OUTPUT!BE74="Other",1,0)</f>
        <v>0</v>
      </c>
    </row>
    <row r="75" spans="1:66" x14ac:dyDescent="0.25">
      <c r="A75" s="234">
        <v>74</v>
      </c>
      <c r="B75" s="234" t="s">
        <v>1766</v>
      </c>
      <c r="C75" s="234" t="s">
        <v>796</v>
      </c>
      <c r="D75" s="234" t="s">
        <v>797</v>
      </c>
      <c r="E75" s="235">
        <v>42712</v>
      </c>
      <c r="F75" s="234" t="s">
        <v>34</v>
      </c>
      <c r="G75" s="234">
        <v>2170000</v>
      </c>
      <c r="H75" s="234">
        <v>1903225</v>
      </c>
      <c r="I75" s="234">
        <v>-0.12293778800000001</v>
      </c>
      <c r="J75" s="234" t="s">
        <v>464</v>
      </c>
      <c r="K75" s="234">
        <v>5</v>
      </c>
      <c r="L75" s="234" t="s">
        <v>93</v>
      </c>
      <c r="M75" s="234">
        <v>4</v>
      </c>
      <c r="N75" s="234" t="s">
        <v>458</v>
      </c>
      <c r="O75" s="234" t="s">
        <v>1751</v>
      </c>
      <c r="P75" s="234" t="s">
        <v>1750</v>
      </c>
      <c r="Q75" s="234">
        <v>2179670</v>
      </c>
      <c r="R75" s="234">
        <v>265.79840000000002</v>
      </c>
      <c r="S75" s="234">
        <v>279.01679999999999</v>
      </c>
      <c r="T75" s="234">
        <v>360.8947</v>
      </c>
      <c r="U75" s="234">
        <v>1765.675</v>
      </c>
      <c r="V75" s="234">
        <v>2226.5390000000002</v>
      </c>
      <c r="W75" s="234">
        <v>553.49789999999996</v>
      </c>
      <c r="X75" s="234">
        <v>1203.0260000000001</v>
      </c>
      <c r="Y75" s="234">
        <v>1240.999</v>
      </c>
      <c r="Z75" s="234">
        <v>337.97089999999997</v>
      </c>
      <c r="AA75" s="234">
        <v>1474.8820000000001</v>
      </c>
      <c r="AB75" s="234">
        <v>198.15870000000001</v>
      </c>
      <c r="AC75" s="234">
        <v>872.98069999999996</v>
      </c>
      <c r="AD75" s="234">
        <v>339.67680000000001</v>
      </c>
      <c r="AE75" s="234">
        <v>397.67270000000002</v>
      </c>
      <c r="AF75" s="234">
        <v>37295.56</v>
      </c>
      <c r="AG75" s="234">
        <v>9854.4040000000005</v>
      </c>
      <c r="AH75" s="234">
        <v>55734.5</v>
      </c>
      <c r="AI75" s="234">
        <v>30369.05</v>
      </c>
      <c r="AJ75" s="234">
        <v>16745.62</v>
      </c>
      <c r="AK75" s="234">
        <v>31642.15</v>
      </c>
      <c r="AL75" s="234">
        <v>171648.2</v>
      </c>
      <c r="AM75" s="234">
        <v>20200.71</v>
      </c>
      <c r="AN75" s="234">
        <v>15081.91</v>
      </c>
      <c r="AO75" s="234">
        <v>55674.46</v>
      </c>
      <c r="AP75" s="234">
        <v>60239.26</v>
      </c>
      <c r="AQ75" s="234">
        <v>13901.16</v>
      </c>
      <c r="AR75" s="234">
        <v>21835.49</v>
      </c>
      <c r="AS75" s="234">
        <v>270915.59999999998</v>
      </c>
      <c r="AT75" s="234">
        <v>258054.2</v>
      </c>
      <c r="AU75" s="234">
        <v>322936.2</v>
      </c>
      <c r="AV75" s="234">
        <v>75054.13</v>
      </c>
      <c r="AW75" s="234">
        <v>80310.509999999995</v>
      </c>
      <c r="AX75" s="234">
        <v>9024.4509999999991</v>
      </c>
      <c r="AY75" s="234">
        <v>2226.5390000000002</v>
      </c>
      <c r="AZ75" s="234">
        <v>367004.1</v>
      </c>
      <c r="BA75" s="234">
        <v>18403.330000000002</v>
      </c>
      <c r="BB75" s="234">
        <v>43552</v>
      </c>
      <c r="BC75" s="234">
        <v>49526</v>
      </c>
      <c r="BD75" s="234">
        <v>10442</v>
      </c>
      <c r="BE75" s="234" t="s">
        <v>34</v>
      </c>
      <c r="BF75" s="234">
        <v>1.00445622119816</v>
      </c>
      <c r="BG75" s="234">
        <v>2</v>
      </c>
      <c r="BH75" s="234">
        <v>9670</v>
      </c>
      <c r="BI75" s="234">
        <v>0</v>
      </c>
      <c r="BJ75" s="234">
        <v>1</v>
      </c>
      <c r="BK75" s="234">
        <v>0</v>
      </c>
      <c r="BL75" s="234">
        <v>0</v>
      </c>
      <c r="BM75" s="234">
        <v>0</v>
      </c>
      <c r="BN75" s="234">
        <f>IF(ECON_OUTPUT!BE75="Other",1,0)</f>
        <v>0</v>
      </c>
    </row>
    <row r="76" spans="1:66" x14ac:dyDescent="0.25">
      <c r="A76" s="234">
        <v>75</v>
      </c>
      <c r="B76" s="234" t="s">
        <v>1766</v>
      </c>
      <c r="C76" s="234" t="s">
        <v>809</v>
      </c>
      <c r="D76" s="234" t="s">
        <v>810</v>
      </c>
      <c r="E76" s="235">
        <v>42718</v>
      </c>
      <c r="F76" s="234" t="s">
        <v>34</v>
      </c>
      <c r="G76" s="234">
        <v>61900000</v>
      </c>
      <c r="H76" s="234">
        <v>47681062</v>
      </c>
      <c r="I76" s="234">
        <v>-0.229708207</v>
      </c>
      <c r="J76" s="234" t="s">
        <v>464</v>
      </c>
      <c r="K76" s="234">
        <v>7</v>
      </c>
      <c r="L76" s="234" t="s">
        <v>25</v>
      </c>
      <c r="M76" s="234">
        <v>4</v>
      </c>
      <c r="N76" s="234" t="s">
        <v>492</v>
      </c>
      <c r="O76" s="234" t="s">
        <v>1751</v>
      </c>
      <c r="P76" s="234" t="s">
        <v>1750</v>
      </c>
      <c r="Q76" s="234">
        <v>52950000</v>
      </c>
      <c r="R76" s="234">
        <v>265.79840000000002</v>
      </c>
      <c r="S76" s="234">
        <v>279.01679999999999</v>
      </c>
      <c r="T76" s="234">
        <v>360.8947</v>
      </c>
      <c r="U76" s="234">
        <v>1765.675</v>
      </c>
      <c r="V76" s="234">
        <v>2226.5390000000002</v>
      </c>
      <c r="W76" s="234">
        <v>553.49789999999996</v>
      </c>
      <c r="X76" s="234">
        <v>1203.0260000000001</v>
      </c>
      <c r="Y76" s="234">
        <v>1240.999</v>
      </c>
      <c r="Z76" s="234">
        <v>337.97089999999997</v>
      </c>
      <c r="AA76" s="234">
        <v>1474.8820000000001</v>
      </c>
      <c r="AB76" s="234">
        <v>198.15870000000001</v>
      </c>
      <c r="AC76" s="234">
        <v>872.98069999999996</v>
      </c>
      <c r="AD76" s="234">
        <v>339.67680000000001</v>
      </c>
      <c r="AE76" s="234">
        <v>397.67270000000002</v>
      </c>
      <c r="AF76" s="234">
        <v>37295.56</v>
      </c>
      <c r="AG76" s="234">
        <v>9854.4040000000005</v>
      </c>
      <c r="AH76" s="234">
        <v>55734.5</v>
      </c>
      <c r="AI76" s="234">
        <v>30369.05</v>
      </c>
      <c r="AJ76" s="234">
        <v>16745.62</v>
      </c>
      <c r="AK76" s="234">
        <v>31642.15</v>
      </c>
      <c r="AL76" s="234">
        <v>171648.2</v>
      </c>
      <c r="AM76" s="234">
        <v>20200.71</v>
      </c>
      <c r="AN76" s="234">
        <v>15081.91</v>
      </c>
      <c r="AO76" s="234">
        <v>55674.46</v>
      </c>
      <c r="AP76" s="234">
        <v>60239.26</v>
      </c>
      <c r="AQ76" s="234">
        <v>13901.16</v>
      </c>
      <c r="AR76" s="234">
        <v>21835.49</v>
      </c>
      <c r="AS76" s="234">
        <v>270915.59999999998</v>
      </c>
      <c r="AT76" s="234">
        <v>258054.2</v>
      </c>
      <c r="AU76" s="234">
        <v>322936.2</v>
      </c>
      <c r="AV76" s="234">
        <v>75054.13</v>
      </c>
      <c r="AW76" s="234">
        <v>80310.509999999995</v>
      </c>
      <c r="AX76" s="234">
        <v>9024.4509999999991</v>
      </c>
      <c r="AY76" s="234">
        <v>2226.5390000000002</v>
      </c>
      <c r="AZ76" s="234">
        <v>367004.1</v>
      </c>
      <c r="BA76" s="234">
        <v>18403.330000000002</v>
      </c>
      <c r="BB76" s="234">
        <v>43552</v>
      </c>
      <c r="BC76" s="234">
        <v>49526</v>
      </c>
      <c r="BD76" s="234">
        <v>10442</v>
      </c>
      <c r="BE76" s="234" t="s">
        <v>34</v>
      </c>
      <c r="BF76" s="234">
        <v>0.85541195476575105</v>
      </c>
      <c r="BG76" s="234">
        <v>5</v>
      </c>
      <c r="BH76" s="234">
        <v>-8950000</v>
      </c>
      <c r="BI76" s="234">
        <v>0</v>
      </c>
      <c r="BJ76" s="234">
        <v>0</v>
      </c>
      <c r="BK76" s="234">
        <v>0</v>
      </c>
      <c r="BL76" s="234">
        <v>0</v>
      </c>
      <c r="BM76" s="234">
        <v>1</v>
      </c>
      <c r="BN76" s="234">
        <f>IF(ECON_OUTPUT!BE76="Other",1,0)</f>
        <v>0</v>
      </c>
    </row>
    <row r="77" spans="1:66" x14ac:dyDescent="0.25">
      <c r="A77" s="234">
        <v>76</v>
      </c>
      <c r="B77" s="234" t="s">
        <v>1766</v>
      </c>
      <c r="C77" s="234" t="s">
        <v>812</v>
      </c>
      <c r="D77" s="234" t="s">
        <v>813</v>
      </c>
      <c r="E77" s="235">
        <v>42719</v>
      </c>
      <c r="F77" s="234" t="s">
        <v>177</v>
      </c>
      <c r="G77" s="234">
        <v>1460000</v>
      </c>
      <c r="H77" s="234">
        <v>1457020</v>
      </c>
      <c r="I77" s="234">
        <v>-2.0410960000000001E-3</v>
      </c>
      <c r="J77" s="234" t="s">
        <v>464</v>
      </c>
      <c r="K77" s="234">
        <v>7</v>
      </c>
      <c r="L77" s="234" t="s">
        <v>25</v>
      </c>
      <c r="M77" s="234">
        <v>4</v>
      </c>
      <c r="N77" s="234" t="s">
        <v>492</v>
      </c>
      <c r="O77" s="234" t="s">
        <v>1751</v>
      </c>
      <c r="P77" s="234" t="s">
        <v>1755</v>
      </c>
      <c r="Q77" s="234">
        <v>1461533</v>
      </c>
      <c r="R77" s="234">
        <v>265.79840000000002</v>
      </c>
      <c r="S77" s="234">
        <v>279.01679999999999</v>
      </c>
      <c r="T77" s="234">
        <v>360.8947</v>
      </c>
      <c r="U77" s="234">
        <v>1765.675</v>
      </c>
      <c r="V77" s="234">
        <v>2226.5390000000002</v>
      </c>
      <c r="W77" s="234">
        <v>553.49789999999996</v>
      </c>
      <c r="X77" s="234">
        <v>1203.0260000000001</v>
      </c>
      <c r="Y77" s="234">
        <v>1240.999</v>
      </c>
      <c r="Z77" s="234">
        <v>337.97089999999997</v>
      </c>
      <c r="AA77" s="234">
        <v>1474.8820000000001</v>
      </c>
      <c r="AB77" s="234">
        <v>198.15870000000001</v>
      </c>
      <c r="AC77" s="234">
        <v>872.98069999999996</v>
      </c>
      <c r="AD77" s="234">
        <v>339.67680000000001</v>
      </c>
      <c r="AE77" s="234">
        <v>397.67270000000002</v>
      </c>
      <c r="AF77" s="234">
        <v>37295.56</v>
      </c>
      <c r="AG77" s="234">
        <v>9854.4040000000005</v>
      </c>
      <c r="AH77" s="234">
        <v>55734.5</v>
      </c>
      <c r="AI77" s="234">
        <v>30369.05</v>
      </c>
      <c r="AJ77" s="234">
        <v>16745.62</v>
      </c>
      <c r="AK77" s="234">
        <v>31642.15</v>
      </c>
      <c r="AL77" s="234">
        <v>171648.2</v>
      </c>
      <c r="AM77" s="234">
        <v>20200.71</v>
      </c>
      <c r="AN77" s="234">
        <v>15081.91</v>
      </c>
      <c r="AO77" s="234">
        <v>55674.46</v>
      </c>
      <c r="AP77" s="234">
        <v>60239.26</v>
      </c>
      <c r="AQ77" s="234">
        <v>13901.16</v>
      </c>
      <c r="AR77" s="234">
        <v>21835.49</v>
      </c>
      <c r="AS77" s="234">
        <v>270915.59999999998</v>
      </c>
      <c r="AT77" s="234">
        <v>258054.2</v>
      </c>
      <c r="AU77" s="234">
        <v>322936.2</v>
      </c>
      <c r="AV77" s="234">
        <v>75054.13</v>
      </c>
      <c r="AW77" s="234">
        <v>80310.509999999995</v>
      </c>
      <c r="AX77" s="234">
        <v>9024.4509999999991</v>
      </c>
      <c r="AY77" s="234">
        <v>2226.5390000000002</v>
      </c>
      <c r="AZ77" s="234">
        <v>367004.1</v>
      </c>
      <c r="BA77" s="234">
        <v>18403.330000000002</v>
      </c>
      <c r="BB77" s="234">
        <v>43552</v>
      </c>
      <c r="BC77" s="234">
        <v>49526</v>
      </c>
      <c r="BD77" s="234">
        <v>10442</v>
      </c>
      <c r="BE77" s="234" t="s">
        <v>1753</v>
      </c>
      <c r="BF77" s="234">
        <v>1.00105</v>
      </c>
      <c r="BG77" s="234">
        <v>2</v>
      </c>
      <c r="BH77" s="234">
        <v>1533</v>
      </c>
      <c r="BI77" s="234">
        <v>0</v>
      </c>
      <c r="BJ77" s="234">
        <v>1</v>
      </c>
      <c r="BK77" s="234">
        <v>0</v>
      </c>
      <c r="BL77" s="234">
        <v>0</v>
      </c>
      <c r="BM77" s="234">
        <v>0</v>
      </c>
      <c r="BN77" s="234">
        <f>IF(ECON_OUTPUT!BE77="Other",1,0)</f>
        <v>1</v>
      </c>
    </row>
    <row r="78" spans="1:66" x14ac:dyDescent="0.25">
      <c r="A78" s="234">
        <v>77</v>
      </c>
      <c r="B78" s="234" t="s">
        <v>1766</v>
      </c>
      <c r="C78" s="234" t="s">
        <v>821</v>
      </c>
      <c r="D78" s="234" t="s">
        <v>822</v>
      </c>
      <c r="E78" s="235">
        <v>42725</v>
      </c>
      <c r="F78" s="234" t="s">
        <v>177</v>
      </c>
      <c r="G78" s="234">
        <v>600000</v>
      </c>
      <c r="H78" s="234">
        <v>421111</v>
      </c>
      <c r="I78" s="234">
        <v>-0.29814833299999999</v>
      </c>
      <c r="J78" s="234" t="s">
        <v>464</v>
      </c>
      <c r="K78" s="234">
        <v>8</v>
      </c>
      <c r="L78" s="234" t="s">
        <v>25</v>
      </c>
      <c r="M78" s="234">
        <v>4</v>
      </c>
      <c r="N78" s="234" t="s">
        <v>458</v>
      </c>
      <c r="O78" s="234" t="s">
        <v>1751</v>
      </c>
      <c r="P78" s="234" t="s">
        <v>1750</v>
      </c>
      <c r="Q78" s="234">
        <v>463700</v>
      </c>
      <c r="R78" s="234">
        <v>265.79840000000002</v>
      </c>
      <c r="S78" s="234">
        <v>279.01679999999999</v>
      </c>
      <c r="T78" s="234">
        <v>360.8947</v>
      </c>
      <c r="U78" s="234">
        <v>1765.675</v>
      </c>
      <c r="V78" s="234">
        <v>2226.5390000000002</v>
      </c>
      <c r="W78" s="234">
        <v>553.49789999999996</v>
      </c>
      <c r="X78" s="234">
        <v>1203.0260000000001</v>
      </c>
      <c r="Y78" s="234">
        <v>1240.999</v>
      </c>
      <c r="Z78" s="234">
        <v>337.97089999999997</v>
      </c>
      <c r="AA78" s="234">
        <v>1474.8820000000001</v>
      </c>
      <c r="AB78" s="234">
        <v>198.15870000000001</v>
      </c>
      <c r="AC78" s="234">
        <v>872.98069999999996</v>
      </c>
      <c r="AD78" s="234">
        <v>339.67680000000001</v>
      </c>
      <c r="AE78" s="234">
        <v>397.67270000000002</v>
      </c>
      <c r="AF78" s="234">
        <v>37295.56</v>
      </c>
      <c r="AG78" s="234">
        <v>9854.4040000000005</v>
      </c>
      <c r="AH78" s="234">
        <v>55734.5</v>
      </c>
      <c r="AI78" s="234">
        <v>30369.05</v>
      </c>
      <c r="AJ78" s="234">
        <v>16745.62</v>
      </c>
      <c r="AK78" s="234">
        <v>31642.15</v>
      </c>
      <c r="AL78" s="234">
        <v>171648.2</v>
      </c>
      <c r="AM78" s="234">
        <v>20200.71</v>
      </c>
      <c r="AN78" s="234">
        <v>15081.91</v>
      </c>
      <c r="AO78" s="234">
        <v>55674.46</v>
      </c>
      <c r="AP78" s="234">
        <v>60239.26</v>
      </c>
      <c r="AQ78" s="234">
        <v>13901.16</v>
      </c>
      <c r="AR78" s="234">
        <v>21835.49</v>
      </c>
      <c r="AS78" s="234">
        <v>270915.59999999998</v>
      </c>
      <c r="AT78" s="234">
        <v>258054.2</v>
      </c>
      <c r="AU78" s="234">
        <v>322936.2</v>
      </c>
      <c r="AV78" s="234">
        <v>75054.13</v>
      </c>
      <c r="AW78" s="234">
        <v>80310.509999999995</v>
      </c>
      <c r="AX78" s="234">
        <v>9024.4509999999991</v>
      </c>
      <c r="AY78" s="234">
        <v>2226.5390000000002</v>
      </c>
      <c r="AZ78" s="234">
        <v>367004.1</v>
      </c>
      <c r="BA78" s="234">
        <v>18403.330000000002</v>
      </c>
      <c r="BB78" s="234">
        <v>43552</v>
      </c>
      <c r="BC78" s="234">
        <v>49526</v>
      </c>
      <c r="BD78" s="234">
        <v>10442</v>
      </c>
      <c r="BE78" s="234" t="s">
        <v>1753</v>
      </c>
      <c r="BF78" s="234">
        <v>0.77283333333333304</v>
      </c>
      <c r="BG78" s="234">
        <v>1</v>
      </c>
      <c r="BH78" s="234">
        <v>-136300</v>
      </c>
      <c r="BI78" s="234">
        <v>1</v>
      </c>
      <c r="BJ78" s="234">
        <v>0</v>
      </c>
      <c r="BK78" s="234">
        <v>0</v>
      </c>
      <c r="BL78" s="234">
        <v>0</v>
      </c>
      <c r="BM78" s="234">
        <v>0</v>
      </c>
      <c r="BN78" s="234">
        <f>IF(ECON_OUTPUT!BE78="Other",1,0)</f>
        <v>1</v>
      </c>
    </row>
    <row r="79" spans="1:66" x14ac:dyDescent="0.25">
      <c r="A79" s="234">
        <v>78</v>
      </c>
      <c r="B79" s="234" t="s">
        <v>1766</v>
      </c>
      <c r="C79" s="234" t="s">
        <v>825</v>
      </c>
      <c r="D79" s="234" t="s">
        <v>826</v>
      </c>
      <c r="E79" s="235">
        <v>42731</v>
      </c>
      <c r="F79" s="234" t="s">
        <v>1753</v>
      </c>
      <c r="G79" s="234">
        <v>18500000</v>
      </c>
      <c r="H79" s="234">
        <v>15978000</v>
      </c>
      <c r="I79" s="234">
        <v>-0.136324324</v>
      </c>
      <c r="J79" s="234" t="s">
        <v>464</v>
      </c>
      <c r="K79" s="234">
        <v>2</v>
      </c>
      <c r="L79" s="234" t="s">
        <v>226</v>
      </c>
      <c r="M79" s="234">
        <v>4</v>
      </c>
      <c r="N79" s="234" t="s">
        <v>459</v>
      </c>
      <c r="O79" s="234" t="s">
        <v>1751</v>
      </c>
      <c r="P79" s="234" t="s">
        <v>1750</v>
      </c>
      <c r="Q79" s="234">
        <v>19475000</v>
      </c>
      <c r="R79" s="234">
        <v>265.79840000000002</v>
      </c>
      <c r="S79" s="234">
        <v>279.01679999999999</v>
      </c>
      <c r="T79" s="234">
        <v>360.8947</v>
      </c>
      <c r="U79" s="234">
        <v>1765.675</v>
      </c>
      <c r="V79" s="234">
        <v>2226.5390000000002</v>
      </c>
      <c r="W79" s="234">
        <v>553.49789999999996</v>
      </c>
      <c r="X79" s="234">
        <v>1203.0260000000001</v>
      </c>
      <c r="Y79" s="234">
        <v>1240.999</v>
      </c>
      <c r="Z79" s="234">
        <v>337.97089999999997</v>
      </c>
      <c r="AA79" s="234">
        <v>1474.8820000000001</v>
      </c>
      <c r="AB79" s="234">
        <v>198.15870000000001</v>
      </c>
      <c r="AC79" s="234">
        <v>872.98069999999996</v>
      </c>
      <c r="AD79" s="234">
        <v>339.67680000000001</v>
      </c>
      <c r="AE79" s="234">
        <v>397.67270000000002</v>
      </c>
      <c r="AF79" s="234">
        <v>37295.56</v>
      </c>
      <c r="AG79" s="234">
        <v>9854.4040000000005</v>
      </c>
      <c r="AH79" s="234">
        <v>55734.5</v>
      </c>
      <c r="AI79" s="234">
        <v>30369.05</v>
      </c>
      <c r="AJ79" s="234">
        <v>16745.62</v>
      </c>
      <c r="AK79" s="234">
        <v>31642.15</v>
      </c>
      <c r="AL79" s="234">
        <v>171648.2</v>
      </c>
      <c r="AM79" s="234">
        <v>20200.71</v>
      </c>
      <c r="AN79" s="234">
        <v>15081.91</v>
      </c>
      <c r="AO79" s="234">
        <v>55674.46</v>
      </c>
      <c r="AP79" s="234">
        <v>60239.26</v>
      </c>
      <c r="AQ79" s="234">
        <v>13901.16</v>
      </c>
      <c r="AR79" s="234">
        <v>21835.49</v>
      </c>
      <c r="AS79" s="234">
        <v>270915.59999999998</v>
      </c>
      <c r="AT79" s="234">
        <v>258054.2</v>
      </c>
      <c r="AU79" s="234">
        <v>322936.2</v>
      </c>
      <c r="AV79" s="234">
        <v>75054.13</v>
      </c>
      <c r="AW79" s="234">
        <v>80310.509999999995</v>
      </c>
      <c r="AX79" s="234">
        <v>9024.4509999999991</v>
      </c>
      <c r="AY79" s="234">
        <v>2226.5390000000002</v>
      </c>
      <c r="AZ79" s="234">
        <v>367004.1</v>
      </c>
      <c r="BA79" s="234">
        <v>18403.330000000002</v>
      </c>
      <c r="BB79" s="234">
        <v>43552</v>
      </c>
      <c r="BC79" s="234">
        <v>49526</v>
      </c>
      <c r="BD79" s="234">
        <v>10442</v>
      </c>
      <c r="BE79" s="234" t="s">
        <v>1753</v>
      </c>
      <c r="BF79" s="234">
        <v>1.0527027027027001</v>
      </c>
      <c r="BG79" s="234">
        <v>5</v>
      </c>
      <c r="BH79" s="234">
        <v>975000</v>
      </c>
      <c r="BI79" s="234">
        <v>0</v>
      </c>
      <c r="BJ79" s="234">
        <v>0</v>
      </c>
      <c r="BK79" s="234">
        <v>0</v>
      </c>
      <c r="BL79" s="234">
        <v>0</v>
      </c>
      <c r="BM79" s="234">
        <v>1</v>
      </c>
      <c r="BN79" s="234">
        <f>IF(ECON_OUTPUT!BE79="Other",1,0)</f>
        <v>1</v>
      </c>
    </row>
    <row r="80" spans="1:66" x14ac:dyDescent="0.25">
      <c r="A80" s="234">
        <v>79</v>
      </c>
      <c r="B80" s="234" t="s">
        <v>1765</v>
      </c>
      <c r="C80" s="234" t="s">
        <v>828</v>
      </c>
      <c r="D80" s="234" t="s">
        <v>829</v>
      </c>
      <c r="E80" s="235">
        <v>42739</v>
      </c>
      <c r="F80" s="234" t="s">
        <v>1753</v>
      </c>
      <c r="G80" s="234">
        <v>28695000</v>
      </c>
      <c r="H80" s="234">
        <v>31768035</v>
      </c>
      <c r="I80" s="234">
        <v>0.107093048</v>
      </c>
      <c r="J80" s="234" t="s">
        <v>464</v>
      </c>
      <c r="K80" s="234">
        <v>2</v>
      </c>
      <c r="L80" s="234" t="s">
        <v>93</v>
      </c>
      <c r="M80" s="234">
        <v>1</v>
      </c>
      <c r="N80" s="234" t="s">
        <v>458</v>
      </c>
      <c r="O80" s="234" t="s">
        <v>1283</v>
      </c>
      <c r="P80" s="234" t="s">
        <v>1755</v>
      </c>
      <c r="Q80" s="234">
        <v>34831050</v>
      </c>
      <c r="R80" s="234">
        <v>267.50560000000002</v>
      </c>
      <c r="S80" s="234">
        <v>279.46210000000002</v>
      </c>
      <c r="T80" s="234">
        <v>367.5061</v>
      </c>
      <c r="U80" s="234">
        <v>1782.308</v>
      </c>
      <c r="V80" s="234">
        <v>2238.7559999999999</v>
      </c>
      <c r="W80" s="234">
        <v>556.57320000000004</v>
      </c>
      <c r="X80" s="234">
        <v>1207.126</v>
      </c>
      <c r="Y80" s="234">
        <v>1252.5070000000001</v>
      </c>
      <c r="Z80" s="234">
        <v>337.25749999999999</v>
      </c>
      <c r="AA80" s="234">
        <v>1482.9680000000001</v>
      </c>
      <c r="AB80" s="234">
        <v>199.21520000000001</v>
      </c>
      <c r="AC80" s="234">
        <v>874.75080000000003</v>
      </c>
      <c r="AD80" s="234">
        <v>344.11290000000002</v>
      </c>
      <c r="AE80" s="234">
        <v>396.875</v>
      </c>
      <c r="AF80" s="234">
        <v>36758.79</v>
      </c>
      <c r="AG80" s="234">
        <v>9896.1560000000009</v>
      </c>
      <c r="AH80" s="234">
        <v>58329.84</v>
      </c>
      <c r="AI80" s="234">
        <v>30537.86</v>
      </c>
      <c r="AJ80" s="234">
        <v>16985.45</v>
      </c>
      <c r="AK80" s="234">
        <v>31732.09</v>
      </c>
      <c r="AL80" s="234">
        <v>176067.20000000001</v>
      </c>
      <c r="AM80" s="234">
        <v>20439.349999999999</v>
      </c>
      <c r="AN80" s="234">
        <v>15735.84</v>
      </c>
      <c r="AO80" s="234">
        <v>56559.79</v>
      </c>
      <c r="AP80" s="234">
        <v>61177.59</v>
      </c>
      <c r="AQ80" s="234">
        <v>13733.43</v>
      </c>
      <c r="AR80" s="234">
        <v>22338.82</v>
      </c>
      <c r="AS80" s="234">
        <v>278386.8</v>
      </c>
      <c r="AT80" s="234">
        <v>263813.8</v>
      </c>
      <c r="AU80" s="234">
        <v>331506.2</v>
      </c>
      <c r="AV80" s="234">
        <v>76793.11</v>
      </c>
      <c r="AW80" s="234">
        <v>81576.25</v>
      </c>
      <c r="AX80" s="234">
        <v>9080.6610000000001</v>
      </c>
      <c r="AY80" s="234">
        <v>2238.7559999999999</v>
      </c>
      <c r="AZ80" s="234">
        <v>372594</v>
      </c>
      <c r="BA80" s="234">
        <v>18400.73</v>
      </c>
      <c r="BB80" s="234">
        <v>43851</v>
      </c>
      <c r="BC80" s="234">
        <v>43552</v>
      </c>
      <c r="BD80" s="234">
        <v>10559</v>
      </c>
      <c r="BE80" s="234" t="s">
        <v>1753</v>
      </c>
      <c r="BF80" s="234">
        <v>1.21383690538421</v>
      </c>
      <c r="BG80" s="234">
        <v>5</v>
      </c>
      <c r="BH80" s="234">
        <v>6136050</v>
      </c>
      <c r="BI80" s="234">
        <v>0</v>
      </c>
      <c r="BJ80" s="234">
        <v>0</v>
      </c>
      <c r="BK80" s="234">
        <v>0</v>
      </c>
      <c r="BL80" s="234">
        <v>0</v>
      </c>
      <c r="BM80" s="234">
        <v>1</v>
      </c>
      <c r="BN80" s="234">
        <f>IF(ECON_OUTPUT!BE80="Other",1,0)</f>
        <v>1</v>
      </c>
    </row>
    <row r="81" spans="1:66" x14ac:dyDescent="0.25">
      <c r="A81" s="234">
        <v>80</v>
      </c>
      <c r="B81" s="234" t="s">
        <v>1765</v>
      </c>
      <c r="C81" s="234" t="s">
        <v>830</v>
      </c>
      <c r="D81" s="234" t="s">
        <v>831</v>
      </c>
      <c r="E81" s="235">
        <v>42746</v>
      </c>
      <c r="F81" s="234" t="s">
        <v>1753</v>
      </c>
      <c r="G81" s="234">
        <v>12071025</v>
      </c>
      <c r="H81" s="234">
        <v>9977777</v>
      </c>
      <c r="I81" s="234">
        <v>-0.173410957</v>
      </c>
      <c r="J81" s="234" t="s">
        <v>465</v>
      </c>
      <c r="K81" s="234">
        <v>3</v>
      </c>
      <c r="L81" s="234" t="s">
        <v>93</v>
      </c>
      <c r="M81" s="234">
        <v>1</v>
      </c>
      <c r="N81" s="234" t="s">
        <v>458</v>
      </c>
      <c r="O81" s="234" t="s">
        <v>1283</v>
      </c>
      <c r="P81" s="234" t="s">
        <v>1755</v>
      </c>
      <c r="Q81" s="234">
        <v>10436923</v>
      </c>
      <c r="R81" s="234">
        <v>267.50560000000002</v>
      </c>
      <c r="S81" s="234">
        <v>279.46210000000002</v>
      </c>
      <c r="T81" s="234">
        <v>367.5061</v>
      </c>
      <c r="U81" s="234">
        <v>1782.308</v>
      </c>
      <c r="V81" s="234">
        <v>2238.7559999999999</v>
      </c>
      <c r="W81" s="234">
        <v>556.57320000000004</v>
      </c>
      <c r="X81" s="234">
        <v>1207.126</v>
      </c>
      <c r="Y81" s="234">
        <v>1252.5070000000001</v>
      </c>
      <c r="Z81" s="234">
        <v>337.25749999999999</v>
      </c>
      <c r="AA81" s="234">
        <v>1482.9680000000001</v>
      </c>
      <c r="AB81" s="234">
        <v>199.21520000000001</v>
      </c>
      <c r="AC81" s="234">
        <v>874.75080000000003</v>
      </c>
      <c r="AD81" s="234">
        <v>344.11290000000002</v>
      </c>
      <c r="AE81" s="234">
        <v>396.875</v>
      </c>
      <c r="AF81" s="234">
        <v>36758.79</v>
      </c>
      <c r="AG81" s="234">
        <v>9896.1560000000009</v>
      </c>
      <c r="AH81" s="234">
        <v>58329.84</v>
      </c>
      <c r="AI81" s="234">
        <v>30537.86</v>
      </c>
      <c r="AJ81" s="234">
        <v>16985.45</v>
      </c>
      <c r="AK81" s="234">
        <v>31732.09</v>
      </c>
      <c r="AL81" s="234">
        <v>176067.20000000001</v>
      </c>
      <c r="AM81" s="234">
        <v>20439.349999999999</v>
      </c>
      <c r="AN81" s="234">
        <v>15735.84</v>
      </c>
      <c r="AO81" s="234">
        <v>56559.79</v>
      </c>
      <c r="AP81" s="234">
        <v>61177.59</v>
      </c>
      <c r="AQ81" s="234">
        <v>13733.43</v>
      </c>
      <c r="AR81" s="234">
        <v>22338.82</v>
      </c>
      <c r="AS81" s="234">
        <v>278386.8</v>
      </c>
      <c r="AT81" s="234">
        <v>263813.8</v>
      </c>
      <c r="AU81" s="234">
        <v>331506.2</v>
      </c>
      <c r="AV81" s="234">
        <v>76793.11</v>
      </c>
      <c r="AW81" s="234">
        <v>81576.25</v>
      </c>
      <c r="AX81" s="234">
        <v>9080.6610000000001</v>
      </c>
      <c r="AY81" s="234">
        <v>2238.7559999999999</v>
      </c>
      <c r="AZ81" s="234">
        <v>372594</v>
      </c>
      <c r="BA81" s="234">
        <v>18400.73</v>
      </c>
      <c r="BB81" s="234">
        <v>43851</v>
      </c>
      <c r="BC81" s="234">
        <v>43552</v>
      </c>
      <c r="BD81" s="234">
        <v>10559</v>
      </c>
      <c r="BE81" s="234" t="s">
        <v>1753</v>
      </c>
      <c r="BF81" s="234">
        <v>0.86462607773573497</v>
      </c>
      <c r="BG81" s="234">
        <v>4</v>
      </c>
      <c r="BH81" s="234">
        <v>-1634102</v>
      </c>
      <c r="BI81" s="234">
        <v>0</v>
      </c>
      <c r="BJ81" s="234">
        <v>0</v>
      </c>
      <c r="BK81" s="234">
        <v>0</v>
      </c>
      <c r="BL81" s="234">
        <v>1</v>
      </c>
      <c r="BM81" s="234">
        <v>0</v>
      </c>
      <c r="BN81" s="234">
        <f>IF(ECON_OUTPUT!BE81="Other",1,0)</f>
        <v>1</v>
      </c>
    </row>
    <row r="82" spans="1:66" x14ac:dyDescent="0.25">
      <c r="A82" s="234">
        <v>81</v>
      </c>
      <c r="B82" s="234" t="s">
        <v>1765</v>
      </c>
      <c r="C82" s="234" t="s">
        <v>832</v>
      </c>
      <c r="D82" s="234" t="s">
        <v>833</v>
      </c>
      <c r="E82" s="235">
        <v>42752</v>
      </c>
      <c r="F82" s="234" t="s">
        <v>34</v>
      </c>
      <c r="G82" s="234">
        <v>4200000</v>
      </c>
      <c r="H82" s="234">
        <v>3987114</v>
      </c>
      <c r="I82" s="234">
        <v>-5.0687142999999997E-2</v>
      </c>
      <c r="J82" s="234" t="s">
        <v>464</v>
      </c>
      <c r="K82" s="234">
        <v>3</v>
      </c>
      <c r="L82" s="234" t="s">
        <v>25</v>
      </c>
      <c r="M82" s="234">
        <v>1</v>
      </c>
      <c r="N82" s="234" t="s">
        <v>492</v>
      </c>
      <c r="O82" s="234" t="s">
        <v>1283</v>
      </c>
      <c r="P82" s="234" t="s">
        <v>1750</v>
      </c>
      <c r="Q82" s="234">
        <v>4217900</v>
      </c>
      <c r="R82" s="234">
        <v>267.50560000000002</v>
      </c>
      <c r="S82" s="234">
        <v>279.46210000000002</v>
      </c>
      <c r="T82" s="234">
        <v>367.5061</v>
      </c>
      <c r="U82" s="234">
        <v>1782.308</v>
      </c>
      <c r="V82" s="234">
        <v>2238.7559999999999</v>
      </c>
      <c r="W82" s="234">
        <v>556.57320000000004</v>
      </c>
      <c r="X82" s="234">
        <v>1207.126</v>
      </c>
      <c r="Y82" s="234">
        <v>1252.5070000000001</v>
      </c>
      <c r="Z82" s="234">
        <v>337.25749999999999</v>
      </c>
      <c r="AA82" s="234">
        <v>1482.9680000000001</v>
      </c>
      <c r="AB82" s="234">
        <v>199.21520000000001</v>
      </c>
      <c r="AC82" s="234">
        <v>874.75080000000003</v>
      </c>
      <c r="AD82" s="234">
        <v>344.11290000000002</v>
      </c>
      <c r="AE82" s="234">
        <v>396.875</v>
      </c>
      <c r="AF82" s="234">
        <v>36758.79</v>
      </c>
      <c r="AG82" s="234">
        <v>9896.1560000000009</v>
      </c>
      <c r="AH82" s="234">
        <v>58329.84</v>
      </c>
      <c r="AI82" s="234">
        <v>30537.86</v>
      </c>
      <c r="AJ82" s="234">
        <v>16985.45</v>
      </c>
      <c r="AK82" s="234">
        <v>31732.09</v>
      </c>
      <c r="AL82" s="234">
        <v>176067.20000000001</v>
      </c>
      <c r="AM82" s="234">
        <v>20439.349999999999</v>
      </c>
      <c r="AN82" s="234">
        <v>15735.84</v>
      </c>
      <c r="AO82" s="234">
        <v>56559.79</v>
      </c>
      <c r="AP82" s="234">
        <v>61177.59</v>
      </c>
      <c r="AQ82" s="234">
        <v>13733.43</v>
      </c>
      <c r="AR82" s="234">
        <v>22338.82</v>
      </c>
      <c r="AS82" s="234">
        <v>278386.8</v>
      </c>
      <c r="AT82" s="234">
        <v>263813.8</v>
      </c>
      <c r="AU82" s="234">
        <v>331506.2</v>
      </c>
      <c r="AV82" s="234">
        <v>76793.11</v>
      </c>
      <c r="AW82" s="234">
        <v>81576.25</v>
      </c>
      <c r="AX82" s="234">
        <v>9080.6610000000001</v>
      </c>
      <c r="AY82" s="234">
        <v>2238.7559999999999</v>
      </c>
      <c r="AZ82" s="234">
        <v>372594</v>
      </c>
      <c r="BA82" s="234">
        <v>18400.73</v>
      </c>
      <c r="BB82" s="234">
        <v>43851</v>
      </c>
      <c r="BC82" s="234">
        <v>43552</v>
      </c>
      <c r="BD82" s="234">
        <v>10559</v>
      </c>
      <c r="BE82" s="234" t="s">
        <v>34</v>
      </c>
      <c r="BF82" s="234">
        <v>1.0042619047618999</v>
      </c>
      <c r="BG82" s="234">
        <v>3</v>
      </c>
      <c r="BH82" s="234">
        <v>17900</v>
      </c>
      <c r="BI82" s="234">
        <v>0</v>
      </c>
      <c r="BJ82" s="234">
        <v>0</v>
      </c>
      <c r="BK82" s="234">
        <v>1</v>
      </c>
      <c r="BL82" s="234">
        <v>0</v>
      </c>
      <c r="BM82" s="234">
        <v>0</v>
      </c>
      <c r="BN82" s="234">
        <f>IF(ECON_OUTPUT!BE82="Other",1,0)</f>
        <v>0</v>
      </c>
    </row>
    <row r="83" spans="1:66" x14ac:dyDescent="0.25">
      <c r="A83" s="234">
        <v>82</v>
      </c>
      <c r="B83" s="234" t="s">
        <v>1765</v>
      </c>
      <c r="C83" s="234" t="s">
        <v>857</v>
      </c>
      <c r="D83" s="234" t="s">
        <v>858</v>
      </c>
      <c r="E83" s="235">
        <v>42753</v>
      </c>
      <c r="F83" s="234" t="s">
        <v>177</v>
      </c>
      <c r="G83" s="234">
        <v>1410000</v>
      </c>
      <c r="H83" s="234">
        <v>1399756</v>
      </c>
      <c r="I83" s="234">
        <v>-7.2652480000000002E-3</v>
      </c>
      <c r="J83" s="234" t="s">
        <v>464</v>
      </c>
      <c r="K83" s="234">
        <v>3</v>
      </c>
      <c r="L83" s="234" t="s">
        <v>25</v>
      </c>
      <c r="M83" s="234">
        <v>1</v>
      </c>
      <c r="N83" s="234" t="s">
        <v>457</v>
      </c>
      <c r="O83" s="234" t="s">
        <v>1284</v>
      </c>
      <c r="P83" s="234" t="s">
        <v>1754</v>
      </c>
      <c r="Q83" s="234">
        <v>2393720</v>
      </c>
      <c r="R83" s="234">
        <v>267.50560000000002</v>
      </c>
      <c r="S83" s="234">
        <v>279.46210000000002</v>
      </c>
      <c r="T83" s="234">
        <v>367.5061</v>
      </c>
      <c r="U83" s="234">
        <v>1782.308</v>
      </c>
      <c r="V83" s="234">
        <v>2238.7559999999999</v>
      </c>
      <c r="W83" s="234">
        <v>556.57320000000004</v>
      </c>
      <c r="X83" s="234">
        <v>1207.126</v>
      </c>
      <c r="Y83" s="234">
        <v>1252.5070000000001</v>
      </c>
      <c r="Z83" s="234">
        <v>337.25749999999999</v>
      </c>
      <c r="AA83" s="234">
        <v>1482.9680000000001</v>
      </c>
      <c r="AB83" s="234">
        <v>199.21520000000001</v>
      </c>
      <c r="AC83" s="234">
        <v>874.75080000000003</v>
      </c>
      <c r="AD83" s="234">
        <v>344.11290000000002</v>
      </c>
      <c r="AE83" s="234">
        <v>396.875</v>
      </c>
      <c r="AF83" s="234">
        <v>36758.79</v>
      </c>
      <c r="AG83" s="234">
        <v>9896.1560000000009</v>
      </c>
      <c r="AH83" s="234">
        <v>58329.84</v>
      </c>
      <c r="AI83" s="234">
        <v>30537.86</v>
      </c>
      <c r="AJ83" s="234">
        <v>16985.45</v>
      </c>
      <c r="AK83" s="234">
        <v>31732.09</v>
      </c>
      <c r="AL83" s="234">
        <v>176067.20000000001</v>
      </c>
      <c r="AM83" s="234">
        <v>20439.349999999999</v>
      </c>
      <c r="AN83" s="234">
        <v>15735.84</v>
      </c>
      <c r="AO83" s="234">
        <v>56559.79</v>
      </c>
      <c r="AP83" s="234">
        <v>61177.59</v>
      </c>
      <c r="AQ83" s="234">
        <v>13733.43</v>
      </c>
      <c r="AR83" s="234">
        <v>22338.82</v>
      </c>
      <c r="AS83" s="234">
        <v>278386.8</v>
      </c>
      <c r="AT83" s="234">
        <v>263813.8</v>
      </c>
      <c r="AU83" s="234">
        <v>331506.2</v>
      </c>
      <c r="AV83" s="234">
        <v>76793.11</v>
      </c>
      <c r="AW83" s="234">
        <v>81576.25</v>
      </c>
      <c r="AX83" s="234">
        <v>9080.6610000000001</v>
      </c>
      <c r="AY83" s="234">
        <v>2238.7559999999999</v>
      </c>
      <c r="AZ83" s="234">
        <v>372594</v>
      </c>
      <c r="BA83" s="234">
        <v>18400.73</v>
      </c>
      <c r="BB83" s="234">
        <v>43851</v>
      </c>
      <c r="BC83" s="234">
        <v>43552</v>
      </c>
      <c r="BD83" s="234">
        <v>10559</v>
      </c>
      <c r="BE83" s="234" t="s">
        <v>1753</v>
      </c>
      <c r="BF83" s="234">
        <v>1.69767375886525</v>
      </c>
      <c r="BG83" s="234">
        <v>2</v>
      </c>
      <c r="BH83" s="234">
        <v>983720</v>
      </c>
      <c r="BI83" s="234">
        <v>0</v>
      </c>
      <c r="BJ83" s="234">
        <v>1</v>
      </c>
      <c r="BK83" s="234">
        <v>0</v>
      </c>
      <c r="BL83" s="234">
        <v>0</v>
      </c>
      <c r="BM83" s="234">
        <v>0</v>
      </c>
      <c r="BN83" s="234">
        <f>IF(ECON_OUTPUT!BE83="Other",1,0)</f>
        <v>1</v>
      </c>
    </row>
    <row r="84" spans="1:66" x14ac:dyDescent="0.25">
      <c r="A84" s="234">
        <v>83</v>
      </c>
      <c r="B84" s="234" t="s">
        <v>1765</v>
      </c>
      <c r="C84" s="234" t="s">
        <v>862</v>
      </c>
      <c r="D84" s="234" t="s">
        <v>863</v>
      </c>
      <c r="E84" s="235">
        <v>42759</v>
      </c>
      <c r="F84" s="234" t="s">
        <v>1753</v>
      </c>
      <c r="G84" s="234">
        <v>69800000</v>
      </c>
      <c r="H84" s="234">
        <v>67107000</v>
      </c>
      <c r="I84" s="234">
        <v>-3.8581662000000003E-2</v>
      </c>
      <c r="J84" s="234" t="s">
        <v>464</v>
      </c>
      <c r="K84" s="234">
        <v>9</v>
      </c>
      <c r="L84" s="234" t="s">
        <v>25</v>
      </c>
      <c r="M84" s="234">
        <v>1</v>
      </c>
      <c r="N84" s="234" t="s">
        <v>458</v>
      </c>
      <c r="O84" s="234" t="s">
        <v>1283</v>
      </c>
      <c r="P84" s="234" t="s">
        <v>1750</v>
      </c>
      <c r="Q84" s="234">
        <v>67536474</v>
      </c>
      <c r="R84" s="234">
        <v>267.50560000000002</v>
      </c>
      <c r="S84" s="234">
        <v>279.46210000000002</v>
      </c>
      <c r="T84" s="234">
        <v>367.5061</v>
      </c>
      <c r="U84" s="234">
        <v>1782.308</v>
      </c>
      <c r="V84" s="234">
        <v>2238.7559999999999</v>
      </c>
      <c r="W84" s="234">
        <v>556.57320000000004</v>
      </c>
      <c r="X84" s="234">
        <v>1207.126</v>
      </c>
      <c r="Y84" s="234">
        <v>1252.5070000000001</v>
      </c>
      <c r="Z84" s="234">
        <v>337.25749999999999</v>
      </c>
      <c r="AA84" s="234">
        <v>1482.9680000000001</v>
      </c>
      <c r="AB84" s="234">
        <v>199.21520000000001</v>
      </c>
      <c r="AC84" s="234">
        <v>874.75080000000003</v>
      </c>
      <c r="AD84" s="234">
        <v>344.11290000000002</v>
      </c>
      <c r="AE84" s="234">
        <v>396.875</v>
      </c>
      <c r="AF84" s="234">
        <v>36758.79</v>
      </c>
      <c r="AG84" s="234">
        <v>9896.1560000000009</v>
      </c>
      <c r="AH84" s="234">
        <v>58329.84</v>
      </c>
      <c r="AI84" s="234">
        <v>30537.86</v>
      </c>
      <c r="AJ84" s="234">
        <v>16985.45</v>
      </c>
      <c r="AK84" s="234">
        <v>31732.09</v>
      </c>
      <c r="AL84" s="234">
        <v>176067.20000000001</v>
      </c>
      <c r="AM84" s="234">
        <v>20439.349999999999</v>
      </c>
      <c r="AN84" s="234">
        <v>15735.84</v>
      </c>
      <c r="AO84" s="234">
        <v>56559.79</v>
      </c>
      <c r="AP84" s="234">
        <v>61177.59</v>
      </c>
      <c r="AQ84" s="234">
        <v>13733.43</v>
      </c>
      <c r="AR84" s="234">
        <v>22338.82</v>
      </c>
      <c r="AS84" s="234">
        <v>278386.8</v>
      </c>
      <c r="AT84" s="234">
        <v>263813.8</v>
      </c>
      <c r="AU84" s="234">
        <v>331506.2</v>
      </c>
      <c r="AV84" s="234">
        <v>76793.11</v>
      </c>
      <c r="AW84" s="234">
        <v>81576.25</v>
      </c>
      <c r="AX84" s="234">
        <v>9080.6610000000001</v>
      </c>
      <c r="AY84" s="234">
        <v>2238.7559999999999</v>
      </c>
      <c r="AZ84" s="234">
        <v>372594</v>
      </c>
      <c r="BA84" s="234">
        <v>18400.73</v>
      </c>
      <c r="BB84" s="234">
        <v>43851</v>
      </c>
      <c r="BC84" s="234">
        <v>43552</v>
      </c>
      <c r="BD84" s="234">
        <v>10559</v>
      </c>
      <c r="BE84" s="234" t="s">
        <v>1753</v>
      </c>
      <c r="BF84" s="234">
        <v>0.96757126074498601</v>
      </c>
      <c r="BG84" s="234">
        <v>5</v>
      </c>
      <c r="BH84" s="234">
        <v>-2263526</v>
      </c>
      <c r="BI84" s="234">
        <v>0</v>
      </c>
      <c r="BJ84" s="234">
        <v>0</v>
      </c>
      <c r="BK84" s="234">
        <v>0</v>
      </c>
      <c r="BL84" s="234">
        <v>0</v>
      </c>
      <c r="BM84" s="234">
        <v>1</v>
      </c>
      <c r="BN84" s="234">
        <f>IF(ECON_OUTPUT!BE84="Other",1,0)</f>
        <v>1</v>
      </c>
    </row>
    <row r="85" spans="1:66" x14ac:dyDescent="0.25">
      <c r="A85" s="234">
        <v>84</v>
      </c>
      <c r="B85" s="234" t="s">
        <v>1765</v>
      </c>
      <c r="C85" s="234" t="s">
        <v>868</v>
      </c>
      <c r="D85" s="234" t="s">
        <v>869</v>
      </c>
      <c r="E85" s="235">
        <v>42761</v>
      </c>
      <c r="F85" s="234" t="s">
        <v>34</v>
      </c>
      <c r="G85" s="234">
        <v>5100000</v>
      </c>
      <c r="H85" s="234">
        <v>4640176</v>
      </c>
      <c r="I85" s="234">
        <v>-9.0161568999999997E-2</v>
      </c>
      <c r="J85" s="234" t="s">
        <v>464</v>
      </c>
      <c r="K85" s="234">
        <v>7</v>
      </c>
      <c r="L85" s="234" t="s">
        <v>93</v>
      </c>
      <c r="M85" s="234">
        <v>1</v>
      </c>
      <c r="N85" s="234" t="s">
        <v>458</v>
      </c>
      <c r="O85" s="234" t="s">
        <v>1286</v>
      </c>
      <c r="P85" s="234" t="s">
        <v>1750</v>
      </c>
      <c r="Q85" s="234">
        <v>4702400</v>
      </c>
      <c r="R85" s="234">
        <v>267.50560000000002</v>
      </c>
      <c r="S85" s="234">
        <v>279.46210000000002</v>
      </c>
      <c r="T85" s="234">
        <v>367.5061</v>
      </c>
      <c r="U85" s="234">
        <v>1782.308</v>
      </c>
      <c r="V85" s="234">
        <v>2238.7559999999999</v>
      </c>
      <c r="W85" s="234">
        <v>556.57320000000004</v>
      </c>
      <c r="X85" s="234">
        <v>1207.126</v>
      </c>
      <c r="Y85" s="234">
        <v>1252.5070000000001</v>
      </c>
      <c r="Z85" s="234">
        <v>337.25749999999999</v>
      </c>
      <c r="AA85" s="234">
        <v>1482.9680000000001</v>
      </c>
      <c r="AB85" s="234">
        <v>199.21520000000001</v>
      </c>
      <c r="AC85" s="234">
        <v>874.75080000000003</v>
      </c>
      <c r="AD85" s="234">
        <v>344.11290000000002</v>
      </c>
      <c r="AE85" s="234">
        <v>396.875</v>
      </c>
      <c r="AF85" s="234">
        <v>36758.79</v>
      </c>
      <c r="AG85" s="234">
        <v>9896.1560000000009</v>
      </c>
      <c r="AH85" s="234">
        <v>58329.84</v>
      </c>
      <c r="AI85" s="234">
        <v>30537.86</v>
      </c>
      <c r="AJ85" s="234">
        <v>16985.45</v>
      </c>
      <c r="AK85" s="234">
        <v>31732.09</v>
      </c>
      <c r="AL85" s="234">
        <v>176067.20000000001</v>
      </c>
      <c r="AM85" s="234">
        <v>20439.349999999999</v>
      </c>
      <c r="AN85" s="234">
        <v>15735.84</v>
      </c>
      <c r="AO85" s="234">
        <v>56559.79</v>
      </c>
      <c r="AP85" s="234">
        <v>61177.59</v>
      </c>
      <c r="AQ85" s="234">
        <v>13733.43</v>
      </c>
      <c r="AR85" s="234">
        <v>22338.82</v>
      </c>
      <c r="AS85" s="234">
        <v>278386.8</v>
      </c>
      <c r="AT85" s="234">
        <v>263813.8</v>
      </c>
      <c r="AU85" s="234">
        <v>331506.2</v>
      </c>
      <c r="AV85" s="234">
        <v>76793.11</v>
      </c>
      <c r="AW85" s="234">
        <v>81576.25</v>
      </c>
      <c r="AX85" s="234">
        <v>9080.6610000000001</v>
      </c>
      <c r="AY85" s="234">
        <v>2238.7559999999999</v>
      </c>
      <c r="AZ85" s="234">
        <v>372594</v>
      </c>
      <c r="BA85" s="234">
        <v>18400.73</v>
      </c>
      <c r="BB85" s="234">
        <v>43851</v>
      </c>
      <c r="BC85" s="234">
        <v>43552</v>
      </c>
      <c r="BD85" s="234">
        <v>10559</v>
      </c>
      <c r="BE85" s="234" t="s">
        <v>34</v>
      </c>
      <c r="BF85" s="234">
        <v>0.922039215686275</v>
      </c>
      <c r="BG85" s="234">
        <v>4</v>
      </c>
      <c r="BH85" s="234">
        <v>-397600</v>
      </c>
      <c r="BI85" s="234">
        <v>0</v>
      </c>
      <c r="BJ85" s="234">
        <v>0</v>
      </c>
      <c r="BK85" s="234">
        <v>0</v>
      </c>
      <c r="BL85" s="234">
        <v>1</v>
      </c>
      <c r="BM85" s="234">
        <v>0</v>
      </c>
      <c r="BN85" s="234">
        <f>IF(ECON_OUTPUT!BE85="Other",1,0)</f>
        <v>0</v>
      </c>
    </row>
    <row r="86" spans="1:66" x14ac:dyDescent="0.25">
      <c r="A86" s="234">
        <v>85</v>
      </c>
      <c r="B86" s="234" t="s">
        <v>1765</v>
      </c>
      <c r="C86" s="234" t="s">
        <v>876</v>
      </c>
      <c r="D86" s="234" t="s">
        <v>877</v>
      </c>
      <c r="E86" s="235">
        <v>42765</v>
      </c>
      <c r="F86" s="234" t="s">
        <v>1753</v>
      </c>
      <c r="G86" s="234">
        <v>6500000</v>
      </c>
      <c r="H86" s="234">
        <v>5987000</v>
      </c>
      <c r="I86" s="234">
        <v>-7.8923076999999994E-2</v>
      </c>
      <c r="J86" s="234" t="s">
        <v>464</v>
      </c>
      <c r="K86" s="234">
        <v>5</v>
      </c>
      <c r="L86" s="234" t="s">
        <v>93</v>
      </c>
      <c r="M86" s="234">
        <v>1</v>
      </c>
      <c r="N86" s="234" t="s">
        <v>458</v>
      </c>
      <c r="O86" s="234" t="s">
        <v>1283</v>
      </c>
      <c r="P86" s="234" t="s">
        <v>1750</v>
      </c>
      <c r="Q86" s="234">
        <v>6682950</v>
      </c>
      <c r="R86" s="234">
        <v>267.50560000000002</v>
      </c>
      <c r="S86" s="234">
        <v>279.46210000000002</v>
      </c>
      <c r="T86" s="234">
        <v>367.5061</v>
      </c>
      <c r="U86" s="234">
        <v>1782.308</v>
      </c>
      <c r="V86" s="234">
        <v>2238.7559999999999</v>
      </c>
      <c r="W86" s="234">
        <v>556.57320000000004</v>
      </c>
      <c r="X86" s="234">
        <v>1207.126</v>
      </c>
      <c r="Y86" s="234">
        <v>1252.5070000000001</v>
      </c>
      <c r="Z86" s="234">
        <v>337.25749999999999</v>
      </c>
      <c r="AA86" s="234">
        <v>1482.9680000000001</v>
      </c>
      <c r="AB86" s="234">
        <v>199.21520000000001</v>
      </c>
      <c r="AC86" s="234">
        <v>874.75080000000003</v>
      </c>
      <c r="AD86" s="234">
        <v>344.11290000000002</v>
      </c>
      <c r="AE86" s="234">
        <v>396.875</v>
      </c>
      <c r="AF86" s="234">
        <v>36758.79</v>
      </c>
      <c r="AG86" s="234">
        <v>9896.1560000000009</v>
      </c>
      <c r="AH86" s="234">
        <v>58329.84</v>
      </c>
      <c r="AI86" s="234">
        <v>30537.86</v>
      </c>
      <c r="AJ86" s="234">
        <v>16985.45</v>
      </c>
      <c r="AK86" s="234">
        <v>31732.09</v>
      </c>
      <c r="AL86" s="234">
        <v>176067.20000000001</v>
      </c>
      <c r="AM86" s="234">
        <v>20439.349999999999</v>
      </c>
      <c r="AN86" s="234">
        <v>15735.84</v>
      </c>
      <c r="AO86" s="234">
        <v>56559.79</v>
      </c>
      <c r="AP86" s="234">
        <v>61177.59</v>
      </c>
      <c r="AQ86" s="234">
        <v>13733.43</v>
      </c>
      <c r="AR86" s="234">
        <v>22338.82</v>
      </c>
      <c r="AS86" s="234">
        <v>278386.8</v>
      </c>
      <c r="AT86" s="234">
        <v>263813.8</v>
      </c>
      <c r="AU86" s="234">
        <v>331506.2</v>
      </c>
      <c r="AV86" s="234">
        <v>76793.11</v>
      </c>
      <c r="AW86" s="234">
        <v>81576.25</v>
      </c>
      <c r="AX86" s="234">
        <v>9080.6610000000001</v>
      </c>
      <c r="AY86" s="234">
        <v>2238.7559999999999</v>
      </c>
      <c r="AZ86" s="234">
        <v>372594</v>
      </c>
      <c r="BA86" s="234">
        <v>18400.73</v>
      </c>
      <c r="BB86" s="234">
        <v>43851</v>
      </c>
      <c r="BC86" s="234">
        <v>43552</v>
      </c>
      <c r="BD86" s="234">
        <v>10559</v>
      </c>
      <c r="BE86" s="234" t="s">
        <v>1753</v>
      </c>
      <c r="BF86" s="234">
        <v>1.02814615384615</v>
      </c>
      <c r="BG86" s="234">
        <v>4</v>
      </c>
      <c r="BH86" s="234">
        <v>182950</v>
      </c>
      <c r="BI86" s="234">
        <v>0</v>
      </c>
      <c r="BJ86" s="234">
        <v>0</v>
      </c>
      <c r="BK86" s="234">
        <v>0</v>
      </c>
      <c r="BL86" s="234">
        <v>1</v>
      </c>
      <c r="BM86" s="234">
        <v>0</v>
      </c>
      <c r="BN86" s="234">
        <f>IF(ECON_OUTPUT!BE86="Other",1,0)</f>
        <v>1</v>
      </c>
    </row>
    <row r="87" spans="1:66" x14ac:dyDescent="0.25">
      <c r="A87" s="234">
        <v>86</v>
      </c>
      <c r="B87" s="234" t="s">
        <v>1765</v>
      </c>
      <c r="C87" s="234" t="s">
        <v>880</v>
      </c>
      <c r="D87" s="234" t="s">
        <v>881</v>
      </c>
      <c r="E87" s="235">
        <v>42768</v>
      </c>
      <c r="F87" s="234" t="s">
        <v>34</v>
      </c>
      <c r="G87" s="234">
        <v>4800000</v>
      </c>
      <c r="H87" s="234">
        <v>3901193</v>
      </c>
      <c r="I87" s="234">
        <v>-0.18725145800000001</v>
      </c>
      <c r="J87" s="234" t="s">
        <v>464</v>
      </c>
      <c r="K87" s="234">
        <v>14</v>
      </c>
      <c r="L87" s="234" t="s">
        <v>93</v>
      </c>
      <c r="M87" s="234">
        <v>1</v>
      </c>
      <c r="N87" s="234" t="s">
        <v>458</v>
      </c>
      <c r="O87" s="234" t="s">
        <v>1284</v>
      </c>
      <c r="P87" s="234" t="s">
        <v>1754</v>
      </c>
      <c r="Q87" s="234">
        <v>3980000</v>
      </c>
      <c r="R87" s="234">
        <v>267.50560000000002</v>
      </c>
      <c r="S87" s="234">
        <v>279.46210000000002</v>
      </c>
      <c r="T87" s="234">
        <v>367.5061</v>
      </c>
      <c r="U87" s="234">
        <v>1782.308</v>
      </c>
      <c r="V87" s="234">
        <v>2238.7559999999999</v>
      </c>
      <c r="W87" s="234">
        <v>556.57320000000004</v>
      </c>
      <c r="X87" s="234">
        <v>1207.126</v>
      </c>
      <c r="Y87" s="234">
        <v>1252.5070000000001</v>
      </c>
      <c r="Z87" s="234">
        <v>337.25749999999999</v>
      </c>
      <c r="AA87" s="234">
        <v>1482.9680000000001</v>
      </c>
      <c r="AB87" s="234">
        <v>199.21520000000001</v>
      </c>
      <c r="AC87" s="234">
        <v>874.75080000000003</v>
      </c>
      <c r="AD87" s="234">
        <v>344.11290000000002</v>
      </c>
      <c r="AE87" s="234">
        <v>396.875</v>
      </c>
      <c r="AF87" s="234">
        <v>36758.79</v>
      </c>
      <c r="AG87" s="234">
        <v>9896.1560000000009</v>
      </c>
      <c r="AH87" s="234">
        <v>58329.84</v>
      </c>
      <c r="AI87" s="234">
        <v>30537.86</v>
      </c>
      <c r="AJ87" s="234">
        <v>16985.45</v>
      </c>
      <c r="AK87" s="234">
        <v>31732.09</v>
      </c>
      <c r="AL87" s="234">
        <v>176067.20000000001</v>
      </c>
      <c r="AM87" s="234">
        <v>20439.349999999999</v>
      </c>
      <c r="AN87" s="234">
        <v>15735.84</v>
      </c>
      <c r="AO87" s="234">
        <v>56559.79</v>
      </c>
      <c r="AP87" s="234">
        <v>61177.59</v>
      </c>
      <c r="AQ87" s="234">
        <v>13733.43</v>
      </c>
      <c r="AR87" s="234">
        <v>22338.82</v>
      </c>
      <c r="AS87" s="234">
        <v>278386.8</v>
      </c>
      <c r="AT87" s="234">
        <v>263813.8</v>
      </c>
      <c r="AU87" s="234">
        <v>331506.2</v>
      </c>
      <c r="AV87" s="234">
        <v>76793.11</v>
      </c>
      <c r="AW87" s="234">
        <v>81576.25</v>
      </c>
      <c r="AX87" s="234">
        <v>9080.6610000000001</v>
      </c>
      <c r="AY87" s="234">
        <v>2238.7559999999999</v>
      </c>
      <c r="AZ87" s="234">
        <v>372594</v>
      </c>
      <c r="BA87" s="234">
        <v>18400.73</v>
      </c>
      <c r="BB87" s="234">
        <v>43851</v>
      </c>
      <c r="BC87" s="234">
        <v>43552</v>
      </c>
      <c r="BD87" s="234">
        <v>10559</v>
      </c>
      <c r="BE87" s="234" t="s">
        <v>34</v>
      </c>
      <c r="BF87" s="234">
        <v>0.82916666666666705</v>
      </c>
      <c r="BG87" s="234">
        <v>3</v>
      </c>
      <c r="BH87" s="234">
        <v>-820000</v>
      </c>
      <c r="BI87" s="234">
        <v>0</v>
      </c>
      <c r="BJ87" s="234">
        <v>0</v>
      </c>
      <c r="BK87" s="234">
        <v>1</v>
      </c>
      <c r="BL87" s="234">
        <v>0</v>
      </c>
      <c r="BM87" s="234">
        <v>0</v>
      </c>
      <c r="BN87" s="234">
        <f>IF(ECON_OUTPUT!BE87="Other",1,0)</f>
        <v>0</v>
      </c>
    </row>
    <row r="88" spans="1:66" x14ac:dyDescent="0.25">
      <c r="A88" s="234">
        <v>87</v>
      </c>
      <c r="B88" s="234" t="s">
        <v>1765</v>
      </c>
      <c r="C88" s="234" t="s">
        <v>898</v>
      </c>
      <c r="D88" s="234" t="s">
        <v>717</v>
      </c>
      <c r="E88" s="235">
        <v>42773</v>
      </c>
      <c r="F88" s="234" t="s">
        <v>1753</v>
      </c>
      <c r="G88" s="234">
        <v>1965000</v>
      </c>
      <c r="H88" s="234">
        <v>1450000</v>
      </c>
      <c r="I88" s="234">
        <v>-0.26208651399999999</v>
      </c>
      <c r="J88" s="234" t="s">
        <v>464</v>
      </c>
      <c r="K88" s="234">
        <v>6</v>
      </c>
      <c r="L88" s="234" t="s">
        <v>226</v>
      </c>
      <c r="M88" s="234">
        <v>1</v>
      </c>
      <c r="N88" s="234" t="s">
        <v>457</v>
      </c>
      <c r="O88" s="234" t="s">
        <v>1283</v>
      </c>
      <c r="P88" s="234" t="s">
        <v>1755</v>
      </c>
      <c r="Q88" s="234">
        <v>2280000</v>
      </c>
      <c r="R88" s="234">
        <v>267.50560000000002</v>
      </c>
      <c r="S88" s="234">
        <v>279.46210000000002</v>
      </c>
      <c r="T88" s="234">
        <v>367.5061</v>
      </c>
      <c r="U88" s="234">
        <v>1782.308</v>
      </c>
      <c r="V88" s="234">
        <v>2238.7559999999999</v>
      </c>
      <c r="W88" s="234">
        <v>556.57320000000004</v>
      </c>
      <c r="X88" s="234">
        <v>1207.126</v>
      </c>
      <c r="Y88" s="234">
        <v>1252.5070000000001</v>
      </c>
      <c r="Z88" s="234">
        <v>337.25749999999999</v>
      </c>
      <c r="AA88" s="234">
        <v>1482.9680000000001</v>
      </c>
      <c r="AB88" s="234">
        <v>199.21520000000001</v>
      </c>
      <c r="AC88" s="234">
        <v>874.75080000000003</v>
      </c>
      <c r="AD88" s="234">
        <v>344.11290000000002</v>
      </c>
      <c r="AE88" s="234">
        <v>396.875</v>
      </c>
      <c r="AF88" s="234">
        <v>36758.79</v>
      </c>
      <c r="AG88" s="234">
        <v>9896.1560000000009</v>
      </c>
      <c r="AH88" s="234">
        <v>58329.84</v>
      </c>
      <c r="AI88" s="234">
        <v>30537.86</v>
      </c>
      <c r="AJ88" s="234">
        <v>16985.45</v>
      </c>
      <c r="AK88" s="234">
        <v>31732.09</v>
      </c>
      <c r="AL88" s="234">
        <v>176067.20000000001</v>
      </c>
      <c r="AM88" s="234">
        <v>20439.349999999999</v>
      </c>
      <c r="AN88" s="234">
        <v>15735.84</v>
      </c>
      <c r="AO88" s="234">
        <v>56559.79</v>
      </c>
      <c r="AP88" s="234">
        <v>61177.59</v>
      </c>
      <c r="AQ88" s="234">
        <v>13733.43</v>
      </c>
      <c r="AR88" s="234">
        <v>22338.82</v>
      </c>
      <c r="AS88" s="234">
        <v>278386.8</v>
      </c>
      <c r="AT88" s="234">
        <v>263813.8</v>
      </c>
      <c r="AU88" s="234">
        <v>331506.2</v>
      </c>
      <c r="AV88" s="234">
        <v>76793.11</v>
      </c>
      <c r="AW88" s="234">
        <v>81576.25</v>
      </c>
      <c r="AX88" s="234">
        <v>9080.6610000000001</v>
      </c>
      <c r="AY88" s="234">
        <v>2238.7559999999999</v>
      </c>
      <c r="AZ88" s="234">
        <v>372594</v>
      </c>
      <c r="BA88" s="234">
        <v>18400.73</v>
      </c>
      <c r="BB88" s="234">
        <v>43851</v>
      </c>
      <c r="BC88" s="234">
        <v>43552</v>
      </c>
      <c r="BD88" s="234">
        <v>10559</v>
      </c>
      <c r="BE88" s="234" t="s">
        <v>1753</v>
      </c>
      <c r="BF88" s="234">
        <v>1.1603053435114501</v>
      </c>
      <c r="BG88" s="234">
        <v>2</v>
      </c>
      <c r="BH88" s="234">
        <v>315000</v>
      </c>
      <c r="BI88" s="234">
        <v>0</v>
      </c>
      <c r="BJ88" s="234">
        <v>1</v>
      </c>
      <c r="BK88" s="234">
        <v>0</v>
      </c>
      <c r="BL88" s="234">
        <v>0</v>
      </c>
      <c r="BM88" s="234">
        <v>0</v>
      </c>
      <c r="BN88" s="234">
        <f>IF(ECON_OUTPUT!BE88="Other",1,0)</f>
        <v>1</v>
      </c>
    </row>
    <row r="89" spans="1:66" x14ac:dyDescent="0.25">
      <c r="A89" s="234">
        <v>88</v>
      </c>
      <c r="B89" s="234" t="s">
        <v>1765</v>
      </c>
      <c r="C89" s="234" t="s">
        <v>901</v>
      </c>
      <c r="D89" s="234" t="s">
        <v>902</v>
      </c>
      <c r="E89" s="235">
        <v>42774</v>
      </c>
      <c r="F89" s="234" t="s">
        <v>34</v>
      </c>
      <c r="G89" s="234">
        <v>970000</v>
      </c>
      <c r="H89" s="234">
        <v>756482</v>
      </c>
      <c r="I89" s="234">
        <v>-0.220121649</v>
      </c>
      <c r="J89" s="234" t="s">
        <v>464</v>
      </c>
      <c r="K89" s="234">
        <v>9</v>
      </c>
      <c r="L89" s="234" t="s">
        <v>25</v>
      </c>
      <c r="M89" s="234">
        <v>1</v>
      </c>
      <c r="N89" s="234" t="s">
        <v>458</v>
      </c>
      <c r="O89" s="234" t="s">
        <v>1282</v>
      </c>
      <c r="P89" s="234" t="s">
        <v>1750</v>
      </c>
      <c r="Q89" s="234">
        <v>792963</v>
      </c>
      <c r="R89" s="234">
        <v>267.50560000000002</v>
      </c>
      <c r="S89" s="234">
        <v>279.46210000000002</v>
      </c>
      <c r="T89" s="234">
        <v>367.5061</v>
      </c>
      <c r="U89" s="234">
        <v>1782.308</v>
      </c>
      <c r="V89" s="234">
        <v>2238.7559999999999</v>
      </c>
      <c r="W89" s="234">
        <v>556.57320000000004</v>
      </c>
      <c r="X89" s="234">
        <v>1207.126</v>
      </c>
      <c r="Y89" s="234">
        <v>1252.5070000000001</v>
      </c>
      <c r="Z89" s="234">
        <v>337.25749999999999</v>
      </c>
      <c r="AA89" s="234">
        <v>1482.9680000000001</v>
      </c>
      <c r="AB89" s="234">
        <v>199.21520000000001</v>
      </c>
      <c r="AC89" s="234">
        <v>874.75080000000003</v>
      </c>
      <c r="AD89" s="234">
        <v>344.11290000000002</v>
      </c>
      <c r="AE89" s="234">
        <v>396.875</v>
      </c>
      <c r="AF89" s="234">
        <v>36758.79</v>
      </c>
      <c r="AG89" s="234">
        <v>9896.1560000000009</v>
      </c>
      <c r="AH89" s="234">
        <v>58329.84</v>
      </c>
      <c r="AI89" s="234">
        <v>30537.86</v>
      </c>
      <c r="AJ89" s="234">
        <v>16985.45</v>
      </c>
      <c r="AK89" s="234">
        <v>31732.09</v>
      </c>
      <c r="AL89" s="234">
        <v>176067.20000000001</v>
      </c>
      <c r="AM89" s="234">
        <v>20439.349999999999</v>
      </c>
      <c r="AN89" s="234">
        <v>15735.84</v>
      </c>
      <c r="AO89" s="234">
        <v>56559.79</v>
      </c>
      <c r="AP89" s="234">
        <v>61177.59</v>
      </c>
      <c r="AQ89" s="234">
        <v>13733.43</v>
      </c>
      <c r="AR89" s="234">
        <v>22338.82</v>
      </c>
      <c r="AS89" s="234">
        <v>278386.8</v>
      </c>
      <c r="AT89" s="234">
        <v>263813.8</v>
      </c>
      <c r="AU89" s="234">
        <v>331506.2</v>
      </c>
      <c r="AV89" s="234">
        <v>76793.11</v>
      </c>
      <c r="AW89" s="234">
        <v>81576.25</v>
      </c>
      <c r="AX89" s="234">
        <v>9080.6610000000001</v>
      </c>
      <c r="AY89" s="234">
        <v>2238.7559999999999</v>
      </c>
      <c r="AZ89" s="234">
        <v>372594</v>
      </c>
      <c r="BA89" s="234">
        <v>18400.73</v>
      </c>
      <c r="BB89" s="234">
        <v>43851</v>
      </c>
      <c r="BC89" s="234">
        <v>43552</v>
      </c>
      <c r="BD89" s="234">
        <v>10559</v>
      </c>
      <c r="BE89" s="234" t="s">
        <v>34</v>
      </c>
      <c r="BF89" s="234">
        <v>0.81748762886597903</v>
      </c>
      <c r="BG89" s="234">
        <v>1</v>
      </c>
      <c r="BH89" s="234">
        <v>-177037</v>
      </c>
      <c r="BI89" s="234">
        <v>1</v>
      </c>
      <c r="BJ89" s="234">
        <v>0</v>
      </c>
      <c r="BK89" s="234">
        <v>0</v>
      </c>
      <c r="BL89" s="234">
        <v>0</v>
      </c>
      <c r="BM89" s="234">
        <v>0</v>
      </c>
      <c r="BN89" s="234">
        <f>IF(ECON_OUTPUT!BE89="Other",1,0)</f>
        <v>0</v>
      </c>
    </row>
    <row r="90" spans="1:66" x14ac:dyDescent="0.25">
      <c r="A90" s="234">
        <v>89</v>
      </c>
      <c r="B90" s="234" t="s">
        <v>1765</v>
      </c>
      <c r="C90" s="234" t="s">
        <v>916</v>
      </c>
      <c r="D90" s="234" t="s">
        <v>917</v>
      </c>
      <c r="E90" s="235">
        <v>42780</v>
      </c>
      <c r="F90" s="234" t="s">
        <v>34</v>
      </c>
      <c r="G90" s="234">
        <v>2580000</v>
      </c>
      <c r="H90" s="234">
        <v>1386000</v>
      </c>
      <c r="I90" s="234">
        <v>-0.462790698</v>
      </c>
      <c r="J90" s="234" t="s">
        <v>464</v>
      </c>
      <c r="K90" s="234">
        <v>16</v>
      </c>
      <c r="L90" s="234" t="s">
        <v>25</v>
      </c>
      <c r="M90" s="234">
        <v>1</v>
      </c>
      <c r="N90" s="234" t="s">
        <v>458</v>
      </c>
      <c r="O90" s="234" t="s">
        <v>1283</v>
      </c>
      <c r="P90" s="234" t="s">
        <v>1750</v>
      </c>
      <c r="Q90" s="234">
        <v>1707400</v>
      </c>
      <c r="R90" s="234">
        <v>267.50560000000002</v>
      </c>
      <c r="S90" s="234">
        <v>279.46210000000002</v>
      </c>
      <c r="T90" s="234">
        <v>367.5061</v>
      </c>
      <c r="U90" s="234">
        <v>1782.308</v>
      </c>
      <c r="V90" s="234">
        <v>2238.7559999999999</v>
      </c>
      <c r="W90" s="234">
        <v>556.57320000000004</v>
      </c>
      <c r="X90" s="234">
        <v>1207.126</v>
      </c>
      <c r="Y90" s="234">
        <v>1252.5070000000001</v>
      </c>
      <c r="Z90" s="234">
        <v>337.25749999999999</v>
      </c>
      <c r="AA90" s="234">
        <v>1482.9680000000001</v>
      </c>
      <c r="AB90" s="234">
        <v>199.21520000000001</v>
      </c>
      <c r="AC90" s="234">
        <v>874.75080000000003</v>
      </c>
      <c r="AD90" s="234">
        <v>344.11290000000002</v>
      </c>
      <c r="AE90" s="234">
        <v>396.875</v>
      </c>
      <c r="AF90" s="234">
        <v>36758.79</v>
      </c>
      <c r="AG90" s="234">
        <v>9896.1560000000009</v>
      </c>
      <c r="AH90" s="234">
        <v>58329.84</v>
      </c>
      <c r="AI90" s="234">
        <v>30537.86</v>
      </c>
      <c r="AJ90" s="234">
        <v>16985.45</v>
      </c>
      <c r="AK90" s="234">
        <v>31732.09</v>
      </c>
      <c r="AL90" s="234">
        <v>176067.20000000001</v>
      </c>
      <c r="AM90" s="234">
        <v>20439.349999999999</v>
      </c>
      <c r="AN90" s="234">
        <v>15735.84</v>
      </c>
      <c r="AO90" s="234">
        <v>56559.79</v>
      </c>
      <c r="AP90" s="234">
        <v>61177.59</v>
      </c>
      <c r="AQ90" s="234">
        <v>13733.43</v>
      </c>
      <c r="AR90" s="234">
        <v>22338.82</v>
      </c>
      <c r="AS90" s="234">
        <v>278386.8</v>
      </c>
      <c r="AT90" s="234">
        <v>263813.8</v>
      </c>
      <c r="AU90" s="234">
        <v>331506.2</v>
      </c>
      <c r="AV90" s="234">
        <v>76793.11</v>
      </c>
      <c r="AW90" s="234">
        <v>81576.25</v>
      </c>
      <c r="AX90" s="234">
        <v>9080.6610000000001</v>
      </c>
      <c r="AY90" s="234">
        <v>2238.7559999999999</v>
      </c>
      <c r="AZ90" s="234">
        <v>372594</v>
      </c>
      <c r="BA90" s="234">
        <v>18400.73</v>
      </c>
      <c r="BB90" s="234">
        <v>43851</v>
      </c>
      <c r="BC90" s="234">
        <v>43552</v>
      </c>
      <c r="BD90" s="234">
        <v>10559</v>
      </c>
      <c r="BE90" s="234" t="s">
        <v>34</v>
      </c>
      <c r="BF90" s="234">
        <v>0.66178294573643404</v>
      </c>
      <c r="BG90" s="234">
        <v>2</v>
      </c>
      <c r="BH90" s="234">
        <v>-872600</v>
      </c>
      <c r="BI90" s="234">
        <v>0</v>
      </c>
      <c r="BJ90" s="234">
        <v>1</v>
      </c>
      <c r="BK90" s="234">
        <v>0</v>
      </c>
      <c r="BL90" s="234">
        <v>0</v>
      </c>
      <c r="BM90" s="234">
        <v>0</v>
      </c>
      <c r="BN90" s="234">
        <f>IF(ECON_OUTPUT!BE90="Other",1,0)</f>
        <v>0</v>
      </c>
    </row>
    <row r="91" spans="1:66" x14ac:dyDescent="0.25">
      <c r="A91" s="234">
        <v>90</v>
      </c>
      <c r="B91" s="234" t="s">
        <v>1765</v>
      </c>
      <c r="C91" s="234" t="s">
        <v>914</v>
      </c>
      <c r="D91" s="234" t="s">
        <v>933</v>
      </c>
      <c r="E91" s="235">
        <v>42787</v>
      </c>
      <c r="F91" s="234" t="s">
        <v>1753</v>
      </c>
      <c r="G91" s="234">
        <v>10393000</v>
      </c>
      <c r="H91" s="234">
        <v>7903950</v>
      </c>
      <c r="I91" s="234">
        <v>-0.23949292799999999</v>
      </c>
      <c r="J91" s="234" t="s">
        <v>465</v>
      </c>
      <c r="K91" s="234">
        <v>3</v>
      </c>
      <c r="L91" s="234" t="s">
        <v>93</v>
      </c>
      <c r="M91" s="234">
        <v>1</v>
      </c>
      <c r="N91" s="234" t="s">
        <v>458</v>
      </c>
      <c r="O91" s="234" t="s">
        <v>1283</v>
      </c>
      <c r="P91" s="234" t="s">
        <v>1755</v>
      </c>
      <c r="Q91" s="234">
        <v>9176000</v>
      </c>
      <c r="R91" s="234">
        <v>267.50560000000002</v>
      </c>
      <c r="S91" s="234">
        <v>279.46210000000002</v>
      </c>
      <c r="T91" s="234">
        <v>367.5061</v>
      </c>
      <c r="U91" s="234">
        <v>1782.308</v>
      </c>
      <c r="V91" s="234">
        <v>2238.7559999999999</v>
      </c>
      <c r="W91" s="234">
        <v>556.57320000000004</v>
      </c>
      <c r="X91" s="234">
        <v>1207.126</v>
      </c>
      <c r="Y91" s="234">
        <v>1252.5070000000001</v>
      </c>
      <c r="Z91" s="234">
        <v>337.25749999999999</v>
      </c>
      <c r="AA91" s="234">
        <v>1482.9680000000001</v>
      </c>
      <c r="AB91" s="234">
        <v>199.21520000000001</v>
      </c>
      <c r="AC91" s="234">
        <v>874.75080000000003</v>
      </c>
      <c r="AD91" s="234">
        <v>344.11290000000002</v>
      </c>
      <c r="AE91" s="234">
        <v>396.875</v>
      </c>
      <c r="AF91" s="234">
        <v>36758.79</v>
      </c>
      <c r="AG91" s="234">
        <v>9896.1560000000009</v>
      </c>
      <c r="AH91" s="234">
        <v>58329.84</v>
      </c>
      <c r="AI91" s="234">
        <v>30537.86</v>
      </c>
      <c r="AJ91" s="234">
        <v>16985.45</v>
      </c>
      <c r="AK91" s="234">
        <v>31732.09</v>
      </c>
      <c r="AL91" s="234">
        <v>176067.20000000001</v>
      </c>
      <c r="AM91" s="234">
        <v>20439.349999999999</v>
      </c>
      <c r="AN91" s="234">
        <v>15735.84</v>
      </c>
      <c r="AO91" s="234">
        <v>56559.79</v>
      </c>
      <c r="AP91" s="234">
        <v>61177.59</v>
      </c>
      <c r="AQ91" s="234">
        <v>13733.43</v>
      </c>
      <c r="AR91" s="234">
        <v>22338.82</v>
      </c>
      <c r="AS91" s="234">
        <v>278386.8</v>
      </c>
      <c r="AT91" s="234">
        <v>263813.8</v>
      </c>
      <c r="AU91" s="234">
        <v>331506.2</v>
      </c>
      <c r="AV91" s="234">
        <v>76793.11</v>
      </c>
      <c r="AW91" s="234">
        <v>81576.25</v>
      </c>
      <c r="AX91" s="234">
        <v>9080.6610000000001</v>
      </c>
      <c r="AY91" s="234">
        <v>2238.7559999999999</v>
      </c>
      <c r="AZ91" s="234">
        <v>372594</v>
      </c>
      <c r="BA91" s="234">
        <v>18400.73</v>
      </c>
      <c r="BB91" s="234">
        <v>43851</v>
      </c>
      <c r="BC91" s="234">
        <v>43552</v>
      </c>
      <c r="BD91" s="234">
        <v>10559</v>
      </c>
      <c r="BE91" s="234" t="s">
        <v>1753</v>
      </c>
      <c r="BF91" s="234">
        <v>0.882901953237756</v>
      </c>
      <c r="BG91" s="234">
        <v>4</v>
      </c>
      <c r="BH91" s="234">
        <v>-1217000</v>
      </c>
      <c r="BI91" s="234">
        <v>0</v>
      </c>
      <c r="BJ91" s="234">
        <v>0</v>
      </c>
      <c r="BK91" s="234">
        <v>0</v>
      </c>
      <c r="BL91" s="234">
        <v>1</v>
      </c>
      <c r="BM91" s="234">
        <v>0</v>
      </c>
      <c r="BN91" s="234">
        <f>IF(ECON_OUTPUT!BE91="Other",1,0)</f>
        <v>1</v>
      </c>
    </row>
    <row r="92" spans="1:66" x14ac:dyDescent="0.25">
      <c r="A92" s="234">
        <v>91</v>
      </c>
      <c r="B92" s="234" t="s">
        <v>1765</v>
      </c>
      <c r="C92" s="234" t="s">
        <v>941</v>
      </c>
      <c r="D92" s="234" t="s">
        <v>940</v>
      </c>
      <c r="E92" s="235">
        <v>42789</v>
      </c>
      <c r="F92" s="234" t="s">
        <v>177</v>
      </c>
      <c r="G92" s="234">
        <v>240000</v>
      </c>
      <c r="H92" s="234">
        <v>97300</v>
      </c>
      <c r="I92" s="234">
        <v>-0.59458333299999999</v>
      </c>
      <c r="J92" s="234" t="s">
        <v>465</v>
      </c>
      <c r="K92" s="234">
        <v>6</v>
      </c>
      <c r="L92" s="234" t="s">
        <v>25</v>
      </c>
      <c r="M92" s="234">
        <v>1</v>
      </c>
      <c r="N92" s="234" t="s">
        <v>457</v>
      </c>
      <c r="O92" s="234" t="s">
        <v>1286</v>
      </c>
      <c r="P92" s="234" t="s">
        <v>1750</v>
      </c>
      <c r="Q92" s="234">
        <v>142000</v>
      </c>
      <c r="R92" s="234">
        <v>267.50560000000002</v>
      </c>
      <c r="S92" s="234">
        <v>279.46210000000002</v>
      </c>
      <c r="T92" s="234">
        <v>367.5061</v>
      </c>
      <c r="U92" s="234">
        <v>1782.308</v>
      </c>
      <c r="V92" s="234">
        <v>2238.7559999999999</v>
      </c>
      <c r="W92" s="234">
        <v>556.57320000000004</v>
      </c>
      <c r="X92" s="234">
        <v>1207.126</v>
      </c>
      <c r="Y92" s="234">
        <v>1252.5070000000001</v>
      </c>
      <c r="Z92" s="234">
        <v>337.25749999999999</v>
      </c>
      <c r="AA92" s="234">
        <v>1482.9680000000001</v>
      </c>
      <c r="AB92" s="234">
        <v>199.21520000000001</v>
      </c>
      <c r="AC92" s="234">
        <v>874.75080000000003</v>
      </c>
      <c r="AD92" s="234">
        <v>344.11290000000002</v>
      </c>
      <c r="AE92" s="234">
        <v>396.875</v>
      </c>
      <c r="AF92" s="234">
        <v>36758.79</v>
      </c>
      <c r="AG92" s="234">
        <v>9896.1560000000009</v>
      </c>
      <c r="AH92" s="234">
        <v>58329.84</v>
      </c>
      <c r="AI92" s="234">
        <v>30537.86</v>
      </c>
      <c r="AJ92" s="234">
        <v>16985.45</v>
      </c>
      <c r="AK92" s="234">
        <v>31732.09</v>
      </c>
      <c r="AL92" s="234">
        <v>176067.20000000001</v>
      </c>
      <c r="AM92" s="234">
        <v>20439.349999999999</v>
      </c>
      <c r="AN92" s="234">
        <v>15735.84</v>
      </c>
      <c r="AO92" s="234">
        <v>56559.79</v>
      </c>
      <c r="AP92" s="234">
        <v>61177.59</v>
      </c>
      <c r="AQ92" s="234">
        <v>13733.43</v>
      </c>
      <c r="AR92" s="234">
        <v>22338.82</v>
      </c>
      <c r="AS92" s="234">
        <v>278386.8</v>
      </c>
      <c r="AT92" s="234">
        <v>263813.8</v>
      </c>
      <c r="AU92" s="234">
        <v>331506.2</v>
      </c>
      <c r="AV92" s="234">
        <v>76793.11</v>
      </c>
      <c r="AW92" s="234">
        <v>81576.25</v>
      </c>
      <c r="AX92" s="234">
        <v>9080.6610000000001</v>
      </c>
      <c r="AY92" s="234">
        <v>2238.7559999999999</v>
      </c>
      <c r="AZ92" s="234">
        <v>372594</v>
      </c>
      <c r="BA92" s="234">
        <v>18400.73</v>
      </c>
      <c r="BB92" s="234">
        <v>43851</v>
      </c>
      <c r="BC92" s="234">
        <v>43552</v>
      </c>
      <c r="BD92" s="234">
        <v>10559</v>
      </c>
      <c r="BE92" s="234" t="s">
        <v>1753</v>
      </c>
      <c r="BF92" s="234">
        <v>0.59166666666666701</v>
      </c>
      <c r="BG92" s="234">
        <v>1</v>
      </c>
      <c r="BH92" s="234">
        <v>-98000</v>
      </c>
      <c r="BI92" s="234">
        <v>1</v>
      </c>
      <c r="BJ92" s="234">
        <v>0</v>
      </c>
      <c r="BK92" s="234">
        <v>0</v>
      </c>
      <c r="BL92" s="234">
        <v>0</v>
      </c>
      <c r="BM92" s="234">
        <v>0</v>
      </c>
      <c r="BN92" s="234">
        <f>IF(ECON_OUTPUT!BE92="Other",1,0)</f>
        <v>1</v>
      </c>
    </row>
    <row r="93" spans="1:66" x14ac:dyDescent="0.25">
      <c r="A93" s="234">
        <v>92</v>
      </c>
      <c r="B93" s="234" t="s">
        <v>1765</v>
      </c>
      <c r="C93" s="234" t="s">
        <v>912</v>
      </c>
      <c r="D93" s="234" t="s">
        <v>935</v>
      </c>
      <c r="E93" s="235">
        <v>42789</v>
      </c>
      <c r="F93" s="234" t="s">
        <v>1753</v>
      </c>
      <c r="G93" s="234">
        <v>479900000</v>
      </c>
      <c r="H93" s="234">
        <v>451841280</v>
      </c>
      <c r="I93" s="234">
        <v>-5.8467847000000003E-2</v>
      </c>
      <c r="J93" s="234" t="s">
        <v>464</v>
      </c>
      <c r="K93" s="234">
        <v>5</v>
      </c>
      <c r="L93" s="234" t="s">
        <v>226</v>
      </c>
      <c r="M93" s="234">
        <v>1</v>
      </c>
      <c r="N93" s="234" t="s">
        <v>457</v>
      </c>
      <c r="O93" s="234" t="s">
        <v>1282</v>
      </c>
      <c r="P93" s="234" t="s">
        <v>1750</v>
      </c>
      <c r="Q93" s="234">
        <v>479645000</v>
      </c>
      <c r="R93" s="234">
        <v>267.50560000000002</v>
      </c>
      <c r="S93" s="234">
        <v>279.46210000000002</v>
      </c>
      <c r="T93" s="234">
        <v>367.5061</v>
      </c>
      <c r="U93" s="234">
        <v>1782.308</v>
      </c>
      <c r="V93" s="234">
        <v>2238.7559999999999</v>
      </c>
      <c r="W93" s="234">
        <v>556.57320000000004</v>
      </c>
      <c r="X93" s="234">
        <v>1207.126</v>
      </c>
      <c r="Y93" s="234">
        <v>1252.5070000000001</v>
      </c>
      <c r="Z93" s="234">
        <v>337.25749999999999</v>
      </c>
      <c r="AA93" s="234">
        <v>1482.9680000000001</v>
      </c>
      <c r="AB93" s="234">
        <v>199.21520000000001</v>
      </c>
      <c r="AC93" s="234">
        <v>874.75080000000003</v>
      </c>
      <c r="AD93" s="234">
        <v>344.11290000000002</v>
      </c>
      <c r="AE93" s="234">
        <v>396.875</v>
      </c>
      <c r="AF93" s="234">
        <v>36758.79</v>
      </c>
      <c r="AG93" s="234">
        <v>9896.1560000000009</v>
      </c>
      <c r="AH93" s="234">
        <v>58329.84</v>
      </c>
      <c r="AI93" s="234">
        <v>30537.86</v>
      </c>
      <c r="AJ93" s="234">
        <v>16985.45</v>
      </c>
      <c r="AK93" s="234">
        <v>31732.09</v>
      </c>
      <c r="AL93" s="234">
        <v>176067.20000000001</v>
      </c>
      <c r="AM93" s="234">
        <v>20439.349999999999</v>
      </c>
      <c r="AN93" s="234">
        <v>15735.84</v>
      </c>
      <c r="AO93" s="234">
        <v>56559.79</v>
      </c>
      <c r="AP93" s="234">
        <v>61177.59</v>
      </c>
      <c r="AQ93" s="234">
        <v>13733.43</v>
      </c>
      <c r="AR93" s="234">
        <v>22338.82</v>
      </c>
      <c r="AS93" s="234">
        <v>278386.8</v>
      </c>
      <c r="AT93" s="234">
        <v>263813.8</v>
      </c>
      <c r="AU93" s="234">
        <v>331506.2</v>
      </c>
      <c r="AV93" s="234">
        <v>76793.11</v>
      </c>
      <c r="AW93" s="234">
        <v>81576.25</v>
      </c>
      <c r="AX93" s="234">
        <v>9080.6610000000001</v>
      </c>
      <c r="AY93" s="234">
        <v>2238.7559999999999</v>
      </c>
      <c r="AZ93" s="234">
        <v>372594</v>
      </c>
      <c r="BA93" s="234">
        <v>18400.73</v>
      </c>
      <c r="BB93" s="234">
        <v>43851</v>
      </c>
      <c r="BC93" s="234">
        <v>43552</v>
      </c>
      <c r="BD93" s="234">
        <v>10559</v>
      </c>
      <c r="BE93" s="234" t="s">
        <v>1753</v>
      </c>
      <c r="BF93" s="234">
        <v>0.99946863929985397</v>
      </c>
      <c r="BG93" s="234">
        <v>5</v>
      </c>
      <c r="BH93" s="234">
        <v>-255000</v>
      </c>
      <c r="BI93" s="234">
        <v>0</v>
      </c>
      <c r="BJ93" s="234">
        <v>0</v>
      </c>
      <c r="BK93" s="234">
        <v>0</v>
      </c>
      <c r="BL93" s="234">
        <v>0</v>
      </c>
      <c r="BM93" s="234">
        <v>1</v>
      </c>
      <c r="BN93" s="234">
        <f>IF(ECON_OUTPUT!BE93="Other",1,0)</f>
        <v>1</v>
      </c>
    </row>
    <row r="94" spans="1:66" x14ac:dyDescent="0.25">
      <c r="A94" s="234">
        <v>93</v>
      </c>
      <c r="B94" s="234" t="s">
        <v>1765</v>
      </c>
      <c r="C94" s="234" t="s">
        <v>956</v>
      </c>
      <c r="D94" s="234" t="s">
        <v>957</v>
      </c>
      <c r="E94" s="235">
        <v>42810</v>
      </c>
      <c r="F94" s="234" t="s">
        <v>177</v>
      </c>
      <c r="G94" s="234">
        <v>1425000</v>
      </c>
      <c r="H94" s="234">
        <v>1087425</v>
      </c>
      <c r="I94" s="234">
        <v>-0.23689473699999999</v>
      </c>
      <c r="J94" s="234" t="s">
        <v>464</v>
      </c>
      <c r="K94" s="234">
        <v>6</v>
      </c>
      <c r="L94" s="234" t="s">
        <v>93</v>
      </c>
      <c r="M94" s="234">
        <v>1</v>
      </c>
      <c r="N94" s="234" t="s">
        <v>492</v>
      </c>
      <c r="O94" s="234" t="s">
        <v>1283</v>
      </c>
      <c r="P94" s="234" t="s">
        <v>1755</v>
      </c>
      <c r="Q94" s="234">
        <v>1668410</v>
      </c>
      <c r="R94" s="234">
        <v>267.50560000000002</v>
      </c>
      <c r="S94" s="234">
        <v>279.46210000000002</v>
      </c>
      <c r="T94" s="234">
        <v>367.5061</v>
      </c>
      <c r="U94" s="234">
        <v>1782.308</v>
      </c>
      <c r="V94" s="234">
        <v>2238.7559999999999</v>
      </c>
      <c r="W94" s="234">
        <v>556.57320000000004</v>
      </c>
      <c r="X94" s="234">
        <v>1207.126</v>
      </c>
      <c r="Y94" s="234">
        <v>1252.5070000000001</v>
      </c>
      <c r="Z94" s="234">
        <v>337.25749999999999</v>
      </c>
      <c r="AA94" s="234">
        <v>1482.9680000000001</v>
      </c>
      <c r="AB94" s="234">
        <v>199.21520000000001</v>
      </c>
      <c r="AC94" s="234">
        <v>874.75080000000003</v>
      </c>
      <c r="AD94" s="234">
        <v>344.11290000000002</v>
      </c>
      <c r="AE94" s="234">
        <v>396.875</v>
      </c>
      <c r="AF94" s="234">
        <v>36758.79</v>
      </c>
      <c r="AG94" s="234">
        <v>9896.1560000000009</v>
      </c>
      <c r="AH94" s="234">
        <v>58329.84</v>
      </c>
      <c r="AI94" s="234">
        <v>30537.86</v>
      </c>
      <c r="AJ94" s="234">
        <v>16985.45</v>
      </c>
      <c r="AK94" s="234">
        <v>31732.09</v>
      </c>
      <c r="AL94" s="234">
        <v>176067.20000000001</v>
      </c>
      <c r="AM94" s="234">
        <v>20439.349999999999</v>
      </c>
      <c r="AN94" s="234">
        <v>15735.84</v>
      </c>
      <c r="AO94" s="234">
        <v>56559.79</v>
      </c>
      <c r="AP94" s="234">
        <v>61177.59</v>
      </c>
      <c r="AQ94" s="234">
        <v>13733.43</v>
      </c>
      <c r="AR94" s="234">
        <v>22338.82</v>
      </c>
      <c r="AS94" s="234">
        <v>278386.8</v>
      </c>
      <c r="AT94" s="234">
        <v>263813.8</v>
      </c>
      <c r="AU94" s="234">
        <v>331506.2</v>
      </c>
      <c r="AV94" s="234">
        <v>76793.11</v>
      </c>
      <c r="AW94" s="234">
        <v>81576.25</v>
      </c>
      <c r="AX94" s="234">
        <v>9080.6610000000001</v>
      </c>
      <c r="AY94" s="234">
        <v>2238.7559999999999</v>
      </c>
      <c r="AZ94" s="234">
        <v>372594</v>
      </c>
      <c r="BA94" s="234">
        <v>18400.73</v>
      </c>
      <c r="BB94" s="234">
        <v>43851</v>
      </c>
      <c r="BC94" s="234">
        <v>43552</v>
      </c>
      <c r="BD94" s="234">
        <v>10559</v>
      </c>
      <c r="BE94" s="234" t="s">
        <v>1753</v>
      </c>
      <c r="BF94" s="234">
        <v>1.1708140350877201</v>
      </c>
      <c r="BG94" s="234">
        <v>2</v>
      </c>
      <c r="BH94" s="234">
        <v>243410</v>
      </c>
      <c r="BI94" s="234">
        <v>0</v>
      </c>
      <c r="BJ94" s="234">
        <v>1</v>
      </c>
      <c r="BK94" s="234">
        <v>0</v>
      </c>
      <c r="BL94" s="234">
        <v>0</v>
      </c>
      <c r="BM94" s="234">
        <v>0</v>
      </c>
      <c r="BN94" s="234">
        <f>IF(ECON_OUTPUT!BE94="Other",1,0)</f>
        <v>1</v>
      </c>
    </row>
    <row r="95" spans="1:66" x14ac:dyDescent="0.25">
      <c r="A95" s="234">
        <v>94</v>
      </c>
      <c r="B95" s="234" t="s">
        <v>1765</v>
      </c>
      <c r="C95" s="234" t="s">
        <v>964</v>
      </c>
      <c r="D95" s="234" t="s">
        <v>965</v>
      </c>
      <c r="E95" s="235">
        <v>42815</v>
      </c>
      <c r="F95" s="234" t="s">
        <v>1753</v>
      </c>
      <c r="G95" s="234">
        <v>3750000</v>
      </c>
      <c r="H95" s="234">
        <v>2468147</v>
      </c>
      <c r="I95" s="234">
        <v>-0.341827467</v>
      </c>
      <c r="J95" s="234" t="s">
        <v>465</v>
      </c>
      <c r="K95" s="234">
        <v>3</v>
      </c>
      <c r="L95" s="234" t="s">
        <v>93</v>
      </c>
      <c r="M95" s="234">
        <v>1</v>
      </c>
      <c r="N95" s="234" t="s">
        <v>458</v>
      </c>
      <c r="O95" s="234" t="s">
        <v>1283</v>
      </c>
      <c r="P95" s="234" t="s">
        <v>1755</v>
      </c>
      <c r="Q95" s="234">
        <v>2475475</v>
      </c>
      <c r="R95" s="234">
        <v>267.50560000000002</v>
      </c>
      <c r="S95" s="234">
        <v>279.46210000000002</v>
      </c>
      <c r="T95" s="234">
        <v>367.5061</v>
      </c>
      <c r="U95" s="234">
        <v>1782.308</v>
      </c>
      <c r="V95" s="234">
        <v>2238.7559999999999</v>
      </c>
      <c r="W95" s="234">
        <v>556.57320000000004</v>
      </c>
      <c r="X95" s="234">
        <v>1207.126</v>
      </c>
      <c r="Y95" s="234">
        <v>1252.5070000000001</v>
      </c>
      <c r="Z95" s="234">
        <v>337.25749999999999</v>
      </c>
      <c r="AA95" s="234">
        <v>1482.9680000000001</v>
      </c>
      <c r="AB95" s="234">
        <v>199.21520000000001</v>
      </c>
      <c r="AC95" s="234">
        <v>874.75080000000003</v>
      </c>
      <c r="AD95" s="234">
        <v>344.11290000000002</v>
      </c>
      <c r="AE95" s="234">
        <v>396.875</v>
      </c>
      <c r="AF95" s="234">
        <v>36758.79</v>
      </c>
      <c r="AG95" s="234">
        <v>9896.1560000000009</v>
      </c>
      <c r="AH95" s="234">
        <v>58329.84</v>
      </c>
      <c r="AI95" s="234">
        <v>30537.86</v>
      </c>
      <c r="AJ95" s="234">
        <v>16985.45</v>
      </c>
      <c r="AK95" s="234">
        <v>31732.09</v>
      </c>
      <c r="AL95" s="234">
        <v>176067.20000000001</v>
      </c>
      <c r="AM95" s="234">
        <v>20439.349999999999</v>
      </c>
      <c r="AN95" s="234">
        <v>15735.84</v>
      </c>
      <c r="AO95" s="234">
        <v>56559.79</v>
      </c>
      <c r="AP95" s="234">
        <v>61177.59</v>
      </c>
      <c r="AQ95" s="234">
        <v>13733.43</v>
      </c>
      <c r="AR95" s="234">
        <v>22338.82</v>
      </c>
      <c r="AS95" s="234">
        <v>278386.8</v>
      </c>
      <c r="AT95" s="234">
        <v>263813.8</v>
      </c>
      <c r="AU95" s="234">
        <v>331506.2</v>
      </c>
      <c r="AV95" s="234">
        <v>76793.11</v>
      </c>
      <c r="AW95" s="234">
        <v>81576.25</v>
      </c>
      <c r="AX95" s="234">
        <v>9080.6610000000001</v>
      </c>
      <c r="AY95" s="234">
        <v>2238.7559999999999</v>
      </c>
      <c r="AZ95" s="234">
        <v>372594</v>
      </c>
      <c r="BA95" s="234">
        <v>18400.73</v>
      </c>
      <c r="BB95" s="234">
        <v>43851</v>
      </c>
      <c r="BC95" s="234">
        <v>43552</v>
      </c>
      <c r="BD95" s="234">
        <v>10559</v>
      </c>
      <c r="BE95" s="234" t="s">
        <v>1753</v>
      </c>
      <c r="BF95" s="234">
        <v>0.66012666666666697</v>
      </c>
      <c r="BG95" s="234">
        <v>2</v>
      </c>
      <c r="BH95" s="234">
        <v>-1274525</v>
      </c>
      <c r="BI95" s="234">
        <v>0</v>
      </c>
      <c r="BJ95" s="234">
        <v>1</v>
      </c>
      <c r="BK95" s="234">
        <v>0</v>
      </c>
      <c r="BL95" s="234">
        <v>0</v>
      </c>
      <c r="BM95" s="234">
        <v>0</v>
      </c>
      <c r="BN95" s="234">
        <f>IF(ECON_OUTPUT!BE95="Other",1,0)</f>
        <v>1</v>
      </c>
    </row>
    <row r="96" spans="1:66" x14ac:dyDescent="0.25">
      <c r="A96" s="234">
        <v>95</v>
      </c>
      <c r="B96" s="234" t="s">
        <v>1765</v>
      </c>
      <c r="C96" s="234" t="s">
        <v>966</v>
      </c>
      <c r="D96" s="234" t="s">
        <v>967</v>
      </c>
      <c r="E96" s="235">
        <v>42823</v>
      </c>
      <c r="F96" s="234" t="s">
        <v>34</v>
      </c>
      <c r="G96" s="234">
        <v>3700000</v>
      </c>
      <c r="H96" s="234">
        <v>2490000</v>
      </c>
      <c r="I96" s="234">
        <v>-0.32702702700000003</v>
      </c>
      <c r="J96" s="234" t="s">
        <v>464</v>
      </c>
      <c r="K96" s="234">
        <v>7</v>
      </c>
      <c r="L96" s="234" t="s">
        <v>93</v>
      </c>
      <c r="M96" s="234">
        <v>1</v>
      </c>
      <c r="N96" s="234" t="s">
        <v>457</v>
      </c>
      <c r="O96" s="234" t="s">
        <v>1286</v>
      </c>
      <c r="P96" s="234" t="s">
        <v>1754</v>
      </c>
      <c r="Q96" s="234">
        <v>3185420</v>
      </c>
      <c r="R96" s="234">
        <v>267.50560000000002</v>
      </c>
      <c r="S96" s="234">
        <v>279.46210000000002</v>
      </c>
      <c r="T96" s="234">
        <v>367.5061</v>
      </c>
      <c r="U96" s="234">
        <v>1782.308</v>
      </c>
      <c r="V96" s="234">
        <v>2238.7559999999999</v>
      </c>
      <c r="W96" s="234">
        <v>556.57320000000004</v>
      </c>
      <c r="X96" s="234">
        <v>1207.126</v>
      </c>
      <c r="Y96" s="234">
        <v>1252.5070000000001</v>
      </c>
      <c r="Z96" s="234">
        <v>337.25749999999999</v>
      </c>
      <c r="AA96" s="234">
        <v>1482.9680000000001</v>
      </c>
      <c r="AB96" s="234">
        <v>199.21520000000001</v>
      </c>
      <c r="AC96" s="234">
        <v>874.75080000000003</v>
      </c>
      <c r="AD96" s="234">
        <v>344.11290000000002</v>
      </c>
      <c r="AE96" s="234">
        <v>396.875</v>
      </c>
      <c r="AF96" s="234">
        <v>36758.79</v>
      </c>
      <c r="AG96" s="234">
        <v>9896.1560000000009</v>
      </c>
      <c r="AH96" s="234">
        <v>58329.84</v>
      </c>
      <c r="AI96" s="234">
        <v>30537.86</v>
      </c>
      <c r="AJ96" s="234">
        <v>16985.45</v>
      </c>
      <c r="AK96" s="234">
        <v>31732.09</v>
      </c>
      <c r="AL96" s="234">
        <v>176067.20000000001</v>
      </c>
      <c r="AM96" s="234">
        <v>20439.349999999999</v>
      </c>
      <c r="AN96" s="234">
        <v>15735.84</v>
      </c>
      <c r="AO96" s="234">
        <v>56559.79</v>
      </c>
      <c r="AP96" s="234">
        <v>61177.59</v>
      </c>
      <c r="AQ96" s="234">
        <v>13733.43</v>
      </c>
      <c r="AR96" s="234">
        <v>22338.82</v>
      </c>
      <c r="AS96" s="234">
        <v>278386.8</v>
      </c>
      <c r="AT96" s="234">
        <v>263813.8</v>
      </c>
      <c r="AU96" s="234">
        <v>331506.2</v>
      </c>
      <c r="AV96" s="234">
        <v>76793.11</v>
      </c>
      <c r="AW96" s="234">
        <v>81576.25</v>
      </c>
      <c r="AX96" s="234">
        <v>9080.6610000000001</v>
      </c>
      <c r="AY96" s="234">
        <v>2238.7559999999999</v>
      </c>
      <c r="AZ96" s="234">
        <v>372594</v>
      </c>
      <c r="BA96" s="234">
        <v>18400.73</v>
      </c>
      <c r="BB96" s="234">
        <v>43851</v>
      </c>
      <c r="BC96" s="234">
        <v>43552</v>
      </c>
      <c r="BD96" s="234">
        <v>10559</v>
      </c>
      <c r="BE96" s="234" t="s">
        <v>34</v>
      </c>
      <c r="BF96" s="234">
        <v>0.86092432432432398</v>
      </c>
      <c r="BG96" s="234">
        <v>3</v>
      </c>
      <c r="BH96" s="234">
        <v>-514580</v>
      </c>
      <c r="BI96" s="234">
        <v>0</v>
      </c>
      <c r="BJ96" s="234">
        <v>0</v>
      </c>
      <c r="BK96" s="234">
        <v>1</v>
      </c>
      <c r="BL96" s="234">
        <v>0</v>
      </c>
      <c r="BM96" s="234">
        <v>0</v>
      </c>
      <c r="BN96" s="234">
        <f>IF(ECON_OUTPUT!BE96="Other",1,0)</f>
        <v>0</v>
      </c>
    </row>
    <row r="97" spans="1:66" x14ac:dyDescent="0.25">
      <c r="A97" s="234">
        <v>96</v>
      </c>
      <c r="B97" s="234" t="s">
        <v>1764</v>
      </c>
      <c r="C97" s="234" t="s">
        <v>977</v>
      </c>
      <c r="D97" s="234" t="s">
        <v>978</v>
      </c>
      <c r="E97" s="235">
        <v>42831</v>
      </c>
      <c r="F97" s="234" t="s">
        <v>34</v>
      </c>
      <c r="G97" s="234">
        <v>1655000</v>
      </c>
      <c r="H97" s="234">
        <v>1398667</v>
      </c>
      <c r="I97" s="234">
        <v>-0.154883988</v>
      </c>
      <c r="J97" s="234" t="s">
        <v>464</v>
      </c>
      <c r="K97" s="234">
        <v>3</v>
      </c>
      <c r="L97" s="234" t="s">
        <v>93</v>
      </c>
      <c r="M97" s="234">
        <v>2</v>
      </c>
      <c r="N97" s="234" t="s">
        <v>492</v>
      </c>
      <c r="O97" s="234" t="s">
        <v>1283</v>
      </c>
      <c r="P97" s="234" t="s">
        <v>1750</v>
      </c>
      <c r="Q97" s="234">
        <v>1551460</v>
      </c>
      <c r="R97" s="234">
        <v>267.76459999999997</v>
      </c>
      <c r="S97" s="234">
        <v>279.66809999999998</v>
      </c>
      <c r="T97" s="234">
        <v>367.03910000000002</v>
      </c>
      <c r="U97" s="234">
        <v>1793.2719999999999</v>
      </c>
      <c r="V97" s="234">
        <v>2245.0129999999999</v>
      </c>
      <c r="W97" s="234">
        <v>557.07439999999997</v>
      </c>
      <c r="X97" s="234">
        <v>1203.943</v>
      </c>
      <c r="Y97" s="234">
        <v>1264.415</v>
      </c>
      <c r="Z97" s="234">
        <v>336.79570000000001</v>
      </c>
      <c r="AA97" s="234">
        <v>1487.4780000000001</v>
      </c>
      <c r="AB97" s="234">
        <v>200.46090000000001</v>
      </c>
      <c r="AC97" s="234">
        <v>871.24480000000005</v>
      </c>
      <c r="AD97" s="234">
        <v>347.38889999999998</v>
      </c>
      <c r="AE97" s="234">
        <v>396.99790000000002</v>
      </c>
      <c r="AF97" s="234">
        <v>37978.050000000003</v>
      </c>
      <c r="AG97" s="234">
        <v>9654.4860000000008</v>
      </c>
      <c r="AH97" s="234">
        <v>55928.160000000003</v>
      </c>
      <c r="AI97" s="234">
        <v>30472.54</v>
      </c>
      <c r="AJ97" s="234">
        <v>17111.32</v>
      </c>
      <c r="AK97" s="234">
        <v>31998.82</v>
      </c>
      <c r="AL97" s="234">
        <v>174935.8</v>
      </c>
      <c r="AM97" s="234">
        <v>20803.73</v>
      </c>
      <c r="AN97" s="234">
        <v>15949.87</v>
      </c>
      <c r="AO97" s="234">
        <v>57444.85</v>
      </c>
      <c r="AP97" s="234">
        <v>61562.78</v>
      </c>
      <c r="AQ97" s="234">
        <v>14052.69</v>
      </c>
      <c r="AR97" s="234">
        <v>22358.47</v>
      </c>
      <c r="AS97" s="234">
        <v>281258.09999999998</v>
      </c>
      <c r="AT97" s="234">
        <v>266012.90000000002</v>
      </c>
      <c r="AU97" s="234">
        <v>334472</v>
      </c>
      <c r="AV97" s="234">
        <v>77406.509999999995</v>
      </c>
      <c r="AW97" s="234">
        <v>82923.289999999994</v>
      </c>
      <c r="AX97" s="234">
        <v>9105.7780000000002</v>
      </c>
      <c r="AY97" s="234">
        <v>2245.0129999999999</v>
      </c>
      <c r="AZ97" s="234">
        <v>373720.4</v>
      </c>
      <c r="BA97" s="234">
        <v>18396.54</v>
      </c>
      <c r="BB97" s="234">
        <v>48959</v>
      </c>
      <c r="BC97" s="234">
        <v>43851</v>
      </c>
      <c r="BD97" s="234">
        <v>10692</v>
      </c>
      <c r="BE97" s="234" t="s">
        <v>34</v>
      </c>
      <c r="BF97" s="234">
        <v>0.93743806646525696</v>
      </c>
      <c r="BG97" s="234">
        <v>2</v>
      </c>
      <c r="BH97" s="234">
        <v>-103540</v>
      </c>
      <c r="BI97" s="234">
        <v>0</v>
      </c>
      <c r="BJ97" s="234">
        <v>1</v>
      </c>
      <c r="BK97" s="234">
        <v>0</v>
      </c>
      <c r="BL97" s="234">
        <v>0</v>
      </c>
      <c r="BM97" s="234">
        <v>0</v>
      </c>
      <c r="BN97" s="234">
        <f>IF(ECON_OUTPUT!BE97="Other",1,0)</f>
        <v>0</v>
      </c>
    </row>
    <row r="98" spans="1:66" x14ac:dyDescent="0.25">
      <c r="A98" s="234">
        <v>97</v>
      </c>
      <c r="B98" s="234" t="s">
        <v>1764</v>
      </c>
      <c r="C98" s="234" t="s">
        <v>983</v>
      </c>
      <c r="D98" s="234" t="s">
        <v>985</v>
      </c>
      <c r="E98" s="235">
        <v>42844</v>
      </c>
      <c r="F98" s="234" t="s">
        <v>1753</v>
      </c>
      <c r="G98" s="234">
        <v>30360000</v>
      </c>
      <c r="H98" s="234">
        <v>32920674</v>
      </c>
      <c r="I98" s="234">
        <v>8.4343676000000006E-2</v>
      </c>
      <c r="J98" s="234" t="s">
        <v>464</v>
      </c>
      <c r="K98" s="234">
        <v>3</v>
      </c>
      <c r="L98" s="234" t="s">
        <v>25</v>
      </c>
      <c r="M98" s="234">
        <v>2</v>
      </c>
      <c r="N98" s="234" t="s">
        <v>459</v>
      </c>
      <c r="O98" s="234" t="s">
        <v>1284</v>
      </c>
      <c r="P98" s="234" t="s">
        <v>1754</v>
      </c>
      <c r="Q98" s="234">
        <v>43958640</v>
      </c>
      <c r="R98" s="234">
        <v>267.76459999999997</v>
      </c>
      <c r="S98" s="234">
        <v>279.66809999999998</v>
      </c>
      <c r="T98" s="234">
        <v>367.03910000000002</v>
      </c>
      <c r="U98" s="234">
        <v>1793.2719999999999</v>
      </c>
      <c r="V98" s="234">
        <v>2245.0129999999999</v>
      </c>
      <c r="W98" s="234">
        <v>557.07439999999997</v>
      </c>
      <c r="X98" s="234">
        <v>1203.943</v>
      </c>
      <c r="Y98" s="234">
        <v>1264.415</v>
      </c>
      <c r="Z98" s="234">
        <v>336.79570000000001</v>
      </c>
      <c r="AA98" s="234">
        <v>1487.4780000000001</v>
      </c>
      <c r="AB98" s="234">
        <v>200.46090000000001</v>
      </c>
      <c r="AC98" s="234">
        <v>871.24480000000005</v>
      </c>
      <c r="AD98" s="234">
        <v>347.38889999999998</v>
      </c>
      <c r="AE98" s="234">
        <v>396.99790000000002</v>
      </c>
      <c r="AF98" s="234">
        <v>37978.050000000003</v>
      </c>
      <c r="AG98" s="234">
        <v>9654.4860000000008</v>
      </c>
      <c r="AH98" s="234">
        <v>55928.160000000003</v>
      </c>
      <c r="AI98" s="234">
        <v>30472.54</v>
      </c>
      <c r="AJ98" s="234">
        <v>17111.32</v>
      </c>
      <c r="AK98" s="234">
        <v>31998.82</v>
      </c>
      <c r="AL98" s="234">
        <v>174935.8</v>
      </c>
      <c r="AM98" s="234">
        <v>20803.73</v>
      </c>
      <c r="AN98" s="234">
        <v>15949.87</v>
      </c>
      <c r="AO98" s="234">
        <v>57444.85</v>
      </c>
      <c r="AP98" s="234">
        <v>61562.78</v>
      </c>
      <c r="AQ98" s="234">
        <v>14052.69</v>
      </c>
      <c r="AR98" s="234">
        <v>22358.47</v>
      </c>
      <c r="AS98" s="234">
        <v>281258.09999999998</v>
      </c>
      <c r="AT98" s="234">
        <v>266012.90000000002</v>
      </c>
      <c r="AU98" s="234">
        <v>334472</v>
      </c>
      <c r="AV98" s="234">
        <v>77406.509999999995</v>
      </c>
      <c r="AW98" s="234">
        <v>82923.289999999994</v>
      </c>
      <c r="AX98" s="234">
        <v>9105.7780000000002</v>
      </c>
      <c r="AY98" s="234">
        <v>2245.0129999999999</v>
      </c>
      <c r="AZ98" s="234">
        <v>373720.4</v>
      </c>
      <c r="BA98" s="234">
        <v>18396.54</v>
      </c>
      <c r="BB98" s="234">
        <v>48959</v>
      </c>
      <c r="BC98" s="234">
        <v>43851</v>
      </c>
      <c r="BD98" s="234">
        <v>10692</v>
      </c>
      <c r="BE98" s="234" t="s">
        <v>1753</v>
      </c>
      <c r="BF98" s="234">
        <v>1.4479130434782601</v>
      </c>
      <c r="BG98" s="234">
        <v>5</v>
      </c>
      <c r="BH98" s="234">
        <v>13598640</v>
      </c>
      <c r="BI98" s="234">
        <v>0</v>
      </c>
      <c r="BJ98" s="234">
        <v>0</v>
      </c>
      <c r="BK98" s="234">
        <v>0</v>
      </c>
      <c r="BL98" s="234">
        <v>0</v>
      </c>
      <c r="BM98" s="234">
        <v>1</v>
      </c>
      <c r="BN98" s="234">
        <f>IF(ECON_OUTPUT!BE98="Other",1,0)</f>
        <v>1</v>
      </c>
    </row>
    <row r="99" spans="1:66" x14ac:dyDescent="0.25">
      <c r="A99" s="234">
        <v>98</v>
      </c>
      <c r="B99" s="234" t="s">
        <v>1764</v>
      </c>
      <c r="C99" s="234" t="s">
        <v>981</v>
      </c>
      <c r="D99" s="234" t="s">
        <v>982</v>
      </c>
      <c r="E99" s="235">
        <v>42844</v>
      </c>
      <c r="F99" s="234" t="s">
        <v>1753</v>
      </c>
      <c r="G99" s="234">
        <v>18870000</v>
      </c>
      <c r="H99" s="234">
        <v>19910000</v>
      </c>
      <c r="I99" s="234">
        <v>5.5113937000000002E-2</v>
      </c>
      <c r="J99" s="234" t="s">
        <v>464</v>
      </c>
      <c r="K99" s="234">
        <v>3</v>
      </c>
      <c r="L99" s="234" t="s">
        <v>25</v>
      </c>
      <c r="M99" s="234">
        <v>2</v>
      </c>
      <c r="N99" s="234" t="s">
        <v>458</v>
      </c>
      <c r="O99" s="234" t="s">
        <v>1286</v>
      </c>
      <c r="P99" s="234" t="s">
        <v>1750</v>
      </c>
      <c r="Q99" s="234">
        <v>20782135</v>
      </c>
      <c r="R99" s="234">
        <v>267.76459999999997</v>
      </c>
      <c r="S99" s="234">
        <v>279.66809999999998</v>
      </c>
      <c r="T99" s="234">
        <v>367.03910000000002</v>
      </c>
      <c r="U99" s="234">
        <v>1793.2719999999999</v>
      </c>
      <c r="V99" s="234">
        <v>2245.0129999999999</v>
      </c>
      <c r="W99" s="234">
        <v>557.07439999999997</v>
      </c>
      <c r="X99" s="234">
        <v>1203.943</v>
      </c>
      <c r="Y99" s="234">
        <v>1264.415</v>
      </c>
      <c r="Z99" s="234">
        <v>336.79570000000001</v>
      </c>
      <c r="AA99" s="234">
        <v>1487.4780000000001</v>
      </c>
      <c r="AB99" s="234">
        <v>200.46090000000001</v>
      </c>
      <c r="AC99" s="234">
        <v>871.24480000000005</v>
      </c>
      <c r="AD99" s="234">
        <v>347.38889999999998</v>
      </c>
      <c r="AE99" s="234">
        <v>396.99790000000002</v>
      </c>
      <c r="AF99" s="234">
        <v>37978.050000000003</v>
      </c>
      <c r="AG99" s="234">
        <v>9654.4860000000008</v>
      </c>
      <c r="AH99" s="234">
        <v>55928.160000000003</v>
      </c>
      <c r="AI99" s="234">
        <v>30472.54</v>
      </c>
      <c r="AJ99" s="234">
        <v>17111.32</v>
      </c>
      <c r="AK99" s="234">
        <v>31998.82</v>
      </c>
      <c r="AL99" s="234">
        <v>174935.8</v>
      </c>
      <c r="AM99" s="234">
        <v>20803.73</v>
      </c>
      <c r="AN99" s="234">
        <v>15949.87</v>
      </c>
      <c r="AO99" s="234">
        <v>57444.85</v>
      </c>
      <c r="AP99" s="234">
        <v>61562.78</v>
      </c>
      <c r="AQ99" s="234">
        <v>14052.69</v>
      </c>
      <c r="AR99" s="234">
        <v>22358.47</v>
      </c>
      <c r="AS99" s="234">
        <v>281258.09999999998</v>
      </c>
      <c r="AT99" s="234">
        <v>266012.90000000002</v>
      </c>
      <c r="AU99" s="234">
        <v>334472</v>
      </c>
      <c r="AV99" s="234">
        <v>77406.509999999995</v>
      </c>
      <c r="AW99" s="234">
        <v>82923.289999999994</v>
      </c>
      <c r="AX99" s="234">
        <v>9105.7780000000002</v>
      </c>
      <c r="AY99" s="234">
        <v>2245.0129999999999</v>
      </c>
      <c r="AZ99" s="234">
        <v>373720.4</v>
      </c>
      <c r="BA99" s="234">
        <v>18396.54</v>
      </c>
      <c r="BB99" s="234">
        <v>48959</v>
      </c>
      <c r="BC99" s="234">
        <v>43851</v>
      </c>
      <c r="BD99" s="234">
        <v>10692</v>
      </c>
      <c r="BE99" s="234" t="s">
        <v>1753</v>
      </c>
      <c r="BF99" s="234">
        <v>1.1013320084790701</v>
      </c>
      <c r="BG99" s="234">
        <v>5</v>
      </c>
      <c r="BH99" s="234">
        <v>1912135</v>
      </c>
      <c r="BI99" s="234">
        <v>0</v>
      </c>
      <c r="BJ99" s="234">
        <v>0</v>
      </c>
      <c r="BK99" s="234">
        <v>0</v>
      </c>
      <c r="BL99" s="234">
        <v>0</v>
      </c>
      <c r="BM99" s="234">
        <v>1</v>
      </c>
      <c r="BN99" s="234">
        <f>IF(ECON_OUTPUT!BE99="Other",1,0)</f>
        <v>1</v>
      </c>
    </row>
    <row r="100" spans="1:66" x14ac:dyDescent="0.25">
      <c r="A100" s="234">
        <v>99</v>
      </c>
      <c r="B100" s="234" t="s">
        <v>1764</v>
      </c>
      <c r="C100" s="234" t="s">
        <v>989</v>
      </c>
      <c r="D100" s="234" t="s">
        <v>879</v>
      </c>
      <c r="E100" s="235">
        <v>42845</v>
      </c>
      <c r="F100" s="234" t="s">
        <v>177</v>
      </c>
      <c r="G100" s="234">
        <v>2625000</v>
      </c>
      <c r="H100" s="234">
        <v>2472675</v>
      </c>
      <c r="I100" s="234">
        <v>-5.8028571000000001E-2</v>
      </c>
      <c r="J100" s="234" t="s">
        <v>464</v>
      </c>
      <c r="K100" s="234">
        <v>6</v>
      </c>
      <c r="L100" s="234" t="s">
        <v>25</v>
      </c>
      <c r="M100" s="234">
        <v>2</v>
      </c>
      <c r="N100" s="234" t="s">
        <v>492</v>
      </c>
      <c r="O100" s="234" t="s">
        <v>1283</v>
      </c>
      <c r="P100" s="234" t="s">
        <v>1755</v>
      </c>
      <c r="Q100" s="234">
        <v>2533850</v>
      </c>
      <c r="R100" s="234">
        <v>267.76459999999997</v>
      </c>
      <c r="S100" s="234">
        <v>279.66809999999998</v>
      </c>
      <c r="T100" s="234">
        <v>367.03910000000002</v>
      </c>
      <c r="U100" s="234">
        <v>1793.2719999999999</v>
      </c>
      <c r="V100" s="234">
        <v>2245.0129999999999</v>
      </c>
      <c r="W100" s="234">
        <v>557.07439999999997</v>
      </c>
      <c r="X100" s="234">
        <v>1203.943</v>
      </c>
      <c r="Y100" s="234">
        <v>1264.415</v>
      </c>
      <c r="Z100" s="234">
        <v>336.79570000000001</v>
      </c>
      <c r="AA100" s="234">
        <v>1487.4780000000001</v>
      </c>
      <c r="AB100" s="234">
        <v>200.46090000000001</v>
      </c>
      <c r="AC100" s="234">
        <v>871.24480000000005</v>
      </c>
      <c r="AD100" s="234">
        <v>347.38889999999998</v>
      </c>
      <c r="AE100" s="234">
        <v>396.99790000000002</v>
      </c>
      <c r="AF100" s="234">
        <v>37978.050000000003</v>
      </c>
      <c r="AG100" s="234">
        <v>9654.4860000000008</v>
      </c>
      <c r="AH100" s="234">
        <v>55928.160000000003</v>
      </c>
      <c r="AI100" s="234">
        <v>30472.54</v>
      </c>
      <c r="AJ100" s="234">
        <v>17111.32</v>
      </c>
      <c r="AK100" s="234">
        <v>31998.82</v>
      </c>
      <c r="AL100" s="234">
        <v>174935.8</v>
      </c>
      <c r="AM100" s="234">
        <v>20803.73</v>
      </c>
      <c r="AN100" s="234">
        <v>15949.87</v>
      </c>
      <c r="AO100" s="234">
        <v>57444.85</v>
      </c>
      <c r="AP100" s="234">
        <v>61562.78</v>
      </c>
      <c r="AQ100" s="234">
        <v>14052.69</v>
      </c>
      <c r="AR100" s="234">
        <v>22358.47</v>
      </c>
      <c r="AS100" s="234">
        <v>281258.09999999998</v>
      </c>
      <c r="AT100" s="234">
        <v>266012.90000000002</v>
      </c>
      <c r="AU100" s="234">
        <v>334472</v>
      </c>
      <c r="AV100" s="234">
        <v>77406.509999999995</v>
      </c>
      <c r="AW100" s="234">
        <v>82923.289999999994</v>
      </c>
      <c r="AX100" s="234">
        <v>9105.7780000000002</v>
      </c>
      <c r="AY100" s="234">
        <v>2245.0129999999999</v>
      </c>
      <c r="AZ100" s="234">
        <v>373720.4</v>
      </c>
      <c r="BA100" s="234">
        <v>18396.54</v>
      </c>
      <c r="BB100" s="234">
        <v>48959</v>
      </c>
      <c r="BC100" s="234">
        <v>43851</v>
      </c>
      <c r="BD100" s="234">
        <v>10692</v>
      </c>
      <c r="BE100" s="234" t="s">
        <v>1753</v>
      </c>
      <c r="BF100" s="234">
        <v>0.96527619047619095</v>
      </c>
      <c r="BG100" s="234">
        <v>3</v>
      </c>
      <c r="BH100" s="234">
        <v>-91150</v>
      </c>
      <c r="BI100" s="234">
        <v>0</v>
      </c>
      <c r="BJ100" s="234">
        <v>0</v>
      </c>
      <c r="BK100" s="234">
        <v>1</v>
      </c>
      <c r="BL100" s="234">
        <v>0</v>
      </c>
      <c r="BM100" s="234">
        <v>0</v>
      </c>
      <c r="BN100" s="234">
        <f>IF(ECON_OUTPUT!BE100="Other",1,0)</f>
        <v>1</v>
      </c>
    </row>
    <row r="101" spans="1:66" x14ac:dyDescent="0.25">
      <c r="A101" s="234">
        <v>100</v>
      </c>
      <c r="B101" s="234" t="s">
        <v>1764</v>
      </c>
      <c r="C101" s="234" t="s">
        <v>987</v>
      </c>
      <c r="D101" s="234" t="s">
        <v>988</v>
      </c>
      <c r="E101" s="235">
        <v>42845</v>
      </c>
      <c r="F101" s="234" t="s">
        <v>34</v>
      </c>
      <c r="G101" s="234">
        <v>1520000</v>
      </c>
      <c r="H101" s="234">
        <v>994200</v>
      </c>
      <c r="I101" s="234">
        <v>-0.34592105299999998</v>
      </c>
      <c r="J101" s="234" t="s">
        <v>464</v>
      </c>
      <c r="K101" s="234">
        <v>4</v>
      </c>
      <c r="L101" s="234" t="s">
        <v>25</v>
      </c>
      <c r="M101" s="234">
        <v>2</v>
      </c>
      <c r="N101" s="234" t="s">
        <v>492</v>
      </c>
      <c r="O101" s="234" t="s">
        <v>1285</v>
      </c>
      <c r="P101" s="234" t="s">
        <v>1750</v>
      </c>
      <c r="Q101" s="234">
        <v>1248000</v>
      </c>
      <c r="R101" s="234">
        <v>267.76459999999997</v>
      </c>
      <c r="S101" s="234">
        <v>279.66809999999998</v>
      </c>
      <c r="T101" s="234">
        <v>367.03910000000002</v>
      </c>
      <c r="U101" s="234">
        <v>1793.2719999999999</v>
      </c>
      <c r="V101" s="234">
        <v>2245.0129999999999</v>
      </c>
      <c r="W101" s="234">
        <v>557.07439999999997</v>
      </c>
      <c r="X101" s="234">
        <v>1203.943</v>
      </c>
      <c r="Y101" s="234">
        <v>1264.415</v>
      </c>
      <c r="Z101" s="234">
        <v>336.79570000000001</v>
      </c>
      <c r="AA101" s="234">
        <v>1487.4780000000001</v>
      </c>
      <c r="AB101" s="234">
        <v>200.46090000000001</v>
      </c>
      <c r="AC101" s="234">
        <v>871.24480000000005</v>
      </c>
      <c r="AD101" s="234">
        <v>347.38889999999998</v>
      </c>
      <c r="AE101" s="234">
        <v>396.99790000000002</v>
      </c>
      <c r="AF101" s="234">
        <v>37978.050000000003</v>
      </c>
      <c r="AG101" s="234">
        <v>9654.4860000000008</v>
      </c>
      <c r="AH101" s="234">
        <v>55928.160000000003</v>
      </c>
      <c r="AI101" s="234">
        <v>30472.54</v>
      </c>
      <c r="AJ101" s="234">
        <v>17111.32</v>
      </c>
      <c r="AK101" s="234">
        <v>31998.82</v>
      </c>
      <c r="AL101" s="234">
        <v>174935.8</v>
      </c>
      <c r="AM101" s="234">
        <v>20803.73</v>
      </c>
      <c r="AN101" s="234">
        <v>15949.87</v>
      </c>
      <c r="AO101" s="234">
        <v>57444.85</v>
      </c>
      <c r="AP101" s="234">
        <v>61562.78</v>
      </c>
      <c r="AQ101" s="234">
        <v>14052.69</v>
      </c>
      <c r="AR101" s="234">
        <v>22358.47</v>
      </c>
      <c r="AS101" s="234">
        <v>281258.09999999998</v>
      </c>
      <c r="AT101" s="234">
        <v>266012.90000000002</v>
      </c>
      <c r="AU101" s="234">
        <v>334472</v>
      </c>
      <c r="AV101" s="234">
        <v>77406.509999999995</v>
      </c>
      <c r="AW101" s="234">
        <v>82923.289999999994</v>
      </c>
      <c r="AX101" s="234">
        <v>9105.7780000000002</v>
      </c>
      <c r="AY101" s="234">
        <v>2245.0129999999999</v>
      </c>
      <c r="AZ101" s="234">
        <v>373720.4</v>
      </c>
      <c r="BA101" s="234">
        <v>18396.54</v>
      </c>
      <c r="BB101" s="234">
        <v>48959</v>
      </c>
      <c r="BC101" s="234">
        <v>43851</v>
      </c>
      <c r="BD101" s="234">
        <v>10692</v>
      </c>
      <c r="BE101" s="234" t="s">
        <v>34</v>
      </c>
      <c r="BF101" s="234">
        <v>0.82105263157894703</v>
      </c>
      <c r="BG101" s="234">
        <v>1</v>
      </c>
      <c r="BH101" s="234">
        <v>-272000</v>
      </c>
      <c r="BI101" s="234">
        <v>1</v>
      </c>
      <c r="BJ101" s="234">
        <v>0</v>
      </c>
      <c r="BK101" s="234">
        <v>0</v>
      </c>
      <c r="BL101" s="234">
        <v>0</v>
      </c>
      <c r="BM101" s="234">
        <v>0</v>
      </c>
      <c r="BN101" s="234">
        <f>IF(ECON_OUTPUT!BE101="Other",1,0)</f>
        <v>0</v>
      </c>
    </row>
    <row r="102" spans="1:66" x14ac:dyDescent="0.25">
      <c r="A102" s="234">
        <v>101</v>
      </c>
      <c r="B102" s="234" t="s">
        <v>1764</v>
      </c>
      <c r="C102" s="234" t="s">
        <v>986</v>
      </c>
      <c r="D102" s="234" t="s">
        <v>982</v>
      </c>
      <c r="E102" s="235">
        <v>42845</v>
      </c>
      <c r="F102" s="234" t="s">
        <v>1753</v>
      </c>
      <c r="G102" s="234">
        <v>12630000</v>
      </c>
      <c r="H102" s="234">
        <v>10849023</v>
      </c>
      <c r="I102" s="234">
        <v>-0.14101163899999999</v>
      </c>
      <c r="J102" s="234" t="s">
        <v>464</v>
      </c>
      <c r="K102" s="234">
        <v>2</v>
      </c>
      <c r="L102" s="234" t="s">
        <v>25</v>
      </c>
      <c r="M102" s="234">
        <v>2</v>
      </c>
      <c r="N102" s="234" t="s">
        <v>458</v>
      </c>
      <c r="O102" s="234" t="s">
        <v>1286</v>
      </c>
      <c r="P102" s="234" t="s">
        <v>1750</v>
      </c>
      <c r="Q102" s="234">
        <v>16000000</v>
      </c>
      <c r="R102" s="234">
        <v>267.76459999999997</v>
      </c>
      <c r="S102" s="234">
        <v>279.66809999999998</v>
      </c>
      <c r="T102" s="234">
        <v>367.03910000000002</v>
      </c>
      <c r="U102" s="234">
        <v>1793.2719999999999</v>
      </c>
      <c r="V102" s="234">
        <v>2245.0129999999999</v>
      </c>
      <c r="W102" s="234">
        <v>557.07439999999997</v>
      </c>
      <c r="X102" s="234">
        <v>1203.943</v>
      </c>
      <c r="Y102" s="234">
        <v>1264.415</v>
      </c>
      <c r="Z102" s="234">
        <v>336.79570000000001</v>
      </c>
      <c r="AA102" s="234">
        <v>1487.4780000000001</v>
      </c>
      <c r="AB102" s="234">
        <v>200.46090000000001</v>
      </c>
      <c r="AC102" s="234">
        <v>871.24480000000005</v>
      </c>
      <c r="AD102" s="234">
        <v>347.38889999999998</v>
      </c>
      <c r="AE102" s="234">
        <v>396.99790000000002</v>
      </c>
      <c r="AF102" s="234">
        <v>37978.050000000003</v>
      </c>
      <c r="AG102" s="234">
        <v>9654.4860000000008</v>
      </c>
      <c r="AH102" s="234">
        <v>55928.160000000003</v>
      </c>
      <c r="AI102" s="234">
        <v>30472.54</v>
      </c>
      <c r="AJ102" s="234">
        <v>17111.32</v>
      </c>
      <c r="AK102" s="234">
        <v>31998.82</v>
      </c>
      <c r="AL102" s="234">
        <v>174935.8</v>
      </c>
      <c r="AM102" s="234">
        <v>20803.73</v>
      </c>
      <c r="AN102" s="234">
        <v>15949.87</v>
      </c>
      <c r="AO102" s="234">
        <v>57444.85</v>
      </c>
      <c r="AP102" s="234">
        <v>61562.78</v>
      </c>
      <c r="AQ102" s="234">
        <v>14052.69</v>
      </c>
      <c r="AR102" s="234">
        <v>22358.47</v>
      </c>
      <c r="AS102" s="234">
        <v>281258.09999999998</v>
      </c>
      <c r="AT102" s="234">
        <v>266012.90000000002</v>
      </c>
      <c r="AU102" s="234">
        <v>334472</v>
      </c>
      <c r="AV102" s="234">
        <v>77406.509999999995</v>
      </c>
      <c r="AW102" s="234">
        <v>82923.289999999994</v>
      </c>
      <c r="AX102" s="234">
        <v>9105.7780000000002</v>
      </c>
      <c r="AY102" s="234">
        <v>2245.0129999999999</v>
      </c>
      <c r="AZ102" s="234">
        <v>373720.4</v>
      </c>
      <c r="BA102" s="234">
        <v>18396.54</v>
      </c>
      <c r="BB102" s="234">
        <v>48959</v>
      </c>
      <c r="BC102" s="234">
        <v>43851</v>
      </c>
      <c r="BD102" s="234">
        <v>10692</v>
      </c>
      <c r="BE102" s="234" t="s">
        <v>1753</v>
      </c>
      <c r="BF102" s="234">
        <v>1.26682501979414</v>
      </c>
      <c r="BG102" s="234">
        <v>5</v>
      </c>
      <c r="BH102" s="234">
        <v>3370000</v>
      </c>
      <c r="BI102" s="234">
        <v>0</v>
      </c>
      <c r="BJ102" s="234">
        <v>0</v>
      </c>
      <c r="BK102" s="234">
        <v>0</v>
      </c>
      <c r="BL102" s="234">
        <v>0</v>
      </c>
      <c r="BM102" s="234">
        <v>1</v>
      </c>
      <c r="BN102" s="234">
        <f>IF(ECON_OUTPUT!BE102="Other",1,0)</f>
        <v>1</v>
      </c>
    </row>
    <row r="103" spans="1:66" x14ac:dyDescent="0.25">
      <c r="A103" s="234">
        <v>102</v>
      </c>
      <c r="B103" s="234" t="s">
        <v>1764</v>
      </c>
      <c r="C103" s="234" t="s">
        <v>991</v>
      </c>
      <c r="D103" s="234" t="s">
        <v>992</v>
      </c>
      <c r="E103" s="235">
        <v>42846</v>
      </c>
      <c r="F103" s="234" t="s">
        <v>34</v>
      </c>
      <c r="G103" s="234">
        <v>2060000</v>
      </c>
      <c r="H103" s="234">
        <v>2614625</v>
      </c>
      <c r="I103" s="234">
        <v>0.26923543700000002</v>
      </c>
      <c r="J103" s="234" t="s">
        <v>465</v>
      </c>
      <c r="K103" s="234">
        <v>5</v>
      </c>
      <c r="L103" s="234" t="s">
        <v>226</v>
      </c>
      <c r="M103" s="234">
        <v>2</v>
      </c>
      <c r="N103" s="234" t="s">
        <v>457</v>
      </c>
      <c r="O103" s="234" t="s">
        <v>1282</v>
      </c>
      <c r="P103" s="234" t="s">
        <v>1755</v>
      </c>
      <c r="Q103" s="234">
        <v>2847400</v>
      </c>
      <c r="R103" s="234">
        <v>267.76459999999997</v>
      </c>
      <c r="S103" s="234">
        <v>279.66809999999998</v>
      </c>
      <c r="T103" s="234">
        <v>367.03910000000002</v>
      </c>
      <c r="U103" s="234">
        <v>1793.2719999999999</v>
      </c>
      <c r="V103" s="234">
        <v>2245.0129999999999</v>
      </c>
      <c r="W103" s="234">
        <v>557.07439999999997</v>
      </c>
      <c r="X103" s="234">
        <v>1203.943</v>
      </c>
      <c r="Y103" s="234">
        <v>1264.415</v>
      </c>
      <c r="Z103" s="234">
        <v>336.79570000000001</v>
      </c>
      <c r="AA103" s="234">
        <v>1487.4780000000001</v>
      </c>
      <c r="AB103" s="234">
        <v>200.46090000000001</v>
      </c>
      <c r="AC103" s="234">
        <v>871.24480000000005</v>
      </c>
      <c r="AD103" s="234">
        <v>347.38889999999998</v>
      </c>
      <c r="AE103" s="234">
        <v>396.99790000000002</v>
      </c>
      <c r="AF103" s="234">
        <v>37978.050000000003</v>
      </c>
      <c r="AG103" s="234">
        <v>9654.4860000000008</v>
      </c>
      <c r="AH103" s="234">
        <v>55928.160000000003</v>
      </c>
      <c r="AI103" s="234">
        <v>30472.54</v>
      </c>
      <c r="AJ103" s="234">
        <v>17111.32</v>
      </c>
      <c r="AK103" s="234">
        <v>31998.82</v>
      </c>
      <c r="AL103" s="234">
        <v>174935.8</v>
      </c>
      <c r="AM103" s="234">
        <v>20803.73</v>
      </c>
      <c r="AN103" s="234">
        <v>15949.87</v>
      </c>
      <c r="AO103" s="234">
        <v>57444.85</v>
      </c>
      <c r="AP103" s="234">
        <v>61562.78</v>
      </c>
      <c r="AQ103" s="234">
        <v>14052.69</v>
      </c>
      <c r="AR103" s="234">
        <v>22358.47</v>
      </c>
      <c r="AS103" s="234">
        <v>281258.09999999998</v>
      </c>
      <c r="AT103" s="234">
        <v>266012.90000000002</v>
      </c>
      <c r="AU103" s="234">
        <v>334472</v>
      </c>
      <c r="AV103" s="234">
        <v>77406.509999999995</v>
      </c>
      <c r="AW103" s="234">
        <v>82923.289999999994</v>
      </c>
      <c r="AX103" s="234">
        <v>9105.7780000000002</v>
      </c>
      <c r="AY103" s="234">
        <v>2245.0129999999999</v>
      </c>
      <c r="AZ103" s="234">
        <v>373720.4</v>
      </c>
      <c r="BA103" s="234">
        <v>18396.54</v>
      </c>
      <c r="BB103" s="234">
        <v>48959</v>
      </c>
      <c r="BC103" s="234">
        <v>43851</v>
      </c>
      <c r="BD103" s="234">
        <v>10692</v>
      </c>
      <c r="BE103" s="234" t="s">
        <v>34</v>
      </c>
      <c r="BF103" s="234">
        <v>1.3822330097087401</v>
      </c>
      <c r="BG103" s="234">
        <v>3</v>
      </c>
      <c r="BH103" s="234">
        <v>787400</v>
      </c>
      <c r="BI103" s="234">
        <v>0</v>
      </c>
      <c r="BJ103" s="234">
        <v>0</v>
      </c>
      <c r="BK103" s="234">
        <v>1</v>
      </c>
      <c r="BL103" s="234">
        <v>0</v>
      </c>
      <c r="BM103" s="234">
        <v>0</v>
      </c>
      <c r="BN103" s="234">
        <f>IF(ECON_OUTPUT!BE103="Other",1,0)</f>
        <v>0</v>
      </c>
    </row>
    <row r="104" spans="1:66" x14ac:dyDescent="0.25">
      <c r="A104" s="234">
        <v>103</v>
      </c>
      <c r="B104" s="234" t="s">
        <v>1764</v>
      </c>
      <c r="C104" s="234" t="s">
        <v>995</v>
      </c>
      <c r="D104" s="234" t="s">
        <v>632</v>
      </c>
      <c r="E104" s="235">
        <v>42851</v>
      </c>
      <c r="F104" s="234" t="s">
        <v>1753</v>
      </c>
      <c r="G104" s="234">
        <v>3589000</v>
      </c>
      <c r="H104" s="234">
        <v>3875045</v>
      </c>
      <c r="I104" s="234">
        <v>7.9700473999999993E-2</v>
      </c>
      <c r="J104" s="234" t="s">
        <v>464</v>
      </c>
      <c r="K104" s="234">
        <v>3</v>
      </c>
      <c r="L104" s="234" t="s">
        <v>93</v>
      </c>
      <c r="M104" s="234">
        <v>2</v>
      </c>
      <c r="N104" s="234" t="s">
        <v>457</v>
      </c>
      <c r="O104" s="234" t="s">
        <v>1282</v>
      </c>
      <c r="P104" s="234" t="s">
        <v>1750</v>
      </c>
      <c r="Q104" s="234">
        <v>4090800</v>
      </c>
      <c r="R104" s="234">
        <v>267.76459999999997</v>
      </c>
      <c r="S104" s="234">
        <v>279.66809999999998</v>
      </c>
      <c r="T104" s="234">
        <v>367.03910000000002</v>
      </c>
      <c r="U104" s="234">
        <v>1793.2719999999999</v>
      </c>
      <c r="V104" s="234">
        <v>2245.0129999999999</v>
      </c>
      <c r="W104" s="234">
        <v>557.07439999999997</v>
      </c>
      <c r="X104" s="234">
        <v>1203.943</v>
      </c>
      <c r="Y104" s="234">
        <v>1264.415</v>
      </c>
      <c r="Z104" s="234">
        <v>336.79570000000001</v>
      </c>
      <c r="AA104" s="234">
        <v>1487.4780000000001</v>
      </c>
      <c r="AB104" s="234">
        <v>200.46090000000001</v>
      </c>
      <c r="AC104" s="234">
        <v>871.24480000000005</v>
      </c>
      <c r="AD104" s="234">
        <v>347.38889999999998</v>
      </c>
      <c r="AE104" s="234">
        <v>396.99790000000002</v>
      </c>
      <c r="AF104" s="234">
        <v>37978.050000000003</v>
      </c>
      <c r="AG104" s="234">
        <v>9654.4860000000008</v>
      </c>
      <c r="AH104" s="234">
        <v>55928.160000000003</v>
      </c>
      <c r="AI104" s="234">
        <v>30472.54</v>
      </c>
      <c r="AJ104" s="234">
        <v>17111.32</v>
      </c>
      <c r="AK104" s="234">
        <v>31998.82</v>
      </c>
      <c r="AL104" s="234">
        <v>174935.8</v>
      </c>
      <c r="AM104" s="234">
        <v>20803.73</v>
      </c>
      <c r="AN104" s="234">
        <v>15949.87</v>
      </c>
      <c r="AO104" s="234">
        <v>57444.85</v>
      </c>
      <c r="AP104" s="234">
        <v>61562.78</v>
      </c>
      <c r="AQ104" s="234">
        <v>14052.69</v>
      </c>
      <c r="AR104" s="234">
        <v>22358.47</v>
      </c>
      <c r="AS104" s="234">
        <v>281258.09999999998</v>
      </c>
      <c r="AT104" s="234">
        <v>266012.90000000002</v>
      </c>
      <c r="AU104" s="234">
        <v>334472</v>
      </c>
      <c r="AV104" s="234">
        <v>77406.509999999995</v>
      </c>
      <c r="AW104" s="234">
        <v>82923.289999999994</v>
      </c>
      <c r="AX104" s="234">
        <v>9105.7780000000002</v>
      </c>
      <c r="AY104" s="234">
        <v>2245.0129999999999</v>
      </c>
      <c r="AZ104" s="234">
        <v>373720.4</v>
      </c>
      <c r="BA104" s="234">
        <v>18396.54</v>
      </c>
      <c r="BB104" s="234">
        <v>48959</v>
      </c>
      <c r="BC104" s="234">
        <v>43851</v>
      </c>
      <c r="BD104" s="234">
        <v>10692</v>
      </c>
      <c r="BE104" s="234" t="s">
        <v>1753</v>
      </c>
      <c r="BF104" s="234">
        <v>1.1398161047645601</v>
      </c>
      <c r="BG104" s="234">
        <v>3</v>
      </c>
      <c r="BH104" s="234">
        <v>501800</v>
      </c>
      <c r="BI104" s="234">
        <v>0</v>
      </c>
      <c r="BJ104" s="234">
        <v>0</v>
      </c>
      <c r="BK104" s="234">
        <v>1</v>
      </c>
      <c r="BL104" s="234">
        <v>0</v>
      </c>
      <c r="BM104" s="234">
        <v>0</v>
      </c>
      <c r="BN104" s="234">
        <f>IF(ECON_OUTPUT!BE104="Other",1,0)</f>
        <v>1</v>
      </c>
    </row>
    <row r="105" spans="1:66" x14ac:dyDescent="0.25">
      <c r="A105" s="234">
        <v>104</v>
      </c>
      <c r="B105" s="234" t="s">
        <v>1764</v>
      </c>
      <c r="C105" s="234" t="s">
        <v>999</v>
      </c>
      <c r="D105" s="234" t="s">
        <v>1000</v>
      </c>
      <c r="E105" s="235">
        <v>42871</v>
      </c>
      <c r="F105" s="234" t="s">
        <v>34</v>
      </c>
      <c r="G105" s="234">
        <v>9000000</v>
      </c>
      <c r="H105" s="234">
        <v>10805265</v>
      </c>
      <c r="I105" s="234">
        <v>0.20058500000000001</v>
      </c>
      <c r="J105" s="234" t="s">
        <v>465</v>
      </c>
      <c r="K105" s="234">
        <v>2</v>
      </c>
      <c r="L105" s="234" t="s">
        <v>25</v>
      </c>
      <c r="M105" s="234">
        <v>2</v>
      </c>
      <c r="N105" s="234" t="s">
        <v>492</v>
      </c>
      <c r="O105" s="234" t="s">
        <v>1282</v>
      </c>
      <c r="P105" s="234" t="s">
        <v>1750</v>
      </c>
      <c r="Q105" s="234">
        <v>15298075</v>
      </c>
      <c r="R105" s="234">
        <v>267.76459999999997</v>
      </c>
      <c r="S105" s="234">
        <v>279.66809999999998</v>
      </c>
      <c r="T105" s="234">
        <v>367.03910000000002</v>
      </c>
      <c r="U105" s="234">
        <v>1793.2719999999999</v>
      </c>
      <c r="V105" s="234">
        <v>2245.0129999999999</v>
      </c>
      <c r="W105" s="234">
        <v>557.07439999999997</v>
      </c>
      <c r="X105" s="234">
        <v>1203.943</v>
      </c>
      <c r="Y105" s="234">
        <v>1264.415</v>
      </c>
      <c r="Z105" s="234">
        <v>336.79570000000001</v>
      </c>
      <c r="AA105" s="234">
        <v>1487.4780000000001</v>
      </c>
      <c r="AB105" s="234">
        <v>200.46090000000001</v>
      </c>
      <c r="AC105" s="234">
        <v>871.24480000000005</v>
      </c>
      <c r="AD105" s="234">
        <v>347.38889999999998</v>
      </c>
      <c r="AE105" s="234">
        <v>396.99790000000002</v>
      </c>
      <c r="AF105" s="234">
        <v>37978.050000000003</v>
      </c>
      <c r="AG105" s="234">
        <v>9654.4860000000008</v>
      </c>
      <c r="AH105" s="234">
        <v>55928.160000000003</v>
      </c>
      <c r="AI105" s="234">
        <v>30472.54</v>
      </c>
      <c r="AJ105" s="234">
        <v>17111.32</v>
      </c>
      <c r="AK105" s="234">
        <v>31998.82</v>
      </c>
      <c r="AL105" s="234">
        <v>174935.8</v>
      </c>
      <c r="AM105" s="234">
        <v>20803.73</v>
      </c>
      <c r="AN105" s="234">
        <v>15949.87</v>
      </c>
      <c r="AO105" s="234">
        <v>57444.85</v>
      </c>
      <c r="AP105" s="234">
        <v>61562.78</v>
      </c>
      <c r="AQ105" s="234">
        <v>14052.69</v>
      </c>
      <c r="AR105" s="234">
        <v>22358.47</v>
      </c>
      <c r="AS105" s="234">
        <v>281258.09999999998</v>
      </c>
      <c r="AT105" s="234">
        <v>266012.90000000002</v>
      </c>
      <c r="AU105" s="234">
        <v>334472</v>
      </c>
      <c r="AV105" s="234">
        <v>77406.509999999995</v>
      </c>
      <c r="AW105" s="234">
        <v>82923.289999999994</v>
      </c>
      <c r="AX105" s="234">
        <v>9105.7780000000002</v>
      </c>
      <c r="AY105" s="234">
        <v>2245.0129999999999</v>
      </c>
      <c r="AZ105" s="234">
        <v>373720.4</v>
      </c>
      <c r="BA105" s="234">
        <v>18396.54</v>
      </c>
      <c r="BB105" s="234">
        <v>48959</v>
      </c>
      <c r="BC105" s="234">
        <v>43851</v>
      </c>
      <c r="BD105" s="234">
        <v>10692</v>
      </c>
      <c r="BE105" s="234" t="s">
        <v>34</v>
      </c>
      <c r="BF105" s="234">
        <v>1.6997861111111101</v>
      </c>
      <c r="BG105" s="234">
        <v>5</v>
      </c>
      <c r="BH105" s="234">
        <v>6298075</v>
      </c>
      <c r="BI105" s="234">
        <v>0</v>
      </c>
      <c r="BJ105" s="234">
        <v>0</v>
      </c>
      <c r="BK105" s="234">
        <v>0</v>
      </c>
      <c r="BL105" s="234">
        <v>0</v>
      </c>
      <c r="BM105" s="234">
        <v>1</v>
      </c>
      <c r="BN105" s="234">
        <f>IF(ECON_OUTPUT!BE105="Other",1,0)</f>
        <v>0</v>
      </c>
    </row>
    <row r="106" spans="1:66" x14ac:dyDescent="0.25">
      <c r="A106" s="234">
        <v>105</v>
      </c>
      <c r="B106" s="234" t="s">
        <v>1764</v>
      </c>
      <c r="C106" s="234" t="s">
        <v>1001</v>
      </c>
      <c r="D106" s="234" t="s">
        <v>1008</v>
      </c>
      <c r="E106" s="235">
        <v>42872</v>
      </c>
      <c r="F106" s="234" t="s">
        <v>34</v>
      </c>
      <c r="G106" s="234">
        <v>5000000</v>
      </c>
      <c r="H106" s="234">
        <v>5210665</v>
      </c>
      <c r="I106" s="234">
        <v>4.2132999999999997E-2</v>
      </c>
      <c r="J106" s="234" t="s">
        <v>464</v>
      </c>
      <c r="K106" s="234">
        <v>9</v>
      </c>
      <c r="L106" s="234" t="s">
        <v>226</v>
      </c>
      <c r="M106" s="234">
        <v>2</v>
      </c>
      <c r="N106" s="234" t="s">
        <v>492</v>
      </c>
      <c r="O106" s="234" t="s">
        <v>1282</v>
      </c>
      <c r="P106" s="234" t="s">
        <v>1750</v>
      </c>
      <c r="Q106" s="234">
        <v>6078068</v>
      </c>
      <c r="R106" s="234">
        <v>267.76459999999997</v>
      </c>
      <c r="S106" s="234">
        <v>279.66809999999998</v>
      </c>
      <c r="T106" s="234">
        <v>367.03910000000002</v>
      </c>
      <c r="U106" s="234">
        <v>1793.2719999999999</v>
      </c>
      <c r="V106" s="234">
        <v>2245.0129999999999</v>
      </c>
      <c r="W106" s="234">
        <v>557.07439999999997</v>
      </c>
      <c r="X106" s="234">
        <v>1203.943</v>
      </c>
      <c r="Y106" s="234">
        <v>1264.415</v>
      </c>
      <c r="Z106" s="234">
        <v>336.79570000000001</v>
      </c>
      <c r="AA106" s="234">
        <v>1487.4780000000001</v>
      </c>
      <c r="AB106" s="234">
        <v>200.46090000000001</v>
      </c>
      <c r="AC106" s="234">
        <v>871.24480000000005</v>
      </c>
      <c r="AD106" s="234">
        <v>347.38889999999998</v>
      </c>
      <c r="AE106" s="234">
        <v>396.99790000000002</v>
      </c>
      <c r="AF106" s="234">
        <v>37978.050000000003</v>
      </c>
      <c r="AG106" s="234">
        <v>9654.4860000000008</v>
      </c>
      <c r="AH106" s="234">
        <v>55928.160000000003</v>
      </c>
      <c r="AI106" s="234">
        <v>30472.54</v>
      </c>
      <c r="AJ106" s="234">
        <v>17111.32</v>
      </c>
      <c r="AK106" s="234">
        <v>31998.82</v>
      </c>
      <c r="AL106" s="234">
        <v>174935.8</v>
      </c>
      <c r="AM106" s="234">
        <v>20803.73</v>
      </c>
      <c r="AN106" s="234">
        <v>15949.87</v>
      </c>
      <c r="AO106" s="234">
        <v>57444.85</v>
      </c>
      <c r="AP106" s="234">
        <v>61562.78</v>
      </c>
      <c r="AQ106" s="234">
        <v>14052.69</v>
      </c>
      <c r="AR106" s="234">
        <v>22358.47</v>
      </c>
      <c r="AS106" s="234">
        <v>281258.09999999998</v>
      </c>
      <c r="AT106" s="234">
        <v>266012.90000000002</v>
      </c>
      <c r="AU106" s="234">
        <v>334472</v>
      </c>
      <c r="AV106" s="234">
        <v>77406.509999999995</v>
      </c>
      <c r="AW106" s="234">
        <v>82923.289999999994</v>
      </c>
      <c r="AX106" s="234">
        <v>9105.7780000000002</v>
      </c>
      <c r="AY106" s="234">
        <v>2245.0129999999999</v>
      </c>
      <c r="AZ106" s="234">
        <v>373720.4</v>
      </c>
      <c r="BA106" s="234">
        <v>18396.54</v>
      </c>
      <c r="BB106" s="234">
        <v>48959</v>
      </c>
      <c r="BC106" s="234">
        <v>43851</v>
      </c>
      <c r="BD106" s="234">
        <v>10692</v>
      </c>
      <c r="BE106" s="234" t="s">
        <v>34</v>
      </c>
      <c r="BF106" s="234">
        <v>1.2156136</v>
      </c>
      <c r="BG106" s="234">
        <v>4</v>
      </c>
      <c r="BH106" s="234">
        <v>1078068</v>
      </c>
      <c r="BI106" s="234">
        <v>0</v>
      </c>
      <c r="BJ106" s="234">
        <v>0</v>
      </c>
      <c r="BK106" s="234">
        <v>0</v>
      </c>
      <c r="BL106" s="234">
        <v>1</v>
      </c>
      <c r="BM106" s="234">
        <v>0</v>
      </c>
      <c r="BN106" s="234">
        <f>IF(ECON_OUTPUT!BE106="Other",1,0)</f>
        <v>0</v>
      </c>
    </row>
    <row r="107" spans="1:66" x14ac:dyDescent="0.25">
      <c r="A107" s="234">
        <v>106</v>
      </c>
      <c r="B107" s="234" t="s">
        <v>1764</v>
      </c>
      <c r="C107" s="234" t="s">
        <v>1018</v>
      </c>
      <c r="D107" s="234" t="s">
        <v>1019</v>
      </c>
      <c r="E107" s="235">
        <v>42873</v>
      </c>
      <c r="F107" s="234" t="s">
        <v>1753</v>
      </c>
      <c r="G107" s="234">
        <v>29400000</v>
      </c>
      <c r="H107" s="234">
        <v>40981000</v>
      </c>
      <c r="I107" s="234">
        <v>0.39391156500000002</v>
      </c>
      <c r="J107" s="234" t="s">
        <v>465</v>
      </c>
      <c r="K107" s="234">
        <v>2</v>
      </c>
      <c r="L107" s="234" t="s">
        <v>25</v>
      </c>
      <c r="M107" s="234">
        <v>2</v>
      </c>
      <c r="N107" s="234" t="s">
        <v>459</v>
      </c>
      <c r="O107" s="234" t="s">
        <v>1284</v>
      </c>
      <c r="P107" s="234" t="s">
        <v>1754</v>
      </c>
      <c r="Q107" s="234">
        <v>45417000</v>
      </c>
      <c r="R107" s="234">
        <v>267.76459999999997</v>
      </c>
      <c r="S107" s="234">
        <v>279.66809999999998</v>
      </c>
      <c r="T107" s="234">
        <v>367.03910000000002</v>
      </c>
      <c r="U107" s="234">
        <v>1793.2719999999999</v>
      </c>
      <c r="V107" s="234">
        <v>2245.0129999999999</v>
      </c>
      <c r="W107" s="234">
        <v>557.07439999999997</v>
      </c>
      <c r="X107" s="234">
        <v>1203.943</v>
      </c>
      <c r="Y107" s="234">
        <v>1264.415</v>
      </c>
      <c r="Z107" s="234">
        <v>336.79570000000001</v>
      </c>
      <c r="AA107" s="234">
        <v>1487.4780000000001</v>
      </c>
      <c r="AB107" s="234">
        <v>200.46090000000001</v>
      </c>
      <c r="AC107" s="234">
        <v>871.24480000000005</v>
      </c>
      <c r="AD107" s="234">
        <v>347.38889999999998</v>
      </c>
      <c r="AE107" s="234">
        <v>396.99790000000002</v>
      </c>
      <c r="AF107" s="234">
        <v>37978.050000000003</v>
      </c>
      <c r="AG107" s="234">
        <v>9654.4860000000008</v>
      </c>
      <c r="AH107" s="234">
        <v>55928.160000000003</v>
      </c>
      <c r="AI107" s="234">
        <v>30472.54</v>
      </c>
      <c r="AJ107" s="234">
        <v>17111.32</v>
      </c>
      <c r="AK107" s="234">
        <v>31998.82</v>
      </c>
      <c r="AL107" s="234">
        <v>174935.8</v>
      </c>
      <c r="AM107" s="234">
        <v>20803.73</v>
      </c>
      <c r="AN107" s="234">
        <v>15949.87</v>
      </c>
      <c r="AO107" s="234">
        <v>57444.85</v>
      </c>
      <c r="AP107" s="234">
        <v>61562.78</v>
      </c>
      <c r="AQ107" s="234">
        <v>14052.69</v>
      </c>
      <c r="AR107" s="234">
        <v>22358.47</v>
      </c>
      <c r="AS107" s="234">
        <v>281258.09999999998</v>
      </c>
      <c r="AT107" s="234">
        <v>266012.90000000002</v>
      </c>
      <c r="AU107" s="234">
        <v>334472</v>
      </c>
      <c r="AV107" s="234">
        <v>77406.509999999995</v>
      </c>
      <c r="AW107" s="234">
        <v>82923.289999999994</v>
      </c>
      <c r="AX107" s="234">
        <v>9105.7780000000002</v>
      </c>
      <c r="AY107" s="234">
        <v>2245.0129999999999</v>
      </c>
      <c r="AZ107" s="234">
        <v>373720.4</v>
      </c>
      <c r="BA107" s="234">
        <v>18396.54</v>
      </c>
      <c r="BB107" s="234">
        <v>48959</v>
      </c>
      <c r="BC107" s="234">
        <v>43851</v>
      </c>
      <c r="BD107" s="234">
        <v>10692</v>
      </c>
      <c r="BE107" s="234" t="s">
        <v>1753</v>
      </c>
      <c r="BF107" s="234">
        <v>1.5447959183673501</v>
      </c>
      <c r="BG107" s="234">
        <v>5</v>
      </c>
      <c r="BH107" s="234">
        <v>16017000</v>
      </c>
      <c r="BI107" s="234">
        <v>0</v>
      </c>
      <c r="BJ107" s="234">
        <v>0</v>
      </c>
      <c r="BK107" s="234">
        <v>0</v>
      </c>
      <c r="BL107" s="234">
        <v>0</v>
      </c>
      <c r="BM107" s="234">
        <v>1</v>
      </c>
      <c r="BN107" s="234">
        <f>IF(ECON_OUTPUT!BE107="Other",1,0)</f>
        <v>1</v>
      </c>
    </row>
    <row r="108" spans="1:66" x14ac:dyDescent="0.25">
      <c r="A108" s="234">
        <v>107</v>
      </c>
      <c r="B108" s="234" t="s">
        <v>1764</v>
      </c>
      <c r="C108" s="234" t="s">
        <v>1009</v>
      </c>
      <c r="D108" s="234" t="s">
        <v>1010</v>
      </c>
      <c r="E108" s="235">
        <v>42880</v>
      </c>
      <c r="F108" s="234" t="s">
        <v>34</v>
      </c>
      <c r="G108" s="234">
        <v>2850000</v>
      </c>
      <c r="H108" s="234">
        <v>1808548</v>
      </c>
      <c r="I108" s="234">
        <v>-0.36542175399999999</v>
      </c>
      <c r="J108" s="234" t="s">
        <v>465</v>
      </c>
      <c r="K108" s="234">
        <v>11</v>
      </c>
      <c r="L108" s="234" t="s">
        <v>93</v>
      </c>
      <c r="M108" s="234">
        <v>2</v>
      </c>
      <c r="N108" s="234" t="s">
        <v>458</v>
      </c>
      <c r="O108" s="234" t="s">
        <v>1283</v>
      </c>
      <c r="P108" s="234" t="s">
        <v>1750</v>
      </c>
      <c r="Q108" s="234">
        <v>1922775</v>
      </c>
      <c r="R108" s="234">
        <v>267.76459999999997</v>
      </c>
      <c r="S108" s="234">
        <v>279.66809999999998</v>
      </c>
      <c r="T108" s="234">
        <v>367.03910000000002</v>
      </c>
      <c r="U108" s="234">
        <v>1793.2719999999999</v>
      </c>
      <c r="V108" s="234">
        <v>2245.0129999999999</v>
      </c>
      <c r="W108" s="234">
        <v>557.07439999999997</v>
      </c>
      <c r="X108" s="234">
        <v>1203.943</v>
      </c>
      <c r="Y108" s="234">
        <v>1264.415</v>
      </c>
      <c r="Z108" s="234">
        <v>336.79570000000001</v>
      </c>
      <c r="AA108" s="234">
        <v>1487.4780000000001</v>
      </c>
      <c r="AB108" s="234">
        <v>200.46090000000001</v>
      </c>
      <c r="AC108" s="234">
        <v>871.24480000000005</v>
      </c>
      <c r="AD108" s="234">
        <v>347.38889999999998</v>
      </c>
      <c r="AE108" s="234">
        <v>396.99790000000002</v>
      </c>
      <c r="AF108" s="234">
        <v>37978.050000000003</v>
      </c>
      <c r="AG108" s="234">
        <v>9654.4860000000008</v>
      </c>
      <c r="AH108" s="234">
        <v>55928.160000000003</v>
      </c>
      <c r="AI108" s="234">
        <v>30472.54</v>
      </c>
      <c r="AJ108" s="234">
        <v>17111.32</v>
      </c>
      <c r="AK108" s="234">
        <v>31998.82</v>
      </c>
      <c r="AL108" s="234">
        <v>174935.8</v>
      </c>
      <c r="AM108" s="234">
        <v>20803.73</v>
      </c>
      <c r="AN108" s="234">
        <v>15949.87</v>
      </c>
      <c r="AO108" s="234">
        <v>57444.85</v>
      </c>
      <c r="AP108" s="234">
        <v>61562.78</v>
      </c>
      <c r="AQ108" s="234">
        <v>14052.69</v>
      </c>
      <c r="AR108" s="234">
        <v>22358.47</v>
      </c>
      <c r="AS108" s="234">
        <v>281258.09999999998</v>
      </c>
      <c r="AT108" s="234">
        <v>266012.90000000002</v>
      </c>
      <c r="AU108" s="234">
        <v>334472</v>
      </c>
      <c r="AV108" s="234">
        <v>77406.509999999995</v>
      </c>
      <c r="AW108" s="234">
        <v>82923.289999999994</v>
      </c>
      <c r="AX108" s="234">
        <v>9105.7780000000002</v>
      </c>
      <c r="AY108" s="234">
        <v>2245.0129999999999</v>
      </c>
      <c r="AZ108" s="234">
        <v>373720.4</v>
      </c>
      <c r="BA108" s="234">
        <v>18396.54</v>
      </c>
      <c r="BB108" s="234">
        <v>48959</v>
      </c>
      <c r="BC108" s="234">
        <v>43851</v>
      </c>
      <c r="BD108" s="234">
        <v>10692</v>
      </c>
      <c r="BE108" s="234" t="s">
        <v>34</v>
      </c>
      <c r="BF108" s="234">
        <v>0.67465789473684201</v>
      </c>
      <c r="BG108" s="234">
        <v>2</v>
      </c>
      <c r="BH108" s="234">
        <v>-927225</v>
      </c>
      <c r="BI108" s="234">
        <v>0</v>
      </c>
      <c r="BJ108" s="234">
        <v>1</v>
      </c>
      <c r="BK108" s="234">
        <v>0</v>
      </c>
      <c r="BL108" s="234">
        <v>0</v>
      </c>
      <c r="BM108" s="234">
        <v>0</v>
      </c>
      <c r="BN108" s="234">
        <f>IF(ECON_OUTPUT!BE108="Other",1,0)</f>
        <v>0</v>
      </c>
    </row>
    <row r="109" spans="1:66" x14ac:dyDescent="0.25">
      <c r="A109" s="234">
        <v>108</v>
      </c>
      <c r="B109" s="234" t="s">
        <v>1764</v>
      </c>
      <c r="C109" s="234" t="s">
        <v>1014</v>
      </c>
      <c r="D109" s="234" t="s">
        <v>1015</v>
      </c>
      <c r="E109" s="235">
        <v>42886</v>
      </c>
      <c r="F109" s="234" t="s">
        <v>34</v>
      </c>
      <c r="G109" s="234">
        <v>1140000</v>
      </c>
      <c r="H109" s="234">
        <v>904780</v>
      </c>
      <c r="I109" s="234">
        <v>-0.20633333300000001</v>
      </c>
      <c r="J109" s="234" t="s">
        <v>464</v>
      </c>
      <c r="K109" s="234">
        <v>9</v>
      </c>
      <c r="L109" s="234" t="s">
        <v>25</v>
      </c>
      <c r="M109" s="234">
        <v>2</v>
      </c>
      <c r="N109" s="234" t="s">
        <v>458</v>
      </c>
      <c r="O109" s="234" t="s">
        <v>1282</v>
      </c>
      <c r="P109" s="234" t="s">
        <v>1750</v>
      </c>
      <c r="Q109" s="234">
        <v>942757</v>
      </c>
      <c r="R109" s="234">
        <v>267.76459999999997</v>
      </c>
      <c r="S109" s="234">
        <v>279.66809999999998</v>
      </c>
      <c r="T109" s="234">
        <v>367.03910000000002</v>
      </c>
      <c r="U109" s="234">
        <v>1793.2719999999999</v>
      </c>
      <c r="V109" s="234">
        <v>2245.0129999999999</v>
      </c>
      <c r="W109" s="234">
        <v>557.07439999999997</v>
      </c>
      <c r="X109" s="234">
        <v>1203.943</v>
      </c>
      <c r="Y109" s="234">
        <v>1264.415</v>
      </c>
      <c r="Z109" s="234">
        <v>336.79570000000001</v>
      </c>
      <c r="AA109" s="234">
        <v>1487.4780000000001</v>
      </c>
      <c r="AB109" s="234">
        <v>200.46090000000001</v>
      </c>
      <c r="AC109" s="234">
        <v>871.24480000000005</v>
      </c>
      <c r="AD109" s="234">
        <v>347.38889999999998</v>
      </c>
      <c r="AE109" s="234">
        <v>396.99790000000002</v>
      </c>
      <c r="AF109" s="234">
        <v>37978.050000000003</v>
      </c>
      <c r="AG109" s="234">
        <v>9654.4860000000008</v>
      </c>
      <c r="AH109" s="234">
        <v>55928.160000000003</v>
      </c>
      <c r="AI109" s="234">
        <v>30472.54</v>
      </c>
      <c r="AJ109" s="234">
        <v>17111.32</v>
      </c>
      <c r="AK109" s="234">
        <v>31998.82</v>
      </c>
      <c r="AL109" s="234">
        <v>174935.8</v>
      </c>
      <c r="AM109" s="234">
        <v>20803.73</v>
      </c>
      <c r="AN109" s="234">
        <v>15949.87</v>
      </c>
      <c r="AO109" s="234">
        <v>57444.85</v>
      </c>
      <c r="AP109" s="234">
        <v>61562.78</v>
      </c>
      <c r="AQ109" s="234">
        <v>14052.69</v>
      </c>
      <c r="AR109" s="234">
        <v>22358.47</v>
      </c>
      <c r="AS109" s="234">
        <v>281258.09999999998</v>
      </c>
      <c r="AT109" s="234">
        <v>266012.90000000002</v>
      </c>
      <c r="AU109" s="234">
        <v>334472</v>
      </c>
      <c r="AV109" s="234">
        <v>77406.509999999995</v>
      </c>
      <c r="AW109" s="234">
        <v>82923.289999999994</v>
      </c>
      <c r="AX109" s="234">
        <v>9105.7780000000002</v>
      </c>
      <c r="AY109" s="234">
        <v>2245.0129999999999</v>
      </c>
      <c r="AZ109" s="234">
        <v>373720.4</v>
      </c>
      <c r="BA109" s="234">
        <v>18396.54</v>
      </c>
      <c r="BB109" s="234">
        <v>48959</v>
      </c>
      <c r="BC109" s="234">
        <v>43851</v>
      </c>
      <c r="BD109" s="234">
        <v>10692</v>
      </c>
      <c r="BE109" s="234" t="s">
        <v>34</v>
      </c>
      <c r="BF109" s="234">
        <v>0.82697982456140395</v>
      </c>
      <c r="BG109" s="234">
        <v>1</v>
      </c>
      <c r="BH109" s="234">
        <v>-197243</v>
      </c>
      <c r="BI109" s="234">
        <v>1</v>
      </c>
      <c r="BJ109" s="234">
        <v>0</v>
      </c>
      <c r="BK109" s="234">
        <v>0</v>
      </c>
      <c r="BL109" s="234">
        <v>0</v>
      </c>
      <c r="BM109" s="234">
        <v>0</v>
      </c>
      <c r="BN109" s="234">
        <f>IF(ECON_OUTPUT!BE109="Other",1,0)</f>
        <v>0</v>
      </c>
    </row>
    <row r="110" spans="1:66" x14ac:dyDescent="0.25">
      <c r="A110" s="234">
        <v>109</v>
      </c>
      <c r="B110" s="234" t="s">
        <v>1764</v>
      </c>
      <c r="C110" s="234" t="s">
        <v>1021</v>
      </c>
      <c r="D110" s="234" t="s">
        <v>1022</v>
      </c>
      <c r="E110" s="235">
        <v>42892</v>
      </c>
      <c r="F110" s="234" t="s">
        <v>34</v>
      </c>
      <c r="G110" s="234">
        <v>771000</v>
      </c>
      <c r="H110" s="234">
        <v>946600</v>
      </c>
      <c r="I110" s="234">
        <v>0.22775616100000001</v>
      </c>
      <c r="J110" s="234" t="s">
        <v>465</v>
      </c>
      <c r="K110" s="234">
        <v>2</v>
      </c>
      <c r="L110" s="234" t="s">
        <v>25</v>
      </c>
      <c r="M110" s="234">
        <v>2</v>
      </c>
      <c r="N110" s="234" t="s">
        <v>457</v>
      </c>
      <c r="O110" s="234" t="s">
        <v>1281</v>
      </c>
      <c r="P110" s="234" t="s">
        <v>1754</v>
      </c>
      <c r="Q110" s="234">
        <v>1151712</v>
      </c>
      <c r="R110" s="234">
        <v>267.76459999999997</v>
      </c>
      <c r="S110" s="234">
        <v>279.66809999999998</v>
      </c>
      <c r="T110" s="234">
        <v>367.03910000000002</v>
      </c>
      <c r="U110" s="234">
        <v>1793.2719999999999</v>
      </c>
      <c r="V110" s="234">
        <v>2245.0129999999999</v>
      </c>
      <c r="W110" s="234">
        <v>557.07439999999997</v>
      </c>
      <c r="X110" s="234">
        <v>1203.943</v>
      </c>
      <c r="Y110" s="234">
        <v>1264.415</v>
      </c>
      <c r="Z110" s="234">
        <v>336.79570000000001</v>
      </c>
      <c r="AA110" s="234">
        <v>1487.4780000000001</v>
      </c>
      <c r="AB110" s="234">
        <v>200.46090000000001</v>
      </c>
      <c r="AC110" s="234">
        <v>871.24480000000005</v>
      </c>
      <c r="AD110" s="234">
        <v>347.38889999999998</v>
      </c>
      <c r="AE110" s="234">
        <v>396.99790000000002</v>
      </c>
      <c r="AF110" s="234">
        <v>37978.050000000003</v>
      </c>
      <c r="AG110" s="234">
        <v>9654.4860000000008</v>
      </c>
      <c r="AH110" s="234">
        <v>55928.160000000003</v>
      </c>
      <c r="AI110" s="234">
        <v>30472.54</v>
      </c>
      <c r="AJ110" s="234">
        <v>17111.32</v>
      </c>
      <c r="AK110" s="234">
        <v>31998.82</v>
      </c>
      <c r="AL110" s="234">
        <v>174935.8</v>
      </c>
      <c r="AM110" s="234">
        <v>20803.73</v>
      </c>
      <c r="AN110" s="234">
        <v>15949.87</v>
      </c>
      <c r="AO110" s="234">
        <v>57444.85</v>
      </c>
      <c r="AP110" s="234">
        <v>61562.78</v>
      </c>
      <c r="AQ110" s="234">
        <v>14052.69</v>
      </c>
      <c r="AR110" s="234">
        <v>22358.47</v>
      </c>
      <c r="AS110" s="234">
        <v>281258.09999999998</v>
      </c>
      <c r="AT110" s="234">
        <v>266012.90000000002</v>
      </c>
      <c r="AU110" s="234">
        <v>334472</v>
      </c>
      <c r="AV110" s="234">
        <v>77406.509999999995</v>
      </c>
      <c r="AW110" s="234">
        <v>82923.289999999994</v>
      </c>
      <c r="AX110" s="234">
        <v>9105.7780000000002</v>
      </c>
      <c r="AY110" s="234">
        <v>2245.0129999999999</v>
      </c>
      <c r="AZ110" s="234">
        <v>373720.4</v>
      </c>
      <c r="BA110" s="234">
        <v>18396.54</v>
      </c>
      <c r="BB110" s="234">
        <v>48959</v>
      </c>
      <c r="BC110" s="234">
        <v>43851</v>
      </c>
      <c r="BD110" s="234">
        <v>10692</v>
      </c>
      <c r="BE110" s="234" t="s">
        <v>34</v>
      </c>
      <c r="BF110" s="234">
        <v>1.4937898832684799</v>
      </c>
      <c r="BG110" s="234">
        <v>1</v>
      </c>
      <c r="BH110" s="234">
        <v>380712</v>
      </c>
      <c r="BI110" s="234">
        <v>1</v>
      </c>
      <c r="BJ110" s="234">
        <v>0</v>
      </c>
      <c r="BK110" s="234">
        <v>0</v>
      </c>
      <c r="BL110" s="234">
        <v>0</v>
      </c>
      <c r="BM110" s="234">
        <v>0</v>
      </c>
      <c r="BN110" s="234">
        <f>IF(ECON_OUTPUT!BE110="Other",1,0)</f>
        <v>0</v>
      </c>
    </row>
    <row r="111" spans="1:66" x14ac:dyDescent="0.25">
      <c r="A111" s="234">
        <v>110</v>
      </c>
      <c r="B111" s="234" t="s">
        <v>1764</v>
      </c>
      <c r="C111" s="234" t="s">
        <v>1025</v>
      </c>
      <c r="D111" s="234" t="s">
        <v>1026</v>
      </c>
      <c r="E111" s="235">
        <v>42893</v>
      </c>
      <c r="F111" s="234" t="s">
        <v>177</v>
      </c>
      <c r="G111" s="234">
        <v>650000</v>
      </c>
      <c r="H111" s="234">
        <v>865508</v>
      </c>
      <c r="I111" s="234">
        <v>0.33155076900000002</v>
      </c>
      <c r="J111" s="234" t="s">
        <v>465</v>
      </c>
      <c r="K111" s="234">
        <v>3</v>
      </c>
      <c r="L111" s="234" t="s">
        <v>25</v>
      </c>
      <c r="M111" s="234">
        <v>2</v>
      </c>
      <c r="N111" s="234" t="s">
        <v>458</v>
      </c>
      <c r="O111" s="234" t="s">
        <v>1284</v>
      </c>
      <c r="P111" s="234" t="s">
        <v>1754</v>
      </c>
      <c r="Q111" s="234">
        <v>895220</v>
      </c>
      <c r="R111" s="234">
        <v>267.76459999999997</v>
      </c>
      <c r="S111" s="234">
        <v>279.66809999999998</v>
      </c>
      <c r="T111" s="234">
        <v>367.03910000000002</v>
      </c>
      <c r="U111" s="234">
        <v>1793.2719999999999</v>
      </c>
      <c r="V111" s="234">
        <v>2245.0129999999999</v>
      </c>
      <c r="W111" s="234">
        <v>557.07439999999997</v>
      </c>
      <c r="X111" s="234">
        <v>1203.943</v>
      </c>
      <c r="Y111" s="234">
        <v>1264.415</v>
      </c>
      <c r="Z111" s="234">
        <v>336.79570000000001</v>
      </c>
      <c r="AA111" s="234">
        <v>1487.4780000000001</v>
      </c>
      <c r="AB111" s="234">
        <v>200.46090000000001</v>
      </c>
      <c r="AC111" s="234">
        <v>871.24480000000005</v>
      </c>
      <c r="AD111" s="234">
        <v>347.38889999999998</v>
      </c>
      <c r="AE111" s="234">
        <v>396.99790000000002</v>
      </c>
      <c r="AF111" s="234">
        <v>37978.050000000003</v>
      </c>
      <c r="AG111" s="234">
        <v>9654.4860000000008</v>
      </c>
      <c r="AH111" s="234">
        <v>55928.160000000003</v>
      </c>
      <c r="AI111" s="234">
        <v>30472.54</v>
      </c>
      <c r="AJ111" s="234">
        <v>17111.32</v>
      </c>
      <c r="AK111" s="234">
        <v>31998.82</v>
      </c>
      <c r="AL111" s="234">
        <v>174935.8</v>
      </c>
      <c r="AM111" s="234">
        <v>20803.73</v>
      </c>
      <c r="AN111" s="234">
        <v>15949.87</v>
      </c>
      <c r="AO111" s="234">
        <v>57444.85</v>
      </c>
      <c r="AP111" s="234">
        <v>61562.78</v>
      </c>
      <c r="AQ111" s="234">
        <v>14052.69</v>
      </c>
      <c r="AR111" s="234">
        <v>22358.47</v>
      </c>
      <c r="AS111" s="234">
        <v>281258.09999999998</v>
      </c>
      <c r="AT111" s="234">
        <v>266012.90000000002</v>
      </c>
      <c r="AU111" s="234">
        <v>334472</v>
      </c>
      <c r="AV111" s="234">
        <v>77406.509999999995</v>
      </c>
      <c r="AW111" s="234">
        <v>82923.289999999994</v>
      </c>
      <c r="AX111" s="234">
        <v>9105.7780000000002</v>
      </c>
      <c r="AY111" s="234">
        <v>2245.0129999999999</v>
      </c>
      <c r="AZ111" s="234">
        <v>373720.4</v>
      </c>
      <c r="BA111" s="234">
        <v>18396.54</v>
      </c>
      <c r="BB111" s="234">
        <v>48959</v>
      </c>
      <c r="BC111" s="234">
        <v>43851</v>
      </c>
      <c r="BD111" s="234">
        <v>10692</v>
      </c>
      <c r="BE111" s="234" t="s">
        <v>1753</v>
      </c>
      <c r="BF111" s="234">
        <v>1.3772615384615401</v>
      </c>
      <c r="BG111" s="234">
        <v>1</v>
      </c>
      <c r="BH111" s="234">
        <v>245220</v>
      </c>
      <c r="BI111" s="234">
        <v>1</v>
      </c>
      <c r="BJ111" s="234">
        <v>0</v>
      </c>
      <c r="BK111" s="234">
        <v>0</v>
      </c>
      <c r="BL111" s="234">
        <v>0</v>
      </c>
      <c r="BM111" s="234">
        <v>0</v>
      </c>
      <c r="BN111" s="234">
        <f>IF(ECON_OUTPUT!BE111="Other",1,0)</f>
        <v>1</v>
      </c>
    </row>
    <row r="112" spans="1:66" x14ac:dyDescent="0.25">
      <c r="A112" s="234">
        <v>111</v>
      </c>
      <c r="B112" s="234" t="s">
        <v>1764</v>
      </c>
      <c r="C112" s="234" t="s">
        <v>1023</v>
      </c>
      <c r="D112" s="234" t="s">
        <v>1024</v>
      </c>
      <c r="E112" s="235">
        <v>42893</v>
      </c>
      <c r="F112" s="234" t="s">
        <v>177</v>
      </c>
      <c r="G112" s="234">
        <v>1070000</v>
      </c>
      <c r="H112" s="234">
        <v>758000</v>
      </c>
      <c r="I112" s="234">
        <v>-0.29158878500000002</v>
      </c>
      <c r="J112" s="234" t="s">
        <v>465</v>
      </c>
      <c r="K112" s="234">
        <v>5</v>
      </c>
      <c r="L112" s="234" t="s">
        <v>25</v>
      </c>
      <c r="M112" s="234">
        <v>2</v>
      </c>
      <c r="N112" s="234" t="s">
        <v>458</v>
      </c>
      <c r="O112" s="234" t="s">
        <v>1282</v>
      </c>
      <c r="P112" s="234" t="s">
        <v>1750</v>
      </c>
      <c r="Q112" s="234">
        <v>789000</v>
      </c>
      <c r="R112" s="234">
        <v>267.76459999999997</v>
      </c>
      <c r="S112" s="234">
        <v>279.66809999999998</v>
      </c>
      <c r="T112" s="234">
        <v>367.03910000000002</v>
      </c>
      <c r="U112" s="234">
        <v>1793.2719999999999</v>
      </c>
      <c r="V112" s="234">
        <v>2245.0129999999999</v>
      </c>
      <c r="W112" s="234">
        <v>557.07439999999997</v>
      </c>
      <c r="X112" s="234">
        <v>1203.943</v>
      </c>
      <c r="Y112" s="234">
        <v>1264.415</v>
      </c>
      <c r="Z112" s="234">
        <v>336.79570000000001</v>
      </c>
      <c r="AA112" s="234">
        <v>1487.4780000000001</v>
      </c>
      <c r="AB112" s="234">
        <v>200.46090000000001</v>
      </c>
      <c r="AC112" s="234">
        <v>871.24480000000005</v>
      </c>
      <c r="AD112" s="234">
        <v>347.38889999999998</v>
      </c>
      <c r="AE112" s="234">
        <v>396.99790000000002</v>
      </c>
      <c r="AF112" s="234">
        <v>37978.050000000003</v>
      </c>
      <c r="AG112" s="234">
        <v>9654.4860000000008</v>
      </c>
      <c r="AH112" s="234">
        <v>55928.160000000003</v>
      </c>
      <c r="AI112" s="234">
        <v>30472.54</v>
      </c>
      <c r="AJ112" s="234">
        <v>17111.32</v>
      </c>
      <c r="AK112" s="234">
        <v>31998.82</v>
      </c>
      <c r="AL112" s="234">
        <v>174935.8</v>
      </c>
      <c r="AM112" s="234">
        <v>20803.73</v>
      </c>
      <c r="AN112" s="234">
        <v>15949.87</v>
      </c>
      <c r="AO112" s="234">
        <v>57444.85</v>
      </c>
      <c r="AP112" s="234">
        <v>61562.78</v>
      </c>
      <c r="AQ112" s="234">
        <v>14052.69</v>
      </c>
      <c r="AR112" s="234">
        <v>22358.47</v>
      </c>
      <c r="AS112" s="234">
        <v>281258.09999999998</v>
      </c>
      <c r="AT112" s="234">
        <v>266012.90000000002</v>
      </c>
      <c r="AU112" s="234">
        <v>334472</v>
      </c>
      <c r="AV112" s="234">
        <v>77406.509999999995</v>
      </c>
      <c r="AW112" s="234">
        <v>82923.289999999994</v>
      </c>
      <c r="AX112" s="234">
        <v>9105.7780000000002</v>
      </c>
      <c r="AY112" s="234">
        <v>2245.0129999999999</v>
      </c>
      <c r="AZ112" s="234">
        <v>373720.4</v>
      </c>
      <c r="BA112" s="234">
        <v>18396.54</v>
      </c>
      <c r="BB112" s="234">
        <v>48959</v>
      </c>
      <c r="BC112" s="234">
        <v>43851</v>
      </c>
      <c r="BD112" s="234">
        <v>10692</v>
      </c>
      <c r="BE112" s="234" t="s">
        <v>1753</v>
      </c>
      <c r="BF112" s="234">
        <v>0.73738317757009297</v>
      </c>
      <c r="BG112" s="234">
        <v>1</v>
      </c>
      <c r="BH112" s="234">
        <v>-281000</v>
      </c>
      <c r="BI112" s="234">
        <v>1</v>
      </c>
      <c r="BJ112" s="234">
        <v>0</v>
      </c>
      <c r="BK112" s="234">
        <v>0</v>
      </c>
      <c r="BL112" s="234">
        <v>0</v>
      </c>
      <c r="BM112" s="234">
        <v>0</v>
      </c>
      <c r="BN112" s="234">
        <f>IF(ECON_OUTPUT!BE112="Other",1,0)</f>
        <v>1</v>
      </c>
    </row>
    <row r="113" spans="1:66" x14ac:dyDescent="0.25">
      <c r="A113" s="234">
        <v>112</v>
      </c>
      <c r="B113" s="234" t="s">
        <v>1764</v>
      </c>
      <c r="C113" s="234" t="s">
        <v>1028</v>
      </c>
      <c r="D113" s="234" t="s">
        <v>1029</v>
      </c>
      <c r="E113" s="235">
        <v>42894</v>
      </c>
      <c r="F113" s="234" t="s">
        <v>1753</v>
      </c>
      <c r="G113" s="234">
        <v>6445000</v>
      </c>
      <c r="H113" s="234">
        <v>7166666</v>
      </c>
      <c r="I113" s="234">
        <v>0.111973002</v>
      </c>
      <c r="J113" s="234" t="s">
        <v>465</v>
      </c>
      <c r="K113" s="234">
        <v>11</v>
      </c>
      <c r="L113" s="234" t="s">
        <v>93</v>
      </c>
      <c r="M113" s="234">
        <v>2</v>
      </c>
      <c r="N113" s="234" t="s">
        <v>458</v>
      </c>
      <c r="O113" s="234" t="s">
        <v>1286</v>
      </c>
      <c r="P113" s="234" t="s">
        <v>1754</v>
      </c>
      <c r="Q113" s="234">
        <v>7536916</v>
      </c>
      <c r="R113" s="234">
        <v>267.76459999999997</v>
      </c>
      <c r="S113" s="234">
        <v>279.66809999999998</v>
      </c>
      <c r="T113" s="234">
        <v>367.03910000000002</v>
      </c>
      <c r="U113" s="234">
        <v>1793.2719999999999</v>
      </c>
      <c r="V113" s="234">
        <v>2245.0129999999999</v>
      </c>
      <c r="W113" s="234">
        <v>557.07439999999997</v>
      </c>
      <c r="X113" s="234">
        <v>1203.943</v>
      </c>
      <c r="Y113" s="234">
        <v>1264.415</v>
      </c>
      <c r="Z113" s="234">
        <v>336.79570000000001</v>
      </c>
      <c r="AA113" s="234">
        <v>1487.4780000000001</v>
      </c>
      <c r="AB113" s="234">
        <v>200.46090000000001</v>
      </c>
      <c r="AC113" s="234">
        <v>871.24480000000005</v>
      </c>
      <c r="AD113" s="234">
        <v>347.38889999999998</v>
      </c>
      <c r="AE113" s="234">
        <v>396.99790000000002</v>
      </c>
      <c r="AF113" s="234">
        <v>37978.050000000003</v>
      </c>
      <c r="AG113" s="234">
        <v>9654.4860000000008</v>
      </c>
      <c r="AH113" s="234">
        <v>55928.160000000003</v>
      </c>
      <c r="AI113" s="234">
        <v>30472.54</v>
      </c>
      <c r="AJ113" s="234">
        <v>17111.32</v>
      </c>
      <c r="AK113" s="234">
        <v>31998.82</v>
      </c>
      <c r="AL113" s="234">
        <v>174935.8</v>
      </c>
      <c r="AM113" s="234">
        <v>20803.73</v>
      </c>
      <c r="AN113" s="234">
        <v>15949.87</v>
      </c>
      <c r="AO113" s="234">
        <v>57444.85</v>
      </c>
      <c r="AP113" s="234">
        <v>61562.78</v>
      </c>
      <c r="AQ113" s="234">
        <v>14052.69</v>
      </c>
      <c r="AR113" s="234">
        <v>22358.47</v>
      </c>
      <c r="AS113" s="234">
        <v>281258.09999999998</v>
      </c>
      <c r="AT113" s="234">
        <v>266012.90000000002</v>
      </c>
      <c r="AU113" s="234">
        <v>334472</v>
      </c>
      <c r="AV113" s="234">
        <v>77406.509999999995</v>
      </c>
      <c r="AW113" s="234">
        <v>82923.289999999994</v>
      </c>
      <c r="AX113" s="234">
        <v>9105.7780000000002</v>
      </c>
      <c r="AY113" s="234">
        <v>2245.0129999999999</v>
      </c>
      <c r="AZ113" s="234">
        <v>373720.4</v>
      </c>
      <c r="BA113" s="234">
        <v>18396.54</v>
      </c>
      <c r="BB113" s="234">
        <v>48959</v>
      </c>
      <c r="BC113" s="234">
        <v>43851</v>
      </c>
      <c r="BD113" s="234">
        <v>10692</v>
      </c>
      <c r="BE113" s="234" t="s">
        <v>1753</v>
      </c>
      <c r="BF113" s="234">
        <v>1.16942063615206</v>
      </c>
      <c r="BG113" s="234">
        <v>4</v>
      </c>
      <c r="BH113" s="234">
        <v>1091916</v>
      </c>
      <c r="BI113" s="234">
        <v>0</v>
      </c>
      <c r="BJ113" s="234">
        <v>0</v>
      </c>
      <c r="BK113" s="234">
        <v>0</v>
      </c>
      <c r="BL113" s="234">
        <v>1</v>
      </c>
      <c r="BM113" s="234">
        <v>0</v>
      </c>
      <c r="BN113" s="234">
        <f>IF(ECON_OUTPUT!BE113="Other",1,0)</f>
        <v>1</v>
      </c>
    </row>
    <row r="114" spans="1:66" x14ac:dyDescent="0.25">
      <c r="A114" s="234">
        <v>113</v>
      </c>
      <c r="B114" s="234" t="s">
        <v>1764</v>
      </c>
      <c r="C114" s="234" t="s">
        <v>1035</v>
      </c>
      <c r="D114" s="234" t="s">
        <v>1036</v>
      </c>
      <c r="E114" s="235">
        <v>42900</v>
      </c>
      <c r="F114" s="234" t="s">
        <v>1753</v>
      </c>
      <c r="G114" s="234">
        <v>2900000</v>
      </c>
      <c r="H114" s="234">
        <v>1157000</v>
      </c>
      <c r="I114" s="234">
        <v>-0.60103448299999995</v>
      </c>
      <c r="J114" s="234" t="s">
        <v>465</v>
      </c>
      <c r="K114" s="234">
        <v>5</v>
      </c>
      <c r="L114" s="234" t="s">
        <v>25</v>
      </c>
      <c r="M114" s="234">
        <v>2</v>
      </c>
      <c r="N114" s="234" t="s">
        <v>458</v>
      </c>
      <c r="O114" s="234" t="s">
        <v>1286</v>
      </c>
      <c r="P114" s="234" t="s">
        <v>1754</v>
      </c>
      <c r="Q114" s="234">
        <v>1179765</v>
      </c>
      <c r="R114" s="234">
        <v>267.76459999999997</v>
      </c>
      <c r="S114" s="234">
        <v>279.66809999999998</v>
      </c>
      <c r="T114" s="234">
        <v>367.03910000000002</v>
      </c>
      <c r="U114" s="234">
        <v>1793.2719999999999</v>
      </c>
      <c r="V114" s="234">
        <v>2245.0129999999999</v>
      </c>
      <c r="W114" s="234">
        <v>557.07439999999997</v>
      </c>
      <c r="X114" s="234">
        <v>1203.943</v>
      </c>
      <c r="Y114" s="234">
        <v>1264.415</v>
      </c>
      <c r="Z114" s="234">
        <v>336.79570000000001</v>
      </c>
      <c r="AA114" s="234">
        <v>1487.4780000000001</v>
      </c>
      <c r="AB114" s="234">
        <v>200.46090000000001</v>
      </c>
      <c r="AC114" s="234">
        <v>871.24480000000005</v>
      </c>
      <c r="AD114" s="234">
        <v>347.38889999999998</v>
      </c>
      <c r="AE114" s="234">
        <v>396.99790000000002</v>
      </c>
      <c r="AF114" s="234">
        <v>37978.050000000003</v>
      </c>
      <c r="AG114" s="234">
        <v>9654.4860000000008</v>
      </c>
      <c r="AH114" s="234">
        <v>55928.160000000003</v>
      </c>
      <c r="AI114" s="234">
        <v>30472.54</v>
      </c>
      <c r="AJ114" s="234">
        <v>17111.32</v>
      </c>
      <c r="AK114" s="234">
        <v>31998.82</v>
      </c>
      <c r="AL114" s="234">
        <v>174935.8</v>
      </c>
      <c r="AM114" s="234">
        <v>20803.73</v>
      </c>
      <c r="AN114" s="234">
        <v>15949.87</v>
      </c>
      <c r="AO114" s="234">
        <v>57444.85</v>
      </c>
      <c r="AP114" s="234">
        <v>61562.78</v>
      </c>
      <c r="AQ114" s="234">
        <v>14052.69</v>
      </c>
      <c r="AR114" s="234">
        <v>22358.47</v>
      </c>
      <c r="AS114" s="234">
        <v>281258.09999999998</v>
      </c>
      <c r="AT114" s="234">
        <v>266012.90000000002</v>
      </c>
      <c r="AU114" s="234">
        <v>334472</v>
      </c>
      <c r="AV114" s="234">
        <v>77406.509999999995</v>
      </c>
      <c r="AW114" s="234">
        <v>82923.289999999994</v>
      </c>
      <c r="AX114" s="234">
        <v>9105.7780000000002</v>
      </c>
      <c r="AY114" s="234">
        <v>2245.0129999999999</v>
      </c>
      <c r="AZ114" s="234">
        <v>373720.4</v>
      </c>
      <c r="BA114" s="234">
        <v>18396.54</v>
      </c>
      <c r="BB114" s="234">
        <v>48959</v>
      </c>
      <c r="BC114" s="234">
        <v>43851</v>
      </c>
      <c r="BD114" s="234">
        <v>10692</v>
      </c>
      <c r="BE114" s="234" t="s">
        <v>1753</v>
      </c>
      <c r="BF114" s="234">
        <v>0.40681551724137899</v>
      </c>
      <c r="BG114" s="234">
        <v>1</v>
      </c>
      <c r="BH114" s="234">
        <v>-1720235</v>
      </c>
      <c r="BI114" s="234">
        <v>1</v>
      </c>
      <c r="BJ114" s="234">
        <v>0</v>
      </c>
      <c r="BK114" s="234">
        <v>0</v>
      </c>
      <c r="BL114" s="234">
        <v>0</v>
      </c>
      <c r="BM114" s="234">
        <v>0</v>
      </c>
      <c r="BN114" s="234">
        <f>IF(ECON_OUTPUT!BE114="Other",1,0)</f>
        <v>1</v>
      </c>
    </row>
    <row r="115" spans="1:66" x14ac:dyDescent="0.25">
      <c r="A115" s="234">
        <v>114</v>
      </c>
      <c r="B115" s="234" t="s">
        <v>1764</v>
      </c>
      <c r="C115" s="234" t="s">
        <v>1038</v>
      </c>
      <c r="D115" s="234" t="s">
        <v>1039</v>
      </c>
      <c r="E115" s="235">
        <v>42901</v>
      </c>
      <c r="F115" s="234" t="s">
        <v>177</v>
      </c>
      <c r="G115" s="234">
        <v>850000</v>
      </c>
      <c r="H115" s="234">
        <v>887000</v>
      </c>
      <c r="I115" s="234">
        <v>4.3529412000000003E-2</v>
      </c>
      <c r="J115" s="234" t="s">
        <v>464</v>
      </c>
      <c r="K115" s="234">
        <v>3</v>
      </c>
      <c r="L115" s="234" t="s">
        <v>25</v>
      </c>
      <c r="M115" s="234">
        <v>2</v>
      </c>
      <c r="N115" s="234" t="s">
        <v>458</v>
      </c>
      <c r="O115" s="234" t="s">
        <v>1284</v>
      </c>
      <c r="P115" s="234" t="s">
        <v>1754</v>
      </c>
      <c r="Q115" s="234">
        <v>992000</v>
      </c>
      <c r="R115" s="234">
        <v>267.76459999999997</v>
      </c>
      <c r="S115" s="234">
        <v>279.66809999999998</v>
      </c>
      <c r="T115" s="234">
        <v>367.03910000000002</v>
      </c>
      <c r="U115" s="234">
        <v>1793.2719999999999</v>
      </c>
      <c r="V115" s="234">
        <v>2245.0129999999999</v>
      </c>
      <c r="W115" s="234">
        <v>557.07439999999997</v>
      </c>
      <c r="X115" s="234">
        <v>1203.943</v>
      </c>
      <c r="Y115" s="234">
        <v>1264.415</v>
      </c>
      <c r="Z115" s="234">
        <v>336.79570000000001</v>
      </c>
      <c r="AA115" s="234">
        <v>1487.4780000000001</v>
      </c>
      <c r="AB115" s="234">
        <v>200.46090000000001</v>
      </c>
      <c r="AC115" s="234">
        <v>871.24480000000005</v>
      </c>
      <c r="AD115" s="234">
        <v>347.38889999999998</v>
      </c>
      <c r="AE115" s="234">
        <v>396.99790000000002</v>
      </c>
      <c r="AF115" s="234">
        <v>37978.050000000003</v>
      </c>
      <c r="AG115" s="234">
        <v>9654.4860000000008</v>
      </c>
      <c r="AH115" s="234">
        <v>55928.160000000003</v>
      </c>
      <c r="AI115" s="234">
        <v>30472.54</v>
      </c>
      <c r="AJ115" s="234">
        <v>17111.32</v>
      </c>
      <c r="AK115" s="234">
        <v>31998.82</v>
      </c>
      <c r="AL115" s="234">
        <v>174935.8</v>
      </c>
      <c r="AM115" s="234">
        <v>20803.73</v>
      </c>
      <c r="AN115" s="234">
        <v>15949.87</v>
      </c>
      <c r="AO115" s="234">
        <v>57444.85</v>
      </c>
      <c r="AP115" s="234">
        <v>61562.78</v>
      </c>
      <c r="AQ115" s="234">
        <v>14052.69</v>
      </c>
      <c r="AR115" s="234">
        <v>22358.47</v>
      </c>
      <c r="AS115" s="234">
        <v>281258.09999999998</v>
      </c>
      <c r="AT115" s="234">
        <v>266012.90000000002</v>
      </c>
      <c r="AU115" s="234">
        <v>334472</v>
      </c>
      <c r="AV115" s="234">
        <v>77406.509999999995</v>
      </c>
      <c r="AW115" s="234">
        <v>82923.289999999994</v>
      </c>
      <c r="AX115" s="234">
        <v>9105.7780000000002</v>
      </c>
      <c r="AY115" s="234">
        <v>2245.0129999999999</v>
      </c>
      <c r="AZ115" s="234">
        <v>373720.4</v>
      </c>
      <c r="BA115" s="234">
        <v>18396.54</v>
      </c>
      <c r="BB115" s="234">
        <v>48959</v>
      </c>
      <c r="BC115" s="234">
        <v>43851</v>
      </c>
      <c r="BD115" s="234">
        <v>10692</v>
      </c>
      <c r="BE115" s="234" t="s">
        <v>1753</v>
      </c>
      <c r="BF115" s="234">
        <v>1.1670588235294099</v>
      </c>
      <c r="BG115" s="234">
        <v>1</v>
      </c>
      <c r="BH115" s="234">
        <v>142000</v>
      </c>
      <c r="BI115" s="234">
        <v>1</v>
      </c>
      <c r="BJ115" s="234">
        <v>0</v>
      </c>
      <c r="BK115" s="234">
        <v>0</v>
      </c>
      <c r="BL115" s="234">
        <v>0</v>
      </c>
      <c r="BM115" s="234">
        <v>0</v>
      </c>
      <c r="BN115" s="234">
        <f>IF(ECON_OUTPUT!BE115="Other",1,0)</f>
        <v>1</v>
      </c>
    </row>
    <row r="116" spans="1:66" x14ac:dyDescent="0.25">
      <c r="A116" s="234">
        <v>115</v>
      </c>
      <c r="B116" s="234" t="s">
        <v>1764</v>
      </c>
      <c r="C116" s="234" t="s">
        <v>1042</v>
      </c>
      <c r="D116" s="234" t="s">
        <v>1043</v>
      </c>
      <c r="E116" s="235">
        <v>42913</v>
      </c>
      <c r="F116" s="234" t="s">
        <v>1753</v>
      </c>
      <c r="G116" s="234">
        <v>1480000</v>
      </c>
      <c r="H116" s="234">
        <v>1483000</v>
      </c>
      <c r="I116" s="234">
        <v>2.0270269999999998E-3</v>
      </c>
      <c r="J116" s="234" t="s">
        <v>464</v>
      </c>
      <c r="K116" s="234">
        <v>7</v>
      </c>
      <c r="L116" s="234" t="s">
        <v>25</v>
      </c>
      <c r="M116" s="234">
        <v>2</v>
      </c>
      <c r="N116" s="234" t="s">
        <v>459</v>
      </c>
      <c r="O116" s="234" t="s">
        <v>1285</v>
      </c>
      <c r="P116" s="234" t="s">
        <v>1750</v>
      </c>
      <c r="Q116" s="234">
        <v>1764407</v>
      </c>
      <c r="R116" s="234">
        <v>267.76459999999997</v>
      </c>
      <c r="S116" s="234">
        <v>279.66809999999998</v>
      </c>
      <c r="T116" s="234">
        <v>367.03910000000002</v>
      </c>
      <c r="U116" s="234">
        <v>1793.2719999999999</v>
      </c>
      <c r="V116" s="234">
        <v>2245.0129999999999</v>
      </c>
      <c r="W116" s="234">
        <v>557.07439999999997</v>
      </c>
      <c r="X116" s="234">
        <v>1203.943</v>
      </c>
      <c r="Y116" s="234">
        <v>1264.415</v>
      </c>
      <c r="Z116" s="234">
        <v>336.79570000000001</v>
      </c>
      <c r="AA116" s="234">
        <v>1487.4780000000001</v>
      </c>
      <c r="AB116" s="234">
        <v>200.46090000000001</v>
      </c>
      <c r="AC116" s="234">
        <v>871.24480000000005</v>
      </c>
      <c r="AD116" s="234">
        <v>347.38889999999998</v>
      </c>
      <c r="AE116" s="234">
        <v>396.99790000000002</v>
      </c>
      <c r="AF116" s="234">
        <v>37978.050000000003</v>
      </c>
      <c r="AG116" s="234">
        <v>9654.4860000000008</v>
      </c>
      <c r="AH116" s="234">
        <v>55928.160000000003</v>
      </c>
      <c r="AI116" s="234">
        <v>30472.54</v>
      </c>
      <c r="AJ116" s="234">
        <v>17111.32</v>
      </c>
      <c r="AK116" s="234">
        <v>31998.82</v>
      </c>
      <c r="AL116" s="234">
        <v>174935.8</v>
      </c>
      <c r="AM116" s="234">
        <v>20803.73</v>
      </c>
      <c r="AN116" s="234">
        <v>15949.87</v>
      </c>
      <c r="AO116" s="234">
        <v>57444.85</v>
      </c>
      <c r="AP116" s="234">
        <v>61562.78</v>
      </c>
      <c r="AQ116" s="234">
        <v>14052.69</v>
      </c>
      <c r="AR116" s="234">
        <v>22358.47</v>
      </c>
      <c r="AS116" s="234">
        <v>281258.09999999998</v>
      </c>
      <c r="AT116" s="234">
        <v>266012.90000000002</v>
      </c>
      <c r="AU116" s="234">
        <v>334472</v>
      </c>
      <c r="AV116" s="234">
        <v>77406.509999999995</v>
      </c>
      <c r="AW116" s="234">
        <v>82923.289999999994</v>
      </c>
      <c r="AX116" s="234">
        <v>9105.7780000000002</v>
      </c>
      <c r="AY116" s="234">
        <v>2245.0129999999999</v>
      </c>
      <c r="AZ116" s="234">
        <v>373720.4</v>
      </c>
      <c r="BA116" s="234">
        <v>18396.54</v>
      </c>
      <c r="BB116" s="234">
        <v>48959</v>
      </c>
      <c r="BC116" s="234">
        <v>43851</v>
      </c>
      <c r="BD116" s="234">
        <v>10692</v>
      </c>
      <c r="BE116" s="234" t="s">
        <v>1753</v>
      </c>
      <c r="BF116" s="234">
        <v>1.19216689189189</v>
      </c>
      <c r="BG116" s="234">
        <v>2</v>
      </c>
      <c r="BH116" s="234">
        <v>284407</v>
      </c>
      <c r="BI116" s="234">
        <v>0</v>
      </c>
      <c r="BJ116" s="234">
        <v>1</v>
      </c>
      <c r="BK116" s="234">
        <v>0</v>
      </c>
      <c r="BL116" s="234">
        <v>0</v>
      </c>
      <c r="BM116" s="234">
        <v>0</v>
      </c>
      <c r="BN116" s="234">
        <f>IF(ECON_OUTPUT!BE116="Other",1,0)</f>
        <v>1</v>
      </c>
    </row>
    <row r="117" spans="1:66" x14ac:dyDescent="0.25">
      <c r="A117" s="234">
        <v>116</v>
      </c>
      <c r="B117" s="234" t="s">
        <v>1763</v>
      </c>
      <c r="C117" s="234" t="s">
        <v>1047</v>
      </c>
      <c r="D117" s="234" t="s">
        <v>982</v>
      </c>
      <c r="E117" s="235">
        <v>42941</v>
      </c>
      <c r="F117" s="234" t="s">
        <v>34</v>
      </c>
      <c r="G117" s="234">
        <v>7200000</v>
      </c>
      <c r="H117" s="234">
        <v>1936000</v>
      </c>
      <c r="I117" s="234">
        <v>-0.73111111100000004</v>
      </c>
      <c r="J117" s="234" t="s">
        <v>465</v>
      </c>
      <c r="K117" s="234">
        <v>4</v>
      </c>
      <c r="L117" s="234" t="s">
        <v>93</v>
      </c>
      <c r="M117" s="234">
        <v>3</v>
      </c>
      <c r="N117" s="234" t="s">
        <v>458</v>
      </c>
      <c r="O117" s="234" t="s">
        <v>1286</v>
      </c>
      <c r="P117" s="234" t="s">
        <v>1750</v>
      </c>
      <c r="Q117" s="234">
        <v>4483190</v>
      </c>
      <c r="R117" s="234">
        <v>268.67360000000002</v>
      </c>
      <c r="S117" s="234">
        <v>282.82389999999998</v>
      </c>
      <c r="T117" s="234">
        <v>370.23599999999999</v>
      </c>
      <c r="U117" s="234">
        <v>1810.46</v>
      </c>
      <c r="V117" s="234">
        <v>2255.5819999999999</v>
      </c>
      <c r="W117" s="234">
        <v>558.45100000000002</v>
      </c>
      <c r="X117" s="234">
        <v>1205.0119999999999</v>
      </c>
      <c r="Y117" s="234">
        <v>1273.4110000000001</v>
      </c>
      <c r="Z117" s="234">
        <v>335.97840000000002</v>
      </c>
      <c r="AA117" s="234">
        <v>1495.432</v>
      </c>
      <c r="AB117" s="234">
        <v>201.69900000000001</v>
      </c>
      <c r="AC117" s="234">
        <v>870.56700000000001</v>
      </c>
      <c r="AD117" s="234">
        <v>353.56470000000002</v>
      </c>
      <c r="AE117" s="234">
        <v>396.15769999999998</v>
      </c>
      <c r="AF117" s="234">
        <v>38919.93</v>
      </c>
      <c r="AG117" s="234">
        <v>9688.0669999999991</v>
      </c>
      <c r="AH117" s="234">
        <v>56836.15</v>
      </c>
      <c r="AI117" s="234">
        <v>30485.62</v>
      </c>
      <c r="AJ117" s="234">
        <v>17633.689999999999</v>
      </c>
      <c r="AK117" s="234">
        <v>32110.92</v>
      </c>
      <c r="AL117" s="234">
        <v>176966.3</v>
      </c>
      <c r="AM117" s="234">
        <v>20926.810000000001</v>
      </c>
      <c r="AN117" s="234">
        <v>15889.88</v>
      </c>
      <c r="AO117" s="234">
        <v>58332.84</v>
      </c>
      <c r="AP117" s="234">
        <v>61797.27</v>
      </c>
      <c r="AQ117" s="234">
        <v>13765.07</v>
      </c>
      <c r="AR117" s="234">
        <v>22531.75</v>
      </c>
      <c r="AS117" s="234">
        <v>284867.20000000001</v>
      </c>
      <c r="AT117" s="234">
        <v>268357.90000000002</v>
      </c>
      <c r="AU117" s="234">
        <v>339005.3</v>
      </c>
      <c r="AV117" s="234">
        <v>78264.91</v>
      </c>
      <c r="AW117" s="234">
        <v>83645.55</v>
      </c>
      <c r="AX117" s="234">
        <v>9153.7919999999995</v>
      </c>
      <c r="AY117" s="234">
        <v>2255.5819999999999</v>
      </c>
      <c r="AZ117" s="234">
        <v>376736.5</v>
      </c>
      <c r="BA117" s="234">
        <v>18392.689999999999</v>
      </c>
      <c r="BB117" s="234">
        <v>47713</v>
      </c>
      <c r="BC117" s="234">
        <v>48959</v>
      </c>
      <c r="BD117" s="234">
        <v>10826</v>
      </c>
      <c r="BE117" s="234" t="s">
        <v>34</v>
      </c>
      <c r="BF117" s="234">
        <v>0.62266527777777803</v>
      </c>
      <c r="BG117" s="234">
        <v>3</v>
      </c>
      <c r="BH117" s="234">
        <v>-2716810</v>
      </c>
      <c r="BI117" s="234">
        <v>0</v>
      </c>
      <c r="BJ117" s="234">
        <v>0</v>
      </c>
      <c r="BK117" s="234">
        <v>1</v>
      </c>
      <c r="BL117" s="234">
        <v>0</v>
      </c>
      <c r="BM117" s="234">
        <v>0</v>
      </c>
      <c r="BN117" s="234">
        <f>IF(ECON_OUTPUT!BE117="Other",1,0)</f>
        <v>0</v>
      </c>
    </row>
    <row r="118" spans="1:66" x14ac:dyDescent="0.25">
      <c r="A118" s="234">
        <v>117</v>
      </c>
      <c r="B118" s="234" t="s">
        <v>1763</v>
      </c>
      <c r="C118" s="234" t="s">
        <v>1049</v>
      </c>
      <c r="D118" s="234" t="s">
        <v>1050</v>
      </c>
      <c r="E118" s="235">
        <v>42942</v>
      </c>
      <c r="F118" s="234" t="s">
        <v>34</v>
      </c>
      <c r="G118" s="234">
        <v>700000</v>
      </c>
      <c r="H118" s="234">
        <v>614770</v>
      </c>
      <c r="I118" s="234">
        <v>-0.121757143</v>
      </c>
      <c r="J118" s="234" t="s">
        <v>464</v>
      </c>
      <c r="K118" s="234">
        <v>2</v>
      </c>
      <c r="L118" s="234" t="s">
        <v>93</v>
      </c>
      <c r="M118" s="234">
        <v>3</v>
      </c>
      <c r="N118" s="234" t="s">
        <v>457</v>
      </c>
      <c r="O118" s="234" t="s">
        <v>1284</v>
      </c>
      <c r="P118" s="234" t="s">
        <v>1754</v>
      </c>
      <c r="Q118" s="234">
        <v>838700</v>
      </c>
      <c r="R118" s="234">
        <v>268.67360000000002</v>
      </c>
      <c r="S118" s="234">
        <v>282.82389999999998</v>
      </c>
      <c r="T118" s="234">
        <v>370.23599999999999</v>
      </c>
      <c r="U118" s="234">
        <v>1810.46</v>
      </c>
      <c r="V118" s="234">
        <v>2255.5819999999999</v>
      </c>
      <c r="W118" s="234">
        <v>558.45100000000002</v>
      </c>
      <c r="X118" s="234">
        <v>1205.0119999999999</v>
      </c>
      <c r="Y118" s="234">
        <v>1273.4110000000001</v>
      </c>
      <c r="Z118" s="234">
        <v>335.97840000000002</v>
      </c>
      <c r="AA118" s="234">
        <v>1495.432</v>
      </c>
      <c r="AB118" s="234">
        <v>201.69900000000001</v>
      </c>
      <c r="AC118" s="234">
        <v>870.56700000000001</v>
      </c>
      <c r="AD118" s="234">
        <v>353.56470000000002</v>
      </c>
      <c r="AE118" s="234">
        <v>396.15769999999998</v>
      </c>
      <c r="AF118" s="234">
        <v>38919.93</v>
      </c>
      <c r="AG118" s="234">
        <v>9688.0669999999991</v>
      </c>
      <c r="AH118" s="234">
        <v>56836.15</v>
      </c>
      <c r="AI118" s="234">
        <v>30485.62</v>
      </c>
      <c r="AJ118" s="234">
        <v>17633.689999999999</v>
      </c>
      <c r="AK118" s="234">
        <v>32110.92</v>
      </c>
      <c r="AL118" s="234">
        <v>176966.3</v>
      </c>
      <c r="AM118" s="234">
        <v>20926.810000000001</v>
      </c>
      <c r="AN118" s="234">
        <v>15889.88</v>
      </c>
      <c r="AO118" s="234">
        <v>58332.84</v>
      </c>
      <c r="AP118" s="234">
        <v>61797.27</v>
      </c>
      <c r="AQ118" s="234">
        <v>13765.07</v>
      </c>
      <c r="AR118" s="234">
        <v>22531.75</v>
      </c>
      <c r="AS118" s="234">
        <v>284867.20000000001</v>
      </c>
      <c r="AT118" s="234">
        <v>268357.90000000002</v>
      </c>
      <c r="AU118" s="234">
        <v>339005.3</v>
      </c>
      <c r="AV118" s="234">
        <v>78264.91</v>
      </c>
      <c r="AW118" s="234">
        <v>83645.55</v>
      </c>
      <c r="AX118" s="234">
        <v>9153.7919999999995</v>
      </c>
      <c r="AY118" s="234">
        <v>2255.5819999999999</v>
      </c>
      <c r="AZ118" s="234">
        <v>376736.5</v>
      </c>
      <c r="BA118" s="234">
        <v>18392.689999999999</v>
      </c>
      <c r="BB118" s="234">
        <v>47713</v>
      </c>
      <c r="BC118" s="234">
        <v>48959</v>
      </c>
      <c r="BD118" s="234">
        <v>10826</v>
      </c>
      <c r="BE118" s="234" t="s">
        <v>34</v>
      </c>
      <c r="BF118" s="234">
        <v>1.1981428571428601</v>
      </c>
      <c r="BG118" s="234">
        <v>1</v>
      </c>
      <c r="BH118" s="234">
        <v>138700</v>
      </c>
      <c r="BI118" s="234">
        <v>1</v>
      </c>
      <c r="BJ118" s="234">
        <v>0</v>
      </c>
      <c r="BK118" s="234">
        <v>0</v>
      </c>
      <c r="BL118" s="234">
        <v>0</v>
      </c>
      <c r="BM118" s="234">
        <v>0</v>
      </c>
      <c r="BN118" s="234">
        <f>IF(ECON_OUTPUT!BE118="Other",1,0)</f>
        <v>0</v>
      </c>
    </row>
    <row r="119" spans="1:66" x14ac:dyDescent="0.25">
      <c r="A119" s="234">
        <v>118</v>
      </c>
      <c r="B119" s="234" t="s">
        <v>1763</v>
      </c>
      <c r="C119" s="234" t="s">
        <v>1052</v>
      </c>
      <c r="D119" s="234" t="s">
        <v>1053</v>
      </c>
      <c r="E119" s="235">
        <v>42948</v>
      </c>
      <c r="F119" s="234" t="s">
        <v>34</v>
      </c>
      <c r="G119" s="234">
        <v>1330000</v>
      </c>
      <c r="H119" s="234">
        <v>936000</v>
      </c>
      <c r="I119" s="234">
        <v>-0.29624060200000002</v>
      </c>
      <c r="J119" s="234" t="s">
        <v>464</v>
      </c>
      <c r="K119" s="234">
        <v>6</v>
      </c>
      <c r="L119" s="234" t="s">
        <v>93</v>
      </c>
      <c r="M119" s="234">
        <v>3</v>
      </c>
      <c r="N119" s="234" t="s">
        <v>458</v>
      </c>
      <c r="O119" s="234" t="s">
        <v>1281</v>
      </c>
      <c r="P119" s="234" t="s">
        <v>1750</v>
      </c>
      <c r="Q119" s="234">
        <v>1097450</v>
      </c>
      <c r="R119" s="234">
        <v>268.67360000000002</v>
      </c>
      <c r="S119" s="234">
        <v>282.82389999999998</v>
      </c>
      <c r="T119" s="234">
        <v>370.23599999999999</v>
      </c>
      <c r="U119" s="234">
        <v>1810.46</v>
      </c>
      <c r="V119" s="234">
        <v>2255.5819999999999</v>
      </c>
      <c r="W119" s="234">
        <v>558.45100000000002</v>
      </c>
      <c r="X119" s="234">
        <v>1205.0119999999999</v>
      </c>
      <c r="Y119" s="234">
        <v>1273.4110000000001</v>
      </c>
      <c r="Z119" s="234">
        <v>335.97840000000002</v>
      </c>
      <c r="AA119" s="234">
        <v>1495.432</v>
      </c>
      <c r="AB119" s="234">
        <v>201.69900000000001</v>
      </c>
      <c r="AC119" s="234">
        <v>870.56700000000001</v>
      </c>
      <c r="AD119" s="234">
        <v>353.56470000000002</v>
      </c>
      <c r="AE119" s="234">
        <v>396.15769999999998</v>
      </c>
      <c r="AF119" s="234">
        <v>38919.93</v>
      </c>
      <c r="AG119" s="234">
        <v>9688.0669999999991</v>
      </c>
      <c r="AH119" s="234">
        <v>56836.15</v>
      </c>
      <c r="AI119" s="234">
        <v>30485.62</v>
      </c>
      <c r="AJ119" s="234">
        <v>17633.689999999999</v>
      </c>
      <c r="AK119" s="234">
        <v>32110.92</v>
      </c>
      <c r="AL119" s="234">
        <v>176966.3</v>
      </c>
      <c r="AM119" s="234">
        <v>20926.810000000001</v>
      </c>
      <c r="AN119" s="234">
        <v>15889.88</v>
      </c>
      <c r="AO119" s="234">
        <v>58332.84</v>
      </c>
      <c r="AP119" s="234">
        <v>61797.27</v>
      </c>
      <c r="AQ119" s="234">
        <v>13765.07</v>
      </c>
      <c r="AR119" s="234">
        <v>22531.75</v>
      </c>
      <c r="AS119" s="234">
        <v>284867.20000000001</v>
      </c>
      <c r="AT119" s="234">
        <v>268357.90000000002</v>
      </c>
      <c r="AU119" s="234">
        <v>339005.3</v>
      </c>
      <c r="AV119" s="234">
        <v>78264.91</v>
      </c>
      <c r="AW119" s="234">
        <v>83645.55</v>
      </c>
      <c r="AX119" s="234">
        <v>9153.7919999999995</v>
      </c>
      <c r="AY119" s="234">
        <v>2255.5819999999999</v>
      </c>
      <c r="AZ119" s="234">
        <v>376736.5</v>
      </c>
      <c r="BA119" s="234">
        <v>18392.689999999999</v>
      </c>
      <c r="BB119" s="234">
        <v>47713</v>
      </c>
      <c r="BC119" s="234">
        <v>48959</v>
      </c>
      <c r="BD119" s="234">
        <v>10826</v>
      </c>
      <c r="BE119" s="234" t="s">
        <v>34</v>
      </c>
      <c r="BF119" s="234">
        <v>0.82515037593984997</v>
      </c>
      <c r="BG119" s="234">
        <v>1</v>
      </c>
      <c r="BH119" s="234">
        <v>-232550</v>
      </c>
      <c r="BI119" s="234">
        <v>1</v>
      </c>
      <c r="BJ119" s="234">
        <v>0</v>
      </c>
      <c r="BK119" s="234">
        <v>0</v>
      </c>
      <c r="BL119" s="234">
        <v>0</v>
      </c>
      <c r="BM119" s="234">
        <v>0</v>
      </c>
      <c r="BN119" s="234">
        <f>IF(ECON_OUTPUT!BE119="Other",1,0)</f>
        <v>0</v>
      </c>
    </row>
    <row r="120" spans="1:66" x14ac:dyDescent="0.25">
      <c r="A120" s="234">
        <v>119</v>
      </c>
      <c r="B120" s="234" t="s">
        <v>1763</v>
      </c>
      <c r="C120" s="234" t="s">
        <v>1057</v>
      </c>
      <c r="D120" s="234" t="s">
        <v>1058</v>
      </c>
      <c r="E120" s="235">
        <v>42949</v>
      </c>
      <c r="F120" s="234" t="s">
        <v>34</v>
      </c>
      <c r="G120" s="234">
        <v>1650000</v>
      </c>
      <c r="H120" s="234">
        <v>1320718</v>
      </c>
      <c r="I120" s="234">
        <v>-0.19956484799999999</v>
      </c>
      <c r="J120" s="234" t="s">
        <v>464</v>
      </c>
      <c r="K120" s="234">
        <v>4</v>
      </c>
      <c r="L120" s="234" t="s">
        <v>93</v>
      </c>
      <c r="M120" s="234">
        <v>3</v>
      </c>
      <c r="N120" s="234" t="s">
        <v>458</v>
      </c>
      <c r="O120" s="234" t="s">
        <v>1283</v>
      </c>
      <c r="P120" s="234" t="s">
        <v>1755</v>
      </c>
      <c r="Q120" s="234">
        <v>1454175</v>
      </c>
      <c r="R120" s="234">
        <v>268.67360000000002</v>
      </c>
      <c r="S120" s="234">
        <v>282.82389999999998</v>
      </c>
      <c r="T120" s="234">
        <v>370.23599999999999</v>
      </c>
      <c r="U120" s="234">
        <v>1810.46</v>
      </c>
      <c r="V120" s="234">
        <v>2255.5819999999999</v>
      </c>
      <c r="W120" s="234">
        <v>558.45100000000002</v>
      </c>
      <c r="X120" s="234">
        <v>1205.0119999999999</v>
      </c>
      <c r="Y120" s="234">
        <v>1273.4110000000001</v>
      </c>
      <c r="Z120" s="234">
        <v>335.97840000000002</v>
      </c>
      <c r="AA120" s="234">
        <v>1495.432</v>
      </c>
      <c r="AB120" s="234">
        <v>201.69900000000001</v>
      </c>
      <c r="AC120" s="234">
        <v>870.56700000000001</v>
      </c>
      <c r="AD120" s="234">
        <v>353.56470000000002</v>
      </c>
      <c r="AE120" s="234">
        <v>396.15769999999998</v>
      </c>
      <c r="AF120" s="234">
        <v>38919.93</v>
      </c>
      <c r="AG120" s="234">
        <v>9688.0669999999991</v>
      </c>
      <c r="AH120" s="234">
        <v>56836.15</v>
      </c>
      <c r="AI120" s="234">
        <v>30485.62</v>
      </c>
      <c r="AJ120" s="234">
        <v>17633.689999999999</v>
      </c>
      <c r="AK120" s="234">
        <v>32110.92</v>
      </c>
      <c r="AL120" s="234">
        <v>176966.3</v>
      </c>
      <c r="AM120" s="234">
        <v>20926.810000000001</v>
      </c>
      <c r="AN120" s="234">
        <v>15889.88</v>
      </c>
      <c r="AO120" s="234">
        <v>58332.84</v>
      </c>
      <c r="AP120" s="234">
        <v>61797.27</v>
      </c>
      <c r="AQ120" s="234">
        <v>13765.07</v>
      </c>
      <c r="AR120" s="234">
        <v>22531.75</v>
      </c>
      <c r="AS120" s="234">
        <v>284867.20000000001</v>
      </c>
      <c r="AT120" s="234">
        <v>268357.90000000002</v>
      </c>
      <c r="AU120" s="234">
        <v>339005.3</v>
      </c>
      <c r="AV120" s="234">
        <v>78264.91</v>
      </c>
      <c r="AW120" s="234">
        <v>83645.55</v>
      </c>
      <c r="AX120" s="234">
        <v>9153.7919999999995</v>
      </c>
      <c r="AY120" s="234">
        <v>2255.5819999999999</v>
      </c>
      <c r="AZ120" s="234">
        <v>376736.5</v>
      </c>
      <c r="BA120" s="234">
        <v>18392.689999999999</v>
      </c>
      <c r="BB120" s="234">
        <v>47713</v>
      </c>
      <c r="BC120" s="234">
        <v>48959</v>
      </c>
      <c r="BD120" s="234">
        <v>10826</v>
      </c>
      <c r="BE120" s="234" t="s">
        <v>34</v>
      </c>
      <c r="BF120" s="234">
        <v>0.881318181818182</v>
      </c>
      <c r="BG120" s="234">
        <v>2</v>
      </c>
      <c r="BH120" s="234">
        <v>-195825</v>
      </c>
      <c r="BI120" s="234">
        <v>0</v>
      </c>
      <c r="BJ120" s="234">
        <v>1</v>
      </c>
      <c r="BK120" s="234">
        <v>0</v>
      </c>
      <c r="BL120" s="234">
        <v>0</v>
      </c>
      <c r="BM120" s="234">
        <v>0</v>
      </c>
      <c r="BN120" s="234">
        <f>IF(ECON_OUTPUT!BE120="Other",1,0)</f>
        <v>0</v>
      </c>
    </row>
    <row r="121" spans="1:66" x14ac:dyDescent="0.25">
      <c r="A121" s="234">
        <v>120</v>
      </c>
      <c r="B121" s="234" t="s">
        <v>1763</v>
      </c>
      <c r="C121" s="234" t="s">
        <v>1060</v>
      </c>
      <c r="D121" s="234" t="s">
        <v>1061</v>
      </c>
      <c r="E121" s="235">
        <v>42950</v>
      </c>
      <c r="F121" s="234" t="s">
        <v>1753</v>
      </c>
      <c r="G121" s="234">
        <v>13720000</v>
      </c>
      <c r="H121" s="234">
        <v>11539200</v>
      </c>
      <c r="I121" s="234">
        <v>-0.158950437</v>
      </c>
      <c r="J121" s="234" t="s">
        <v>464</v>
      </c>
      <c r="K121" s="234">
        <v>4</v>
      </c>
      <c r="L121" s="234" t="s">
        <v>25</v>
      </c>
      <c r="M121" s="234">
        <v>3</v>
      </c>
      <c r="N121" s="234" t="s">
        <v>492</v>
      </c>
      <c r="O121" s="234" t="s">
        <v>1285</v>
      </c>
      <c r="P121" s="234" t="s">
        <v>1750</v>
      </c>
      <c r="Q121" s="234">
        <v>14401250</v>
      </c>
      <c r="R121" s="234">
        <v>268.67360000000002</v>
      </c>
      <c r="S121" s="234">
        <v>282.82389999999998</v>
      </c>
      <c r="T121" s="234">
        <v>370.23599999999999</v>
      </c>
      <c r="U121" s="234">
        <v>1810.46</v>
      </c>
      <c r="V121" s="234">
        <v>2255.5819999999999</v>
      </c>
      <c r="W121" s="234">
        <v>558.45100000000002</v>
      </c>
      <c r="X121" s="234">
        <v>1205.0119999999999</v>
      </c>
      <c r="Y121" s="234">
        <v>1273.4110000000001</v>
      </c>
      <c r="Z121" s="234">
        <v>335.97840000000002</v>
      </c>
      <c r="AA121" s="234">
        <v>1495.432</v>
      </c>
      <c r="AB121" s="234">
        <v>201.69900000000001</v>
      </c>
      <c r="AC121" s="234">
        <v>870.56700000000001</v>
      </c>
      <c r="AD121" s="234">
        <v>353.56470000000002</v>
      </c>
      <c r="AE121" s="234">
        <v>396.15769999999998</v>
      </c>
      <c r="AF121" s="234">
        <v>38919.93</v>
      </c>
      <c r="AG121" s="234">
        <v>9688.0669999999991</v>
      </c>
      <c r="AH121" s="234">
        <v>56836.15</v>
      </c>
      <c r="AI121" s="234">
        <v>30485.62</v>
      </c>
      <c r="AJ121" s="234">
        <v>17633.689999999999</v>
      </c>
      <c r="AK121" s="234">
        <v>32110.92</v>
      </c>
      <c r="AL121" s="234">
        <v>176966.3</v>
      </c>
      <c r="AM121" s="234">
        <v>20926.810000000001</v>
      </c>
      <c r="AN121" s="234">
        <v>15889.88</v>
      </c>
      <c r="AO121" s="234">
        <v>58332.84</v>
      </c>
      <c r="AP121" s="234">
        <v>61797.27</v>
      </c>
      <c r="AQ121" s="234">
        <v>13765.07</v>
      </c>
      <c r="AR121" s="234">
        <v>22531.75</v>
      </c>
      <c r="AS121" s="234">
        <v>284867.20000000001</v>
      </c>
      <c r="AT121" s="234">
        <v>268357.90000000002</v>
      </c>
      <c r="AU121" s="234">
        <v>339005.3</v>
      </c>
      <c r="AV121" s="234">
        <v>78264.91</v>
      </c>
      <c r="AW121" s="234">
        <v>83645.55</v>
      </c>
      <c r="AX121" s="234">
        <v>9153.7919999999995</v>
      </c>
      <c r="AY121" s="234">
        <v>2255.5819999999999</v>
      </c>
      <c r="AZ121" s="234">
        <v>376736.5</v>
      </c>
      <c r="BA121" s="234">
        <v>18392.689999999999</v>
      </c>
      <c r="BB121" s="234">
        <v>47713</v>
      </c>
      <c r="BC121" s="234">
        <v>48959</v>
      </c>
      <c r="BD121" s="234">
        <v>10826</v>
      </c>
      <c r="BE121" s="234" t="s">
        <v>1753</v>
      </c>
      <c r="BF121" s="234">
        <v>1.0496537900874601</v>
      </c>
      <c r="BG121" s="234">
        <v>5</v>
      </c>
      <c r="BH121" s="234">
        <v>681250</v>
      </c>
      <c r="BI121" s="234">
        <v>0</v>
      </c>
      <c r="BJ121" s="234">
        <v>0</v>
      </c>
      <c r="BK121" s="234">
        <v>0</v>
      </c>
      <c r="BL121" s="234">
        <v>0</v>
      </c>
      <c r="BM121" s="234">
        <v>1</v>
      </c>
      <c r="BN121" s="234">
        <f>IF(ECON_OUTPUT!BE121="Other",1,0)</f>
        <v>1</v>
      </c>
    </row>
    <row r="122" spans="1:66" x14ac:dyDescent="0.25">
      <c r="A122" s="234">
        <v>121</v>
      </c>
      <c r="B122" s="234" t="s">
        <v>1763</v>
      </c>
      <c r="C122" s="234" t="s">
        <v>1063</v>
      </c>
      <c r="D122" s="234" t="s">
        <v>1064</v>
      </c>
      <c r="E122" s="235">
        <v>42951</v>
      </c>
      <c r="F122" s="234" t="s">
        <v>34</v>
      </c>
      <c r="G122" s="234">
        <v>6040000</v>
      </c>
      <c r="H122" s="234">
        <v>4845475</v>
      </c>
      <c r="I122" s="234">
        <v>-0.19776904000000001</v>
      </c>
      <c r="J122" s="234" t="s">
        <v>464</v>
      </c>
      <c r="K122" s="234">
        <v>8</v>
      </c>
      <c r="L122" s="234" t="s">
        <v>93</v>
      </c>
      <c r="M122" s="234">
        <v>3</v>
      </c>
      <c r="N122" s="234" t="s">
        <v>458</v>
      </c>
      <c r="O122" s="234" t="s">
        <v>1282</v>
      </c>
      <c r="P122" s="234" t="s">
        <v>1750</v>
      </c>
      <c r="Q122" s="234">
        <v>5177075</v>
      </c>
      <c r="R122" s="234">
        <v>268.67360000000002</v>
      </c>
      <c r="S122" s="234">
        <v>282.82389999999998</v>
      </c>
      <c r="T122" s="234">
        <v>370.23599999999999</v>
      </c>
      <c r="U122" s="234">
        <v>1810.46</v>
      </c>
      <c r="V122" s="234">
        <v>2255.5819999999999</v>
      </c>
      <c r="W122" s="234">
        <v>558.45100000000002</v>
      </c>
      <c r="X122" s="234">
        <v>1205.0119999999999</v>
      </c>
      <c r="Y122" s="234">
        <v>1273.4110000000001</v>
      </c>
      <c r="Z122" s="234">
        <v>335.97840000000002</v>
      </c>
      <c r="AA122" s="234">
        <v>1495.432</v>
      </c>
      <c r="AB122" s="234">
        <v>201.69900000000001</v>
      </c>
      <c r="AC122" s="234">
        <v>870.56700000000001</v>
      </c>
      <c r="AD122" s="234">
        <v>353.56470000000002</v>
      </c>
      <c r="AE122" s="234">
        <v>396.15769999999998</v>
      </c>
      <c r="AF122" s="234">
        <v>38919.93</v>
      </c>
      <c r="AG122" s="234">
        <v>9688.0669999999991</v>
      </c>
      <c r="AH122" s="234">
        <v>56836.15</v>
      </c>
      <c r="AI122" s="234">
        <v>30485.62</v>
      </c>
      <c r="AJ122" s="234">
        <v>17633.689999999999</v>
      </c>
      <c r="AK122" s="234">
        <v>32110.92</v>
      </c>
      <c r="AL122" s="234">
        <v>176966.3</v>
      </c>
      <c r="AM122" s="234">
        <v>20926.810000000001</v>
      </c>
      <c r="AN122" s="234">
        <v>15889.88</v>
      </c>
      <c r="AO122" s="234">
        <v>58332.84</v>
      </c>
      <c r="AP122" s="234">
        <v>61797.27</v>
      </c>
      <c r="AQ122" s="234">
        <v>13765.07</v>
      </c>
      <c r="AR122" s="234">
        <v>22531.75</v>
      </c>
      <c r="AS122" s="234">
        <v>284867.20000000001</v>
      </c>
      <c r="AT122" s="234">
        <v>268357.90000000002</v>
      </c>
      <c r="AU122" s="234">
        <v>339005.3</v>
      </c>
      <c r="AV122" s="234">
        <v>78264.91</v>
      </c>
      <c r="AW122" s="234">
        <v>83645.55</v>
      </c>
      <c r="AX122" s="234">
        <v>9153.7919999999995</v>
      </c>
      <c r="AY122" s="234">
        <v>2255.5819999999999</v>
      </c>
      <c r="AZ122" s="234">
        <v>376736.5</v>
      </c>
      <c r="BA122" s="234">
        <v>18392.689999999999</v>
      </c>
      <c r="BB122" s="234">
        <v>47713</v>
      </c>
      <c r="BC122" s="234">
        <v>48959</v>
      </c>
      <c r="BD122" s="234">
        <v>10826</v>
      </c>
      <c r="BE122" s="234" t="s">
        <v>34</v>
      </c>
      <c r="BF122" s="234">
        <v>0.85713162251655595</v>
      </c>
      <c r="BG122" s="234">
        <v>4</v>
      </c>
      <c r="BH122" s="234">
        <v>-862925</v>
      </c>
      <c r="BI122" s="234">
        <v>0</v>
      </c>
      <c r="BJ122" s="234">
        <v>0</v>
      </c>
      <c r="BK122" s="234">
        <v>0</v>
      </c>
      <c r="BL122" s="234">
        <v>1</v>
      </c>
      <c r="BM122" s="234">
        <v>0</v>
      </c>
      <c r="BN122" s="234">
        <f>IF(ECON_OUTPUT!BE122="Other",1,0)</f>
        <v>0</v>
      </c>
    </row>
    <row r="123" spans="1:66" x14ac:dyDescent="0.25">
      <c r="A123" s="234">
        <v>122</v>
      </c>
      <c r="B123" s="234" t="s">
        <v>1763</v>
      </c>
      <c r="C123" s="234" t="s">
        <v>1068</v>
      </c>
      <c r="D123" s="234" t="s">
        <v>1069</v>
      </c>
      <c r="E123" s="235">
        <v>42964</v>
      </c>
      <c r="F123" s="234" t="s">
        <v>1753</v>
      </c>
      <c r="G123" s="234">
        <v>8500000</v>
      </c>
      <c r="H123" s="234">
        <v>5682000</v>
      </c>
      <c r="I123" s="234">
        <v>-0.33152941200000002</v>
      </c>
      <c r="J123" s="234" t="s">
        <v>465</v>
      </c>
      <c r="K123" s="234">
        <v>3</v>
      </c>
      <c r="L123" s="234" t="s">
        <v>25</v>
      </c>
      <c r="M123" s="234">
        <v>3</v>
      </c>
      <c r="N123" s="234" t="s">
        <v>458</v>
      </c>
      <c r="O123" s="234" t="s">
        <v>1283</v>
      </c>
      <c r="P123" s="234" t="s">
        <v>1755</v>
      </c>
      <c r="Q123" s="234">
        <v>5778887</v>
      </c>
      <c r="R123" s="234">
        <v>268.67360000000002</v>
      </c>
      <c r="S123" s="234">
        <v>282.82389999999998</v>
      </c>
      <c r="T123" s="234">
        <v>370.23599999999999</v>
      </c>
      <c r="U123" s="234">
        <v>1810.46</v>
      </c>
      <c r="V123" s="234">
        <v>2255.5819999999999</v>
      </c>
      <c r="W123" s="234">
        <v>558.45100000000002</v>
      </c>
      <c r="X123" s="234">
        <v>1205.0119999999999</v>
      </c>
      <c r="Y123" s="234">
        <v>1273.4110000000001</v>
      </c>
      <c r="Z123" s="234">
        <v>335.97840000000002</v>
      </c>
      <c r="AA123" s="234">
        <v>1495.432</v>
      </c>
      <c r="AB123" s="234">
        <v>201.69900000000001</v>
      </c>
      <c r="AC123" s="234">
        <v>870.56700000000001</v>
      </c>
      <c r="AD123" s="234">
        <v>353.56470000000002</v>
      </c>
      <c r="AE123" s="234">
        <v>396.15769999999998</v>
      </c>
      <c r="AF123" s="234">
        <v>38919.93</v>
      </c>
      <c r="AG123" s="234">
        <v>9688.0669999999991</v>
      </c>
      <c r="AH123" s="234">
        <v>56836.15</v>
      </c>
      <c r="AI123" s="234">
        <v>30485.62</v>
      </c>
      <c r="AJ123" s="234">
        <v>17633.689999999999</v>
      </c>
      <c r="AK123" s="234">
        <v>32110.92</v>
      </c>
      <c r="AL123" s="234">
        <v>176966.3</v>
      </c>
      <c r="AM123" s="234">
        <v>20926.810000000001</v>
      </c>
      <c r="AN123" s="234">
        <v>15889.88</v>
      </c>
      <c r="AO123" s="234">
        <v>58332.84</v>
      </c>
      <c r="AP123" s="234">
        <v>61797.27</v>
      </c>
      <c r="AQ123" s="234">
        <v>13765.07</v>
      </c>
      <c r="AR123" s="234">
        <v>22531.75</v>
      </c>
      <c r="AS123" s="234">
        <v>284867.20000000001</v>
      </c>
      <c r="AT123" s="234">
        <v>268357.90000000002</v>
      </c>
      <c r="AU123" s="234">
        <v>339005.3</v>
      </c>
      <c r="AV123" s="234">
        <v>78264.91</v>
      </c>
      <c r="AW123" s="234">
        <v>83645.55</v>
      </c>
      <c r="AX123" s="234">
        <v>9153.7919999999995</v>
      </c>
      <c r="AY123" s="234">
        <v>2255.5819999999999</v>
      </c>
      <c r="AZ123" s="234">
        <v>376736.5</v>
      </c>
      <c r="BA123" s="234">
        <v>18392.689999999999</v>
      </c>
      <c r="BB123" s="234">
        <v>47713</v>
      </c>
      <c r="BC123" s="234">
        <v>48959</v>
      </c>
      <c r="BD123" s="234">
        <v>10826</v>
      </c>
      <c r="BE123" s="234" t="s">
        <v>1753</v>
      </c>
      <c r="BF123" s="234">
        <v>0.67986905882352899</v>
      </c>
      <c r="BG123" s="234">
        <v>4</v>
      </c>
      <c r="BH123" s="234">
        <v>-2721113</v>
      </c>
      <c r="BI123" s="234">
        <v>0</v>
      </c>
      <c r="BJ123" s="234">
        <v>0</v>
      </c>
      <c r="BK123" s="234">
        <v>0</v>
      </c>
      <c r="BL123" s="234">
        <v>1</v>
      </c>
      <c r="BM123" s="234">
        <v>0</v>
      </c>
      <c r="BN123" s="234">
        <f>IF(ECON_OUTPUT!BE123="Other",1,0)</f>
        <v>1</v>
      </c>
    </row>
    <row r="124" spans="1:66" x14ac:dyDescent="0.25">
      <c r="A124" s="234">
        <v>123</v>
      </c>
      <c r="B124" s="234" t="s">
        <v>1763</v>
      </c>
      <c r="C124" s="234" t="s">
        <v>1070</v>
      </c>
      <c r="D124" s="234" t="s">
        <v>1071</v>
      </c>
      <c r="E124" s="235">
        <v>42997</v>
      </c>
      <c r="F124" s="234" t="s">
        <v>34</v>
      </c>
      <c r="G124" s="234">
        <v>1326000</v>
      </c>
      <c r="H124" s="234">
        <v>1976491</v>
      </c>
      <c r="I124" s="234">
        <v>0.490566365</v>
      </c>
      <c r="J124" s="234" t="s">
        <v>465</v>
      </c>
      <c r="K124" s="234">
        <v>4</v>
      </c>
      <c r="L124" s="234" t="s">
        <v>25</v>
      </c>
      <c r="M124" s="234">
        <v>3</v>
      </c>
      <c r="N124" s="234" t="s">
        <v>457</v>
      </c>
      <c r="O124" s="234" t="s">
        <v>1285</v>
      </c>
      <c r="P124" s="234" t="s">
        <v>1750</v>
      </c>
      <c r="Q124" s="234">
        <v>4197700</v>
      </c>
      <c r="R124" s="234">
        <v>268.67360000000002</v>
      </c>
      <c r="S124" s="234">
        <v>282.82389999999998</v>
      </c>
      <c r="T124" s="234">
        <v>370.23599999999999</v>
      </c>
      <c r="U124" s="234">
        <v>1810.46</v>
      </c>
      <c r="V124" s="234">
        <v>2255.5819999999999</v>
      </c>
      <c r="W124" s="234">
        <v>558.45100000000002</v>
      </c>
      <c r="X124" s="234">
        <v>1205.0119999999999</v>
      </c>
      <c r="Y124" s="234">
        <v>1273.4110000000001</v>
      </c>
      <c r="Z124" s="234">
        <v>335.97840000000002</v>
      </c>
      <c r="AA124" s="234">
        <v>1495.432</v>
      </c>
      <c r="AB124" s="234">
        <v>201.69900000000001</v>
      </c>
      <c r="AC124" s="234">
        <v>870.56700000000001</v>
      </c>
      <c r="AD124" s="234">
        <v>353.56470000000002</v>
      </c>
      <c r="AE124" s="234">
        <v>396.15769999999998</v>
      </c>
      <c r="AF124" s="234">
        <v>38919.93</v>
      </c>
      <c r="AG124" s="234">
        <v>9688.0669999999991</v>
      </c>
      <c r="AH124" s="234">
        <v>56836.15</v>
      </c>
      <c r="AI124" s="234">
        <v>30485.62</v>
      </c>
      <c r="AJ124" s="234">
        <v>17633.689999999999</v>
      </c>
      <c r="AK124" s="234">
        <v>32110.92</v>
      </c>
      <c r="AL124" s="234">
        <v>176966.3</v>
      </c>
      <c r="AM124" s="234">
        <v>20926.810000000001</v>
      </c>
      <c r="AN124" s="234">
        <v>15889.88</v>
      </c>
      <c r="AO124" s="234">
        <v>58332.84</v>
      </c>
      <c r="AP124" s="234">
        <v>61797.27</v>
      </c>
      <c r="AQ124" s="234">
        <v>13765.07</v>
      </c>
      <c r="AR124" s="234">
        <v>22531.75</v>
      </c>
      <c r="AS124" s="234">
        <v>284867.20000000001</v>
      </c>
      <c r="AT124" s="234">
        <v>268357.90000000002</v>
      </c>
      <c r="AU124" s="234">
        <v>339005.3</v>
      </c>
      <c r="AV124" s="234">
        <v>78264.91</v>
      </c>
      <c r="AW124" s="234">
        <v>83645.55</v>
      </c>
      <c r="AX124" s="234">
        <v>9153.7919999999995</v>
      </c>
      <c r="AY124" s="234">
        <v>2255.5819999999999</v>
      </c>
      <c r="AZ124" s="234">
        <v>376736.5</v>
      </c>
      <c r="BA124" s="234">
        <v>18392.689999999999</v>
      </c>
      <c r="BB124" s="234">
        <v>47713</v>
      </c>
      <c r="BC124" s="234">
        <v>48959</v>
      </c>
      <c r="BD124" s="234">
        <v>10826</v>
      </c>
      <c r="BE124" s="234" t="s">
        <v>34</v>
      </c>
      <c r="BF124" s="234">
        <v>3.1656862745097998</v>
      </c>
      <c r="BG124" s="234">
        <v>3</v>
      </c>
      <c r="BH124" s="234">
        <v>2871700</v>
      </c>
      <c r="BI124" s="234">
        <v>0</v>
      </c>
      <c r="BJ124" s="234">
        <v>0</v>
      </c>
      <c r="BK124" s="234">
        <v>1</v>
      </c>
      <c r="BL124" s="234">
        <v>0</v>
      </c>
      <c r="BM124" s="234">
        <v>0</v>
      </c>
      <c r="BN124" s="234">
        <f>IF(ECON_OUTPUT!BE124="Other",1,0)</f>
        <v>0</v>
      </c>
    </row>
    <row r="125" spans="1:66" x14ac:dyDescent="0.25">
      <c r="A125" s="234">
        <v>124</v>
      </c>
      <c r="B125" s="234" t="s">
        <v>1763</v>
      </c>
      <c r="C125" s="234" t="s">
        <v>1075</v>
      </c>
      <c r="D125" s="234" t="s">
        <v>1076</v>
      </c>
      <c r="E125" s="235">
        <v>42999</v>
      </c>
      <c r="F125" s="234" t="s">
        <v>34</v>
      </c>
      <c r="G125" s="234">
        <v>1250000</v>
      </c>
      <c r="H125" s="234">
        <v>876947</v>
      </c>
      <c r="I125" s="234">
        <v>-0.2984424</v>
      </c>
      <c r="J125" s="234" t="s">
        <v>464</v>
      </c>
      <c r="K125" s="234">
        <v>13</v>
      </c>
      <c r="L125" s="234" t="s">
        <v>93</v>
      </c>
      <c r="M125" s="234">
        <v>3</v>
      </c>
      <c r="N125" s="234" t="s">
        <v>492</v>
      </c>
      <c r="O125" s="234" t="s">
        <v>1282</v>
      </c>
      <c r="P125" s="234" t="s">
        <v>1750</v>
      </c>
      <c r="Q125" s="234">
        <v>1053180</v>
      </c>
      <c r="R125" s="234">
        <v>268.67360000000002</v>
      </c>
      <c r="S125" s="234">
        <v>282.82389999999998</v>
      </c>
      <c r="T125" s="234">
        <v>370.23599999999999</v>
      </c>
      <c r="U125" s="234">
        <v>1810.46</v>
      </c>
      <c r="V125" s="234">
        <v>2255.5819999999999</v>
      </c>
      <c r="W125" s="234">
        <v>558.45100000000002</v>
      </c>
      <c r="X125" s="234">
        <v>1205.0119999999999</v>
      </c>
      <c r="Y125" s="234">
        <v>1273.4110000000001</v>
      </c>
      <c r="Z125" s="234">
        <v>335.97840000000002</v>
      </c>
      <c r="AA125" s="234">
        <v>1495.432</v>
      </c>
      <c r="AB125" s="234">
        <v>201.69900000000001</v>
      </c>
      <c r="AC125" s="234">
        <v>870.56700000000001</v>
      </c>
      <c r="AD125" s="234">
        <v>353.56470000000002</v>
      </c>
      <c r="AE125" s="234">
        <v>396.15769999999998</v>
      </c>
      <c r="AF125" s="234">
        <v>38919.93</v>
      </c>
      <c r="AG125" s="234">
        <v>9688.0669999999991</v>
      </c>
      <c r="AH125" s="234">
        <v>56836.15</v>
      </c>
      <c r="AI125" s="234">
        <v>30485.62</v>
      </c>
      <c r="AJ125" s="234">
        <v>17633.689999999999</v>
      </c>
      <c r="AK125" s="234">
        <v>32110.92</v>
      </c>
      <c r="AL125" s="234">
        <v>176966.3</v>
      </c>
      <c r="AM125" s="234">
        <v>20926.810000000001</v>
      </c>
      <c r="AN125" s="234">
        <v>15889.88</v>
      </c>
      <c r="AO125" s="234">
        <v>58332.84</v>
      </c>
      <c r="AP125" s="234">
        <v>61797.27</v>
      </c>
      <c r="AQ125" s="234">
        <v>13765.07</v>
      </c>
      <c r="AR125" s="234">
        <v>22531.75</v>
      </c>
      <c r="AS125" s="234">
        <v>284867.20000000001</v>
      </c>
      <c r="AT125" s="234">
        <v>268357.90000000002</v>
      </c>
      <c r="AU125" s="234">
        <v>339005.3</v>
      </c>
      <c r="AV125" s="234">
        <v>78264.91</v>
      </c>
      <c r="AW125" s="234">
        <v>83645.55</v>
      </c>
      <c r="AX125" s="234">
        <v>9153.7919999999995</v>
      </c>
      <c r="AY125" s="234">
        <v>2255.5819999999999</v>
      </c>
      <c r="AZ125" s="234">
        <v>376736.5</v>
      </c>
      <c r="BA125" s="234">
        <v>18392.689999999999</v>
      </c>
      <c r="BB125" s="234">
        <v>47713</v>
      </c>
      <c r="BC125" s="234">
        <v>48959</v>
      </c>
      <c r="BD125" s="234">
        <v>10826</v>
      </c>
      <c r="BE125" s="234" t="s">
        <v>34</v>
      </c>
      <c r="BF125" s="234">
        <v>0.84254399999999996</v>
      </c>
      <c r="BG125" s="234">
        <v>1</v>
      </c>
      <c r="BH125" s="234">
        <v>-196820</v>
      </c>
      <c r="BI125" s="234">
        <v>1</v>
      </c>
      <c r="BJ125" s="234">
        <v>0</v>
      </c>
      <c r="BK125" s="234">
        <v>0</v>
      </c>
      <c r="BL125" s="234">
        <v>0</v>
      </c>
      <c r="BM125" s="234">
        <v>0</v>
      </c>
      <c r="BN125" s="234">
        <f>IF(ECON_OUTPUT!BE125="Other",1,0)</f>
        <v>0</v>
      </c>
    </row>
    <row r="126" spans="1:66" x14ac:dyDescent="0.25">
      <c r="A126" s="234">
        <v>125</v>
      </c>
      <c r="B126" s="234" t="s">
        <v>1763</v>
      </c>
      <c r="C126" s="234" t="s">
        <v>1084</v>
      </c>
      <c r="D126" s="234" t="s">
        <v>1085</v>
      </c>
      <c r="E126" s="235">
        <v>43004</v>
      </c>
      <c r="F126" s="234" t="s">
        <v>1753</v>
      </c>
      <c r="G126" s="234">
        <v>189900000</v>
      </c>
      <c r="H126" s="234">
        <v>154487000</v>
      </c>
      <c r="I126" s="234">
        <v>-0.18648235899999999</v>
      </c>
      <c r="J126" s="234" t="s">
        <v>464</v>
      </c>
      <c r="K126" s="234">
        <v>5</v>
      </c>
      <c r="L126" s="234" t="s">
        <v>93</v>
      </c>
      <c r="M126" s="234">
        <v>3</v>
      </c>
      <c r="N126" s="234" t="s">
        <v>457</v>
      </c>
      <c r="O126" s="234" t="s">
        <v>1282</v>
      </c>
      <c r="P126" s="234" t="s">
        <v>1750</v>
      </c>
      <c r="Q126" s="234">
        <v>175788235</v>
      </c>
      <c r="R126" s="234">
        <v>268.67360000000002</v>
      </c>
      <c r="S126" s="234">
        <v>282.82389999999998</v>
      </c>
      <c r="T126" s="234">
        <v>370.23599999999999</v>
      </c>
      <c r="U126" s="234">
        <v>1810.46</v>
      </c>
      <c r="V126" s="234">
        <v>2255.5819999999999</v>
      </c>
      <c r="W126" s="234">
        <v>558.45100000000002</v>
      </c>
      <c r="X126" s="234">
        <v>1205.0119999999999</v>
      </c>
      <c r="Y126" s="234">
        <v>1273.4110000000001</v>
      </c>
      <c r="Z126" s="234">
        <v>335.97840000000002</v>
      </c>
      <c r="AA126" s="234">
        <v>1495.432</v>
      </c>
      <c r="AB126" s="234">
        <v>201.69900000000001</v>
      </c>
      <c r="AC126" s="234">
        <v>870.56700000000001</v>
      </c>
      <c r="AD126" s="234">
        <v>353.56470000000002</v>
      </c>
      <c r="AE126" s="234">
        <v>396.15769999999998</v>
      </c>
      <c r="AF126" s="234">
        <v>38919.93</v>
      </c>
      <c r="AG126" s="234">
        <v>9688.0669999999991</v>
      </c>
      <c r="AH126" s="234">
        <v>56836.15</v>
      </c>
      <c r="AI126" s="234">
        <v>30485.62</v>
      </c>
      <c r="AJ126" s="234">
        <v>17633.689999999999</v>
      </c>
      <c r="AK126" s="234">
        <v>32110.92</v>
      </c>
      <c r="AL126" s="234">
        <v>176966.3</v>
      </c>
      <c r="AM126" s="234">
        <v>20926.810000000001</v>
      </c>
      <c r="AN126" s="234">
        <v>15889.88</v>
      </c>
      <c r="AO126" s="234">
        <v>58332.84</v>
      </c>
      <c r="AP126" s="234">
        <v>61797.27</v>
      </c>
      <c r="AQ126" s="234">
        <v>13765.07</v>
      </c>
      <c r="AR126" s="234">
        <v>22531.75</v>
      </c>
      <c r="AS126" s="234">
        <v>284867.20000000001</v>
      </c>
      <c r="AT126" s="234">
        <v>268357.90000000002</v>
      </c>
      <c r="AU126" s="234">
        <v>339005.3</v>
      </c>
      <c r="AV126" s="234">
        <v>78264.91</v>
      </c>
      <c r="AW126" s="234">
        <v>83645.55</v>
      </c>
      <c r="AX126" s="234">
        <v>9153.7919999999995</v>
      </c>
      <c r="AY126" s="234">
        <v>2255.5819999999999</v>
      </c>
      <c r="AZ126" s="234">
        <v>376736.5</v>
      </c>
      <c r="BA126" s="234">
        <v>18392.689999999999</v>
      </c>
      <c r="BB126" s="234">
        <v>47713</v>
      </c>
      <c r="BC126" s="234">
        <v>48959</v>
      </c>
      <c r="BD126" s="234">
        <v>10826</v>
      </c>
      <c r="BE126" s="234" t="s">
        <v>1753</v>
      </c>
      <c r="BF126" s="234">
        <v>0.92568844128488703</v>
      </c>
      <c r="BG126" s="234">
        <v>5</v>
      </c>
      <c r="BH126" s="234">
        <v>-14111765</v>
      </c>
      <c r="BI126" s="234">
        <v>0</v>
      </c>
      <c r="BJ126" s="234">
        <v>0</v>
      </c>
      <c r="BK126" s="234">
        <v>0</v>
      </c>
      <c r="BL126" s="234">
        <v>0</v>
      </c>
      <c r="BM126" s="234">
        <v>1</v>
      </c>
      <c r="BN126" s="234">
        <f>IF(ECON_OUTPUT!BE126="Other",1,0)</f>
        <v>1</v>
      </c>
    </row>
    <row r="127" spans="1:66" x14ac:dyDescent="0.25">
      <c r="A127" s="234">
        <v>126</v>
      </c>
      <c r="B127" s="234" t="s">
        <v>1763</v>
      </c>
      <c r="C127" s="234" t="s">
        <v>1089</v>
      </c>
      <c r="D127" s="234" t="s">
        <v>1090</v>
      </c>
      <c r="E127" s="235">
        <v>43005</v>
      </c>
      <c r="F127" s="234" t="s">
        <v>34</v>
      </c>
      <c r="G127" s="234">
        <v>1250000</v>
      </c>
      <c r="H127" s="234">
        <v>1068000</v>
      </c>
      <c r="I127" s="234">
        <v>-0.14560000000000001</v>
      </c>
      <c r="J127" s="234" t="s">
        <v>464</v>
      </c>
      <c r="K127" s="234">
        <v>6</v>
      </c>
      <c r="L127" s="234" t="s">
        <v>226</v>
      </c>
      <c r="M127" s="234">
        <v>3</v>
      </c>
      <c r="N127" s="234" t="s">
        <v>457</v>
      </c>
      <c r="O127" s="234" t="s">
        <v>1284</v>
      </c>
      <c r="P127" s="234" t="s">
        <v>1750</v>
      </c>
      <c r="Q127" s="234">
        <v>2672000</v>
      </c>
      <c r="R127" s="234">
        <v>268.67360000000002</v>
      </c>
      <c r="S127" s="234">
        <v>282.82389999999998</v>
      </c>
      <c r="T127" s="234">
        <v>370.23599999999999</v>
      </c>
      <c r="U127" s="234">
        <v>1810.46</v>
      </c>
      <c r="V127" s="234">
        <v>2255.5819999999999</v>
      </c>
      <c r="W127" s="234">
        <v>558.45100000000002</v>
      </c>
      <c r="X127" s="234">
        <v>1205.0119999999999</v>
      </c>
      <c r="Y127" s="234">
        <v>1273.4110000000001</v>
      </c>
      <c r="Z127" s="234">
        <v>335.97840000000002</v>
      </c>
      <c r="AA127" s="234">
        <v>1495.432</v>
      </c>
      <c r="AB127" s="234">
        <v>201.69900000000001</v>
      </c>
      <c r="AC127" s="234">
        <v>870.56700000000001</v>
      </c>
      <c r="AD127" s="234">
        <v>353.56470000000002</v>
      </c>
      <c r="AE127" s="234">
        <v>396.15769999999998</v>
      </c>
      <c r="AF127" s="234">
        <v>38919.93</v>
      </c>
      <c r="AG127" s="234">
        <v>9688.0669999999991</v>
      </c>
      <c r="AH127" s="234">
        <v>56836.15</v>
      </c>
      <c r="AI127" s="234">
        <v>30485.62</v>
      </c>
      <c r="AJ127" s="234">
        <v>17633.689999999999</v>
      </c>
      <c r="AK127" s="234">
        <v>32110.92</v>
      </c>
      <c r="AL127" s="234">
        <v>176966.3</v>
      </c>
      <c r="AM127" s="234">
        <v>20926.810000000001</v>
      </c>
      <c r="AN127" s="234">
        <v>15889.88</v>
      </c>
      <c r="AO127" s="234">
        <v>58332.84</v>
      </c>
      <c r="AP127" s="234">
        <v>61797.27</v>
      </c>
      <c r="AQ127" s="234">
        <v>13765.07</v>
      </c>
      <c r="AR127" s="234">
        <v>22531.75</v>
      </c>
      <c r="AS127" s="234">
        <v>284867.20000000001</v>
      </c>
      <c r="AT127" s="234">
        <v>268357.90000000002</v>
      </c>
      <c r="AU127" s="234">
        <v>339005.3</v>
      </c>
      <c r="AV127" s="234">
        <v>78264.91</v>
      </c>
      <c r="AW127" s="234">
        <v>83645.55</v>
      </c>
      <c r="AX127" s="234">
        <v>9153.7919999999995</v>
      </c>
      <c r="AY127" s="234">
        <v>2255.5819999999999</v>
      </c>
      <c r="AZ127" s="234">
        <v>376736.5</v>
      </c>
      <c r="BA127" s="234">
        <v>18392.689999999999</v>
      </c>
      <c r="BB127" s="234">
        <v>47713</v>
      </c>
      <c r="BC127" s="234">
        <v>48959</v>
      </c>
      <c r="BD127" s="234">
        <v>10826</v>
      </c>
      <c r="BE127" s="234" t="s">
        <v>34</v>
      </c>
      <c r="BF127" s="234">
        <v>2.1375999999999999</v>
      </c>
      <c r="BG127" s="234">
        <v>3</v>
      </c>
      <c r="BH127" s="234">
        <v>1422000</v>
      </c>
      <c r="BI127" s="234">
        <v>0</v>
      </c>
      <c r="BJ127" s="234">
        <v>0</v>
      </c>
      <c r="BK127" s="234">
        <v>1</v>
      </c>
      <c r="BL127" s="234">
        <v>0</v>
      </c>
      <c r="BM127" s="234">
        <v>0</v>
      </c>
      <c r="BN127" s="234">
        <f>IF(ECON_OUTPUT!BE127="Other",1,0)</f>
        <v>0</v>
      </c>
    </row>
    <row r="128" spans="1:66" x14ac:dyDescent="0.25">
      <c r="A128" s="234">
        <v>127</v>
      </c>
      <c r="B128" s="234" t="s">
        <v>1763</v>
      </c>
      <c r="C128" s="234" t="s">
        <v>1091</v>
      </c>
      <c r="D128" s="234" t="s">
        <v>1092</v>
      </c>
      <c r="E128" s="235">
        <v>43006</v>
      </c>
      <c r="F128" s="234" t="s">
        <v>177</v>
      </c>
      <c r="G128" s="234">
        <v>609000</v>
      </c>
      <c r="H128" s="234">
        <v>579300</v>
      </c>
      <c r="I128" s="234">
        <v>-4.8768473E-2</v>
      </c>
      <c r="J128" s="234" t="s">
        <v>464</v>
      </c>
      <c r="K128" s="234">
        <v>4</v>
      </c>
      <c r="L128" s="234" t="s">
        <v>226</v>
      </c>
      <c r="M128" s="234">
        <v>3</v>
      </c>
      <c r="N128" s="234" t="s">
        <v>457</v>
      </c>
      <c r="O128" s="234" t="s">
        <v>1286</v>
      </c>
      <c r="P128" s="234" t="s">
        <v>1750</v>
      </c>
      <c r="Q128" s="234">
        <v>1699000</v>
      </c>
      <c r="R128" s="234">
        <v>268.67360000000002</v>
      </c>
      <c r="S128" s="234">
        <v>282.82389999999998</v>
      </c>
      <c r="T128" s="234">
        <v>370.23599999999999</v>
      </c>
      <c r="U128" s="234">
        <v>1810.46</v>
      </c>
      <c r="V128" s="234">
        <v>2255.5819999999999</v>
      </c>
      <c r="W128" s="234">
        <v>558.45100000000002</v>
      </c>
      <c r="X128" s="234">
        <v>1205.0119999999999</v>
      </c>
      <c r="Y128" s="234">
        <v>1273.4110000000001</v>
      </c>
      <c r="Z128" s="234">
        <v>335.97840000000002</v>
      </c>
      <c r="AA128" s="234">
        <v>1495.432</v>
      </c>
      <c r="AB128" s="234">
        <v>201.69900000000001</v>
      </c>
      <c r="AC128" s="234">
        <v>870.56700000000001</v>
      </c>
      <c r="AD128" s="234">
        <v>353.56470000000002</v>
      </c>
      <c r="AE128" s="234">
        <v>396.15769999999998</v>
      </c>
      <c r="AF128" s="234">
        <v>38919.93</v>
      </c>
      <c r="AG128" s="234">
        <v>9688.0669999999991</v>
      </c>
      <c r="AH128" s="234">
        <v>56836.15</v>
      </c>
      <c r="AI128" s="234">
        <v>30485.62</v>
      </c>
      <c r="AJ128" s="234">
        <v>17633.689999999999</v>
      </c>
      <c r="AK128" s="234">
        <v>32110.92</v>
      </c>
      <c r="AL128" s="234">
        <v>176966.3</v>
      </c>
      <c r="AM128" s="234">
        <v>20926.810000000001</v>
      </c>
      <c r="AN128" s="234">
        <v>15889.88</v>
      </c>
      <c r="AO128" s="234">
        <v>58332.84</v>
      </c>
      <c r="AP128" s="234">
        <v>61797.27</v>
      </c>
      <c r="AQ128" s="234">
        <v>13765.07</v>
      </c>
      <c r="AR128" s="234">
        <v>22531.75</v>
      </c>
      <c r="AS128" s="234">
        <v>284867.20000000001</v>
      </c>
      <c r="AT128" s="234">
        <v>268357.90000000002</v>
      </c>
      <c r="AU128" s="234">
        <v>339005.3</v>
      </c>
      <c r="AV128" s="234">
        <v>78264.91</v>
      </c>
      <c r="AW128" s="234">
        <v>83645.55</v>
      </c>
      <c r="AX128" s="234">
        <v>9153.7919999999995</v>
      </c>
      <c r="AY128" s="234">
        <v>2255.5819999999999</v>
      </c>
      <c r="AZ128" s="234">
        <v>376736.5</v>
      </c>
      <c r="BA128" s="234">
        <v>18392.689999999999</v>
      </c>
      <c r="BB128" s="234">
        <v>47713</v>
      </c>
      <c r="BC128" s="234">
        <v>48959</v>
      </c>
      <c r="BD128" s="234">
        <v>10826</v>
      </c>
      <c r="BE128" s="234" t="s">
        <v>1753</v>
      </c>
      <c r="BF128" s="234">
        <v>2.7898193760262702</v>
      </c>
      <c r="BG128" s="234">
        <v>2</v>
      </c>
      <c r="BH128" s="234">
        <v>1090000</v>
      </c>
      <c r="BI128" s="234">
        <v>0</v>
      </c>
      <c r="BJ128" s="234">
        <v>1</v>
      </c>
      <c r="BK128" s="234">
        <v>0</v>
      </c>
      <c r="BL128" s="234">
        <v>0</v>
      </c>
      <c r="BM128" s="234">
        <v>0</v>
      </c>
      <c r="BN128" s="234">
        <f>IF(ECON_OUTPUT!BE128="Other",1,0)</f>
        <v>1</v>
      </c>
    </row>
    <row r="129" spans="1:66" x14ac:dyDescent="0.25">
      <c r="A129" s="234">
        <v>128</v>
      </c>
      <c r="B129" s="234" t="s">
        <v>1762</v>
      </c>
      <c r="C129" s="234" t="s">
        <v>1093</v>
      </c>
      <c r="D129" s="234" t="s">
        <v>1094</v>
      </c>
      <c r="E129" s="235">
        <v>43013</v>
      </c>
      <c r="F129" s="234" t="s">
        <v>34</v>
      </c>
      <c r="G129" s="234">
        <v>970000</v>
      </c>
      <c r="H129" s="234">
        <v>1285000</v>
      </c>
      <c r="I129" s="234">
        <v>0.324742268</v>
      </c>
      <c r="J129" s="234" t="s">
        <v>465</v>
      </c>
      <c r="K129" s="234">
        <v>6</v>
      </c>
      <c r="L129" s="234" t="s">
        <v>25</v>
      </c>
      <c r="M129" s="234">
        <v>4</v>
      </c>
      <c r="N129" s="234" t="s">
        <v>458</v>
      </c>
      <c r="O129" s="234" t="s">
        <v>1284</v>
      </c>
      <c r="P129" s="234" t="s">
        <v>1754</v>
      </c>
      <c r="Q129" s="234">
        <v>1541500</v>
      </c>
      <c r="R129" s="234">
        <v>270.16890000000001</v>
      </c>
      <c r="S129" s="234">
        <v>283.13639999999998</v>
      </c>
      <c r="T129" s="234">
        <v>374.51960000000003</v>
      </c>
      <c r="U129" s="234">
        <v>1823.77</v>
      </c>
      <c r="V129" s="234">
        <v>2264.8530000000001</v>
      </c>
      <c r="W129" s="234">
        <v>558.61410000000001</v>
      </c>
      <c r="X129" s="234">
        <v>1203.5889999999999</v>
      </c>
      <c r="Y129" s="234">
        <v>1277.8399999999999</v>
      </c>
      <c r="Z129" s="234">
        <v>335.28859999999997</v>
      </c>
      <c r="AA129" s="234">
        <v>1502.6679999999999</v>
      </c>
      <c r="AB129" s="234">
        <v>203.57060000000001</v>
      </c>
      <c r="AC129" s="234">
        <v>868.31849999999997</v>
      </c>
      <c r="AD129" s="234">
        <v>356.87040000000002</v>
      </c>
      <c r="AE129" s="234">
        <v>394.7577</v>
      </c>
      <c r="AF129" s="234">
        <v>39208.76</v>
      </c>
      <c r="AG129" s="234">
        <v>9847.1869999999999</v>
      </c>
      <c r="AH129" s="234">
        <v>56742.11</v>
      </c>
      <c r="AI129" s="234">
        <v>30482.68</v>
      </c>
      <c r="AJ129" s="234">
        <v>17511.14</v>
      </c>
      <c r="AK129" s="234">
        <v>32419.759999999998</v>
      </c>
      <c r="AL129" s="234">
        <v>177848.1</v>
      </c>
      <c r="AM129" s="234">
        <v>20668.63</v>
      </c>
      <c r="AN129" s="234">
        <v>15961.28</v>
      </c>
      <c r="AO129" s="234">
        <v>58854.73</v>
      </c>
      <c r="AP129" s="234">
        <v>62251.3</v>
      </c>
      <c r="AQ129" s="234">
        <v>14020.08</v>
      </c>
      <c r="AR129" s="234">
        <v>22105.17</v>
      </c>
      <c r="AS129" s="234">
        <v>291005.3</v>
      </c>
      <c r="AT129" s="234">
        <v>272301</v>
      </c>
      <c r="AU129" s="234">
        <v>346039.9</v>
      </c>
      <c r="AV129" s="234">
        <v>80767.05</v>
      </c>
      <c r="AW129" s="234">
        <v>85794.74</v>
      </c>
      <c r="AX129" s="234">
        <v>9182.9419999999991</v>
      </c>
      <c r="AY129" s="234">
        <v>2264.8530000000001</v>
      </c>
      <c r="AZ129" s="234">
        <v>378288.9</v>
      </c>
      <c r="BA129" s="234">
        <v>18389.37</v>
      </c>
      <c r="BB129" s="234">
        <v>40405</v>
      </c>
      <c r="BC129" s="234">
        <v>47713</v>
      </c>
      <c r="BD129" s="234">
        <v>10870</v>
      </c>
      <c r="BE129" s="234" t="s">
        <v>34</v>
      </c>
      <c r="BF129" s="234">
        <v>1.58917525773196</v>
      </c>
      <c r="BG129" s="234">
        <v>2</v>
      </c>
      <c r="BH129" s="234">
        <v>571500</v>
      </c>
      <c r="BI129" s="234">
        <v>0</v>
      </c>
      <c r="BJ129" s="234">
        <v>1</v>
      </c>
      <c r="BK129" s="234">
        <v>0</v>
      </c>
      <c r="BL129" s="234">
        <v>0</v>
      </c>
      <c r="BM129" s="234">
        <v>0</v>
      </c>
      <c r="BN129" s="234">
        <f>IF(ECON_OUTPUT!BE129="Other",1,0)</f>
        <v>0</v>
      </c>
    </row>
    <row r="130" spans="1:66" x14ac:dyDescent="0.25">
      <c r="A130" s="234">
        <v>129</v>
      </c>
      <c r="B130" s="234" t="s">
        <v>1762</v>
      </c>
      <c r="C130" s="234" t="s">
        <v>1101</v>
      </c>
      <c r="D130" s="234" t="s">
        <v>1102</v>
      </c>
      <c r="E130" s="235">
        <v>43025</v>
      </c>
      <c r="F130" s="234" t="s">
        <v>34</v>
      </c>
      <c r="G130" s="234">
        <v>2800000</v>
      </c>
      <c r="H130" s="234">
        <v>2847000</v>
      </c>
      <c r="I130" s="234">
        <v>1.6785714E-2</v>
      </c>
      <c r="J130" s="234" t="s">
        <v>464</v>
      </c>
      <c r="K130" s="234">
        <v>9</v>
      </c>
      <c r="L130" s="234" t="s">
        <v>93</v>
      </c>
      <c r="M130" s="234">
        <v>4</v>
      </c>
      <c r="N130" s="234" t="s">
        <v>458</v>
      </c>
      <c r="O130" s="234" t="s">
        <v>1286</v>
      </c>
      <c r="P130" s="234" t="s">
        <v>1750</v>
      </c>
      <c r="Q130" s="234">
        <v>3047960</v>
      </c>
      <c r="R130" s="234">
        <v>270.16890000000001</v>
      </c>
      <c r="S130" s="234">
        <v>283.13639999999998</v>
      </c>
      <c r="T130" s="234">
        <v>374.51960000000003</v>
      </c>
      <c r="U130" s="234">
        <v>1823.77</v>
      </c>
      <c r="V130" s="234">
        <v>2264.8530000000001</v>
      </c>
      <c r="W130" s="234">
        <v>558.61410000000001</v>
      </c>
      <c r="X130" s="234">
        <v>1203.5889999999999</v>
      </c>
      <c r="Y130" s="234">
        <v>1277.8399999999999</v>
      </c>
      <c r="Z130" s="234">
        <v>335.28859999999997</v>
      </c>
      <c r="AA130" s="234">
        <v>1502.6679999999999</v>
      </c>
      <c r="AB130" s="234">
        <v>203.57060000000001</v>
      </c>
      <c r="AC130" s="234">
        <v>868.31849999999997</v>
      </c>
      <c r="AD130" s="234">
        <v>356.87040000000002</v>
      </c>
      <c r="AE130" s="234">
        <v>394.7577</v>
      </c>
      <c r="AF130" s="234">
        <v>39208.76</v>
      </c>
      <c r="AG130" s="234">
        <v>9847.1869999999999</v>
      </c>
      <c r="AH130" s="234">
        <v>56742.11</v>
      </c>
      <c r="AI130" s="234">
        <v>30482.68</v>
      </c>
      <c r="AJ130" s="234">
        <v>17511.14</v>
      </c>
      <c r="AK130" s="234">
        <v>32419.759999999998</v>
      </c>
      <c r="AL130" s="234">
        <v>177848.1</v>
      </c>
      <c r="AM130" s="234">
        <v>20668.63</v>
      </c>
      <c r="AN130" s="234">
        <v>15961.28</v>
      </c>
      <c r="AO130" s="234">
        <v>58854.73</v>
      </c>
      <c r="AP130" s="234">
        <v>62251.3</v>
      </c>
      <c r="AQ130" s="234">
        <v>14020.08</v>
      </c>
      <c r="AR130" s="234">
        <v>22105.17</v>
      </c>
      <c r="AS130" s="234">
        <v>291005.3</v>
      </c>
      <c r="AT130" s="234">
        <v>272301</v>
      </c>
      <c r="AU130" s="234">
        <v>346039.9</v>
      </c>
      <c r="AV130" s="234">
        <v>80767.05</v>
      </c>
      <c r="AW130" s="234">
        <v>85794.74</v>
      </c>
      <c r="AX130" s="234">
        <v>9182.9419999999991</v>
      </c>
      <c r="AY130" s="234">
        <v>2264.8530000000001</v>
      </c>
      <c r="AZ130" s="234">
        <v>378288.9</v>
      </c>
      <c r="BA130" s="234">
        <v>18389.37</v>
      </c>
      <c r="BB130" s="234">
        <v>40405</v>
      </c>
      <c r="BC130" s="234">
        <v>47713</v>
      </c>
      <c r="BD130" s="234">
        <v>10870</v>
      </c>
      <c r="BE130" s="234" t="s">
        <v>34</v>
      </c>
      <c r="BF130" s="234">
        <v>1.0885571428571399</v>
      </c>
      <c r="BG130" s="234">
        <v>3</v>
      </c>
      <c r="BH130" s="234">
        <v>247960</v>
      </c>
      <c r="BI130" s="234">
        <v>0</v>
      </c>
      <c r="BJ130" s="234">
        <v>0</v>
      </c>
      <c r="BK130" s="234">
        <v>1</v>
      </c>
      <c r="BL130" s="234">
        <v>0</v>
      </c>
      <c r="BM130" s="234">
        <v>0</v>
      </c>
      <c r="BN130" s="234">
        <f>IF(ECON_OUTPUT!BE130="Other",1,0)</f>
        <v>0</v>
      </c>
    </row>
    <row r="131" spans="1:66" x14ac:dyDescent="0.25">
      <c r="A131" s="234">
        <v>130</v>
      </c>
      <c r="B131" s="234" t="s">
        <v>1762</v>
      </c>
      <c r="C131" s="234" t="s">
        <v>1099</v>
      </c>
      <c r="D131" s="234" t="s">
        <v>1100</v>
      </c>
      <c r="E131" s="235">
        <v>43025</v>
      </c>
      <c r="F131" s="234" t="s">
        <v>34</v>
      </c>
      <c r="G131" s="234">
        <v>3000000</v>
      </c>
      <c r="H131" s="234">
        <v>2812500</v>
      </c>
      <c r="I131" s="234">
        <v>-6.25E-2</v>
      </c>
      <c r="J131" s="234" t="s">
        <v>464</v>
      </c>
      <c r="K131" s="234">
        <v>2</v>
      </c>
      <c r="L131" s="234" t="s">
        <v>25</v>
      </c>
      <c r="M131" s="234">
        <v>4</v>
      </c>
      <c r="N131" s="234" t="s">
        <v>458</v>
      </c>
      <c r="O131" s="234" t="s">
        <v>1282</v>
      </c>
      <c r="P131" s="234" t="s">
        <v>1750</v>
      </c>
      <c r="Q131" s="234">
        <v>4151000</v>
      </c>
      <c r="R131" s="234">
        <v>270.16890000000001</v>
      </c>
      <c r="S131" s="234">
        <v>283.13639999999998</v>
      </c>
      <c r="T131" s="234">
        <v>374.51960000000003</v>
      </c>
      <c r="U131" s="234">
        <v>1823.77</v>
      </c>
      <c r="V131" s="234">
        <v>2264.8530000000001</v>
      </c>
      <c r="W131" s="234">
        <v>558.61410000000001</v>
      </c>
      <c r="X131" s="234">
        <v>1203.5889999999999</v>
      </c>
      <c r="Y131" s="234">
        <v>1277.8399999999999</v>
      </c>
      <c r="Z131" s="234">
        <v>335.28859999999997</v>
      </c>
      <c r="AA131" s="234">
        <v>1502.6679999999999</v>
      </c>
      <c r="AB131" s="234">
        <v>203.57060000000001</v>
      </c>
      <c r="AC131" s="234">
        <v>868.31849999999997</v>
      </c>
      <c r="AD131" s="234">
        <v>356.87040000000002</v>
      </c>
      <c r="AE131" s="234">
        <v>394.7577</v>
      </c>
      <c r="AF131" s="234">
        <v>39208.76</v>
      </c>
      <c r="AG131" s="234">
        <v>9847.1869999999999</v>
      </c>
      <c r="AH131" s="234">
        <v>56742.11</v>
      </c>
      <c r="AI131" s="234">
        <v>30482.68</v>
      </c>
      <c r="AJ131" s="234">
        <v>17511.14</v>
      </c>
      <c r="AK131" s="234">
        <v>32419.759999999998</v>
      </c>
      <c r="AL131" s="234">
        <v>177848.1</v>
      </c>
      <c r="AM131" s="234">
        <v>20668.63</v>
      </c>
      <c r="AN131" s="234">
        <v>15961.28</v>
      </c>
      <c r="AO131" s="234">
        <v>58854.73</v>
      </c>
      <c r="AP131" s="234">
        <v>62251.3</v>
      </c>
      <c r="AQ131" s="234">
        <v>14020.08</v>
      </c>
      <c r="AR131" s="234">
        <v>22105.17</v>
      </c>
      <c r="AS131" s="234">
        <v>291005.3</v>
      </c>
      <c r="AT131" s="234">
        <v>272301</v>
      </c>
      <c r="AU131" s="234">
        <v>346039.9</v>
      </c>
      <c r="AV131" s="234">
        <v>80767.05</v>
      </c>
      <c r="AW131" s="234">
        <v>85794.74</v>
      </c>
      <c r="AX131" s="234">
        <v>9182.9419999999991</v>
      </c>
      <c r="AY131" s="234">
        <v>2264.8530000000001</v>
      </c>
      <c r="AZ131" s="234">
        <v>378288.9</v>
      </c>
      <c r="BA131" s="234">
        <v>18389.37</v>
      </c>
      <c r="BB131" s="234">
        <v>40405</v>
      </c>
      <c r="BC131" s="234">
        <v>47713</v>
      </c>
      <c r="BD131" s="234">
        <v>10870</v>
      </c>
      <c r="BE131" s="234" t="s">
        <v>34</v>
      </c>
      <c r="BF131" s="234">
        <v>1.3836666666666699</v>
      </c>
      <c r="BG131" s="234">
        <v>3</v>
      </c>
      <c r="BH131" s="234">
        <v>1151000</v>
      </c>
      <c r="BI131" s="234">
        <v>0</v>
      </c>
      <c r="BJ131" s="234">
        <v>0</v>
      </c>
      <c r="BK131" s="234">
        <v>1</v>
      </c>
      <c r="BL131" s="234">
        <v>0</v>
      </c>
      <c r="BM131" s="234">
        <v>0</v>
      </c>
      <c r="BN131" s="234">
        <f>IF(ECON_OUTPUT!BE131="Other",1,0)</f>
        <v>0</v>
      </c>
    </row>
    <row r="132" spans="1:66" x14ac:dyDescent="0.25">
      <c r="A132" s="234">
        <v>131</v>
      </c>
      <c r="B132" s="234" t="s">
        <v>1762</v>
      </c>
      <c r="C132" s="234" t="s">
        <v>1107</v>
      </c>
      <c r="D132" s="234" t="s">
        <v>1109</v>
      </c>
      <c r="E132" s="235">
        <v>43034</v>
      </c>
      <c r="F132" s="234" t="s">
        <v>1753</v>
      </c>
      <c r="G132" s="234">
        <v>2194000</v>
      </c>
      <c r="H132" s="234">
        <v>1361078</v>
      </c>
      <c r="I132" s="234">
        <v>-0.37963628100000002</v>
      </c>
      <c r="J132" s="234" t="s">
        <v>465</v>
      </c>
      <c r="K132" s="234">
        <v>6</v>
      </c>
      <c r="L132" s="234" t="s">
        <v>25</v>
      </c>
      <c r="M132" s="234">
        <v>4</v>
      </c>
      <c r="N132" s="234" t="s">
        <v>459</v>
      </c>
      <c r="O132" s="234" t="s">
        <v>1283</v>
      </c>
      <c r="P132" s="234" t="s">
        <v>1750</v>
      </c>
      <c r="Q132" s="234">
        <v>1488028</v>
      </c>
      <c r="R132" s="234">
        <v>270.16890000000001</v>
      </c>
      <c r="S132" s="234">
        <v>283.13639999999998</v>
      </c>
      <c r="T132" s="234">
        <v>374.51960000000003</v>
      </c>
      <c r="U132" s="234">
        <v>1823.77</v>
      </c>
      <c r="V132" s="234">
        <v>2264.8530000000001</v>
      </c>
      <c r="W132" s="234">
        <v>558.61410000000001</v>
      </c>
      <c r="X132" s="234">
        <v>1203.5889999999999</v>
      </c>
      <c r="Y132" s="234">
        <v>1277.8399999999999</v>
      </c>
      <c r="Z132" s="234">
        <v>335.28859999999997</v>
      </c>
      <c r="AA132" s="234">
        <v>1502.6679999999999</v>
      </c>
      <c r="AB132" s="234">
        <v>203.57060000000001</v>
      </c>
      <c r="AC132" s="234">
        <v>868.31849999999997</v>
      </c>
      <c r="AD132" s="234">
        <v>356.87040000000002</v>
      </c>
      <c r="AE132" s="234">
        <v>394.7577</v>
      </c>
      <c r="AF132" s="234">
        <v>39208.76</v>
      </c>
      <c r="AG132" s="234">
        <v>9847.1869999999999</v>
      </c>
      <c r="AH132" s="234">
        <v>56742.11</v>
      </c>
      <c r="AI132" s="234">
        <v>30482.68</v>
      </c>
      <c r="AJ132" s="234">
        <v>17511.14</v>
      </c>
      <c r="AK132" s="234">
        <v>32419.759999999998</v>
      </c>
      <c r="AL132" s="234">
        <v>177848.1</v>
      </c>
      <c r="AM132" s="234">
        <v>20668.63</v>
      </c>
      <c r="AN132" s="234">
        <v>15961.28</v>
      </c>
      <c r="AO132" s="234">
        <v>58854.73</v>
      </c>
      <c r="AP132" s="234">
        <v>62251.3</v>
      </c>
      <c r="AQ132" s="234">
        <v>14020.08</v>
      </c>
      <c r="AR132" s="234">
        <v>22105.17</v>
      </c>
      <c r="AS132" s="234">
        <v>291005.3</v>
      </c>
      <c r="AT132" s="234">
        <v>272301</v>
      </c>
      <c r="AU132" s="234">
        <v>346039.9</v>
      </c>
      <c r="AV132" s="234">
        <v>80767.05</v>
      </c>
      <c r="AW132" s="234">
        <v>85794.74</v>
      </c>
      <c r="AX132" s="234">
        <v>9182.9419999999991</v>
      </c>
      <c r="AY132" s="234">
        <v>2264.8530000000001</v>
      </c>
      <c r="AZ132" s="234">
        <v>378288.9</v>
      </c>
      <c r="BA132" s="234">
        <v>18389.37</v>
      </c>
      <c r="BB132" s="234">
        <v>40405</v>
      </c>
      <c r="BC132" s="234">
        <v>47713</v>
      </c>
      <c r="BD132" s="234">
        <v>10870</v>
      </c>
      <c r="BE132" s="234" t="s">
        <v>1753</v>
      </c>
      <c r="BF132" s="234">
        <v>0.67822607110300803</v>
      </c>
      <c r="BG132" s="234">
        <v>2</v>
      </c>
      <c r="BH132" s="234">
        <v>-705972</v>
      </c>
      <c r="BI132" s="234">
        <v>0</v>
      </c>
      <c r="BJ132" s="234">
        <v>1</v>
      </c>
      <c r="BK132" s="234">
        <v>0</v>
      </c>
      <c r="BL132" s="234">
        <v>0</v>
      </c>
      <c r="BM132" s="234">
        <v>0</v>
      </c>
      <c r="BN132" s="234">
        <f>IF(ECON_OUTPUT!BE132="Other",1,0)</f>
        <v>1</v>
      </c>
    </row>
    <row r="133" spans="1:66" x14ac:dyDescent="0.25">
      <c r="A133" s="234">
        <v>132</v>
      </c>
      <c r="B133" s="234" t="s">
        <v>1762</v>
      </c>
      <c r="C133" s="234" t="s">
        <v>1116</v>
      </c>
      <c r="D133" s="234" t="s">
        <v>1117</v>
      </c>
      <c r="E133" s="235">
        <v>43047</v>
      </c>
      <c r="F133" s="234" t="s">
        <v>1753</v>
      </c>
      <c r="G133" s="234">
        <v>26900000</v>
      </c>
      <c r="H133" s="234">
        <v>26600000</v>
      </c>
      <c r="I133" s="234">
        <v>-1.1152416E-2</v>
      </c>
      <c r="J133" s="234" t="s">
        <v>464</v>
      </c>
      <c r="K133" s="234">
        <v>3</v>
      </c>
      <c r="L133" s="234" t="s">
        <v>25</v>
      </c>
      <c r="M133" s="234">
        <v>4</v>
      </c>
      <c r="N133" s="234" t="s">
        <v>458</v>
      </c>
      <c r="O133" s="234" t="s">
        <v>1283</v>
      </c>
      <c r="P133" s="234" t="s">
        <v>1755</v>
      </c>
      <c r="Q133" s="234">
        <v>29473711</v>
      </c>
      <c r="R133" s="234">
        <v>270.16890000000001</v>
      </c>
      <c r="S133" s="234">
        <v>283.13639999999998</v>
      </c>
      <c r="T133" s="234">
        <v>374.51960000000003</v>
      </c>
      <c r="U133" s="234">
        <v>1823.77</v>
      </c>
      <c r="V133" s="234">
        <v>2264.8530000000001</v>
      </c>
      <c r="W133" s="234">
        <v>558.61410000000001</v>
      </c>
      <c r="X133" s="234">
        <v>1203.5889999999999</v>
      </c>
      <c r="Y133" s="234">
        <v>1277.8399999999999</v>
      </c>
      <c r="Z133" s="234">
        <v>335.28859999999997</v>
      </c>
      <c r="AA133" s="234">
        <v>1502.6679999999999</v>
      </c>
      <c r="AB133" s="234">
        <v>203.57060000000001</v>
      </c>
      <c r="AC133" s="234">
        <v>868.31849999999997</v>
      </c>
      <c r="AD133" s="234">
        <v>356.87040000000002</v>
      </c>
      <c r="AE133" s="234">
        <v>394.7577</v>
      </c>
      <c r="AF133" s="234">
        <v>39208.76</v>
      </c>
      <c r="AG133" s="234">
        <v>9847.1869999999999</v>
      </c>
      <c r="AH133" s="234">
        <v>56742.11</v>
      </c>
      <c r="AI133" s="234">
        <v>30482.68</v>
      </c>
      <c r="AJ133" s="234">
        <v>17511.14</v>
      </c>
      <c r="AK133" s="234">
        <v>32419.759999999998</v>
      </c>
      <c r="AL133" s="234">
        <v>177848.1</v>
      </c>
      <c r="AM133" s="234">
        <v>20668.63</v>
      </c>
      <c r="AN133" s="234">
        <v>15961.28</v>
      </c>
      <c r="AO133" s="234">
        <v>58854.73</v>
      </c>
      <c r="AP133" s="234">
        <v>62251.3</v>
      </c>
      <c r="AQ133" s="234">
        <v>14020.08</v>
      </c>
      <c r="AR133" s="234">
        <v>22105.17</v>
      </c>
      <c r="AS133" s="234">
        <v>291005.3</v>
      </c>
      <c r="AT133" s="234">
        <v>272301</v>
      </c>
      <c r="AU133" s="234">
        <v>346039.9</v>
      </c>
      <c r="AV133" s="234">
        <v>80767.05</v>
      </c>
      <c r="AW133" s="234">
        <v>85794.74</v>
      </c>
      <c r="AX133" s="234">
        <v>9182.9419999999991</v>
      </c>
      <c r="AY133" s="234">
        <v>2264.8530000000001</v>
      </c>
      <c r="AZ133" s="234">
        <v>378288.9</v>
      </c>
      <c r="BA133" s="234">
        <v>18389.37</v>
      </c>
      <c r="BB133" s="234">
        <v>40405</v>
      </c>
      <c r="BC133" s="234">
        <v>47713</v>
      </c>
      <c r="BD133" s="234">
        <v>10870</v>
      </c>
      <c r="BE133" s="234" t="s">
        <v>1753</v>
      </c>
      <c r="BF133" s="234">
        <v>1.0956769888475799</v>
      </c>
      <c r="BG133" s="234">
        <v>5</v>
      </c>
      <c r="BH133" s="234">
        <v>2573711</v>
      </c>
      <c r="BI133" s="234">
        <v>0</v>
      </c>
      <c r="BJ133" s="234">
        <v>0</v>
      </c>
      <c r="BK133" s="234">
        <v>0</v>
      </c>
      <c r="BL133" s="234">
        <v>0</v>
      </c>
      <c r="BM133" s="234">
        <v>1</v>
      </c>
      <c r="BN133" s="234">
        <f>IF(ECON_OUTPUT!BE133="Other",1,0)</f>
        <v>1</v>
      </c>
    </row>
    <row r="134" spans="1:66" x14ac:dyDescent="0.25">
      <c r="A134" s="234">
        <v>133</v>
      </c>
      <c r="B134" s="234" t="s">
        <v>1762</v>
      </c>
      <c r="C134" s="234" t="s">
        <v>1110</v>
      </c>
      <c r="D134" s="234" t="s">
        <v>1111</v>
      </c>
      <c r="E134" s="235">
        <v>43047</v>
      </c>
      <c r="F134" s="234" t="s">
        <v>34</v>
      </c>
      <c r="G134" s="234">
        <v>1650000</v>
      </c>
      <c r="H134" s="234">
        <v>2278990</v>
      </c>
      <c r="I134" s="234">
        <v>0.38120606099999998</v>
      </c>
      <c r="J134" s="234" t="s">
        <v>465</v>
      </c>
      <c r="K134" s="234">
        <v>5</v>
      </c>
      <c r="L134" s="234" t="s">
        <v>226</v>
      </c>
      <c r="M134" s="234">
        <v>4</v>
      </c>
      <c r="N134" s="234" t="s">
        <v>457</v>
      </c>
      <c r="O134" s="234" t="s">
        <v>1285</v>
      </c>
      <c r="P134" s="234" t="s">
        <v>1754</v>
      </c>
      <c r="Q134" s="234">
        <v>2656000</v>
      </c>
      <c r="R134" s="234">
        <v>270.16890000000001</v>
      </c>
      <c r="S134" s="234">
        <v>283.13639999999998</v>
      </c>
      <c r="T134" s="234">
        <v>374.51960000000003</v>
      </c>
      <c r="U134" s="234">
        <v>1823.77</v>
      </c>
      <c r="V134" s="234">
        <v>2264.8530000000001</v>
      </c>
      <c r="W134" s="234">
        <v>558.61410000000001</v>
      </c>
      <c r="X134" s="234">
        <v>1203.5889999999999</v>
      </c>
      <c r="Y134" s="234">
        <v>1277.8399999999999</v>
      </c>
      <c r="Z134" s="234">
        <v>335.28859999999997</v>
      </c>
      <c r="AA134" s="234">
        <v>1502.6679999999999</v>
      </c>
      <c r="AB134" s="234">
        <v>203.57060000000001</v>
      </c>
      <c r="AC134" s="234">
        <v>868.31849999999997</v>
      </c>
      <c r="AD134" s="234">
        <v>356.87040000000002</v>
      </c>
      <c r="AE134" s="234">
        <v>394.7577</v>
      </c>
      <c r="AF134" s="234">
        <v>39208.76</v>
      </c>
      <c r="AG134" s="234">
        <v>9847.1869999999999</v>
      </c>
      <c r="AH134" s="234">
        <v>56742.11</v>
      </c>
      <c r="AI134" s="234">
        <v>30482.68</v>
      </c>
      <c r="AJ134" s="234">
        <v>17511.14</v>
      </c>
      <c r="AK134" s="234">
        <v>32419.759999999998</v>
      </c>
      <c r="AL134" s="234">
        <v>177848.1</v>
      </c>
      <c r="AM134" s="234">
        <v>20668.63</v>
      </c>
      <c r="AN134" s="234">
        <v>15961.28</v>
      </c>
      <c r="AO134" s="234">
        <v>58854.73</v>
      </c>
      <c r="AP134" s="234">
        <v>62251.3</v>
      </c>
      <c r="AQ134" s="234">
        <v>14020.08</v>
      </c>
      <c r="AR134" s="234">
        <v>22105.17</v>
      </c>
      <c r="AS134" s="234">
        <v>291005.3</v>
      </c>
      <c r="AT134" s="234">
        <v>272301</v>
      </c>
      <c r="AU134" s="234">
        <v>346039.9</v>
      </c>
      <c r="AV134" s="234">
        <v>80767.05</v>
      </c>
      <c r="AW134" s="234">
        <v>85794.74</v>
      </c>
      <c r="AX134" s="234">
        <v>9182.9419999999991</v>
      </c>
      <c r="AY134" s="234">
        <v>2264.8530000000001</v>
      </c>
      <c r="AZ134" s="234">
        <v>378288.9</v>
      </c>
      <c r="BA134" s="234">
        <v>18389.37</v>
      </c>
      <c r="BB134" s="234">
        <v>40405</v>
      </c>
      <c r="BC134" s="234">
        <v>47713</v>
      </c>
      <c r="BD134" s="234">
        <v>10870</v>
      </c>
      <c r="BE134" s="234" t="s">
        <v>34</v>
      </c>
      <c r="BF134" s="234">
        <v>1.6096969696969701</v>
      </c>
      <c r="BG134" s="234">
        <v>3</v>
      </c>
      <c r="BH134" s="234">
        <v>1006000</v>
      </c>
      <c r="BI134" s="234">
        <v>0</v>
      </c>
      <c r="BJ134" s="234">
        <v>0</v>
      </c>
      <c r="BK134" s="234">
        <v>1</v>
      </c>
      <c r="BL134" s="234">
        <v>0</v>
      </c>
      <c r="BM134" s="234">
        <v>0</v>
      </c>
      <c r="BN134" s="234">
        <f>IF(ECON_OUTPUT!BE134="Other",1,0)</f>
        <v>0</v>
      </c>
    </row>
    <row r="135" spans="1:66" x14ac:dyDescent="0.25">
      <c r="A135" s="234">
        <v>134</v>
      </c>
      <c r="B135" s="234" t="s">
        <v>1762</v>
      </c>
      <c r="C135" s="234" t="s">
        <v>1118</v>
      </c>
      <c r="D135" s="234" t="s">
        <v>1119</v>
      </c>
      <c r="E135" s="235">
        <v>43048</v>
      </c>
      <c r="F135" s="234" t="s">
        <v>34</v>
      </c>
      <c r="G135" s="234">
        <v>4860000</v>
      </c>
      <c r="H135" s="234">
        <v>3418000</v>
      </c>
      <c r="I135" s="234">
        <v>-0.29670781899999998</v>
      </c>
      <c r="J135" s="234" t="s">
        <v>464</v>
      </c>
      <c r="K135" s="234">
        <v>8</v>
      </c>
      <c r="L135" s="234" t="s">
        <v>25</v>
      </c>
      <c r="M135" s="234">
        <v>4</v>
      </c>
      <c r="N135" s="234" t="s">
        <v>492</v>
      </c>
      <c r="O135" s="234" t="s">
        <v>1283</v>
      </c>
      <c r="P135" s="234" t="s">
        <v>1750</v>
      </c>
      <c r="Q135" s="234">
        <v>3675999</v>
      </c>
      <c r="R135" s="234">
        <v>270.16890000000001</v>
      </c>
      <c r="S135" s="234">
        <v>283.13639999999998</v>
      </c>
      <c r="T135" s="234">
        <v>374.51960000000003</v>
      </c>
      <c r="U135" s="234">
        <v>1823.77</v>
      </c>
      <c r="V135" s="234">
        <v>2264.8530000000001</v>
      </c>
      <c r="W135" s="234">
        <v>558.61410000000001</v>
      </c>
      <c r="X135" s="234">
        <v>1203.5889999999999</v>
      </c>
      <c r="Y135" s="234">
        <v>1277.8399999999999</v>
      </c>
      <c r="Z135" s="234">
        <v>335.28859999999997</v>
      </c>
      <c r="AA135" s="234">
        <v>1502.6679999999999</v>
      </c>
      <c r="AB135" s="234">
        <v>203.57060000000001</v>
      </c>
      <c r="AC135" s="234">
        <v>868.31849999999997</v>
      </c>
      <c r="AD135" s="234">
        <v>356.87040000000002</v>
      </c>
      <c r="AE135" s="234">
        <v>394.7577</v>
      </c>
      <c r="AF135" s="234">
        <v>39208.76</v>
      </c>
      <c r="AG135" s="234">
        <v>9847.1869999999999</v>
      </c>
      <c r="AH135" s="234">
        <v>56742.11</v>
      </c>
      <c r="AI135" s="234">
        <v>30482.68</v>
      </c>
      <c r="AJ135" s="234">
        <v>17511.14</v>
      </c>
      <c r="AK135" s="234">
        <v>32419.759999999998</v>
      </c>
      <c r="AL135" s="234">
        <v>177848.1</v>
      </c>
      <c r="AM135" s="234">
        <v>20668.63</v>
      </c>
      <c r="AN135" s="234">
        <v>15961.28</v>
      </c>
      <c r="AO135" s="234">
        <v>58854.73</v>
      </c>
      <c r="AP135" s="234">
        <v>62251.3</v>
      </c>
      <c r="AQ135" s="234">
        <v>14020.08</v>
      </c>
      <c r="AR135" s="234">
        <v>22105.17</v>
      </c>
      <c r="AS135" s="234">
        <v>291005.3</v>
      </c>
      <c r="AT135" s="234">
        <v>272301</v>
      </c>
      <c r="AU135" s="234">
        <v>346039.9</v>
      </c>
      <c r="AV135" s="234">
        <v>80767.05</v>
      </c>
      <c r="AW135" s="234">
        <v>85794.74</v>
      </c>
      <c r="AX135" s="234">
        <v>9182.9419999999991</v>
      </c>
      <c r="AY135" s="234">
        <v>2264.8530000000001</v>
      </c>
      <c r="AZ135" s="234">
        <v>378288.9</v>
      </c>
      <c r="BA135" s="234">
        <v>18389.37</v>
      </c>
      <c r="BB135" s="234">
        <v>40405</v>
      </c>
      <c r="BC135" s="234">
        <v>47713</v>
      </c>
      <c r="BD135" s="234">
        <v>10870</v>
      </c>
      <c r="BE135" s="234" t="s">
        <v>34</v>
      </c>
      <c r="BF135" s="234">
        <v>0.75637839506172799</v>
      </c>
      <c r="BG135" s="234">
        <v>3</v>
      </c>
      <c r="BH135" s="234">
        <v>-1184001</v>
      </c>
      <c r="BI135" s="234">
        <v>0</v>
      </c>
      <c r="BJ135" s="234">
        <v>0</v>
      </c>
      <c r="BK135" s="234">
        <v>1</v>
      </c>
      <c r="BL135" s="234">
        <v>0</v>
      </c>
      <c r="BM135" s="234">
        <v>0</v>
      </c>
      <c r="BN135" s="234">
        <f>IF(ECON_OUTPUT!BE135="Other",1,0)</f>
        <v>0</v>
      </c>
    </row>
    <row r="136" spans="1:66" x14ac:dyDescent="0.25">
      <c r="A136" s="234">
        <v>135</v>
      </c>
      <c r="B136" s="234" t="s">
        <v>1762</v>
      </c>
      <c r="C136" s="234" t="s">
        <v>1127</v>
      </c>
      <c r="D136" s="234" t="s">
        <v>1128</v>
      </c>
      <c r="E136" s="235">
        <v>43053</v>
      </c>
      <c r="F136" s="234" t="s">
        <v>1753</v>
      </c>
      <c r="G136" s="234">
        <v>17250000</v>
      </c>
      <c r="H136" s="234">
        <v>22616488</v>
      </c>
      <c r="I136" s="234">
        <v>0.31110075399999998</v>
      </c>
      <c r="J136" s="234" t="s">
        <v>465</v>
      </c>
      <c r="K136" s="234">
        <v>4</v>
      </c>
      <c r="L136" s="234" t="s">
        <v>93</v>
      </c>
      <c r="M136" s="234">
        <v>4</v>
      </c>
      <c r="N136" s="234" t="s">
        <v>457</v>
      </c>
      <c r="O136" s="234" t="s">
        <v>1282</v>
      </c>
      <c r="P136" s="234" t="s">
        <v>1750</v>
      </c>
      <c r="Q136" s="234">
        <v>26253000</v>
      </c>
      <c r="R136" s="234">
        <v>270.16890000000001</v>
      </c>
      <c r="S136" s="234">
        <v>283.13639999999998</v>
      </c>
      <c r="T136" s="234">
        <v>374.51960000000003</v>
      </c>
      <c r="U136" s="234">
        <v>1823.77</v>
      </c>
      <c r="V136" s="234">
        <v>2264.8530000000001</v>
      </c>
      <c r="W136" s="234">
        <v>558.61410000000001</v>
      </c>
      <c r="X136" s="234">
        <v>1203.5889999999999</v>
      </c>
      <c r="Y136" s="234">
        <v>1277.8399999999999</v>
      </c>
      <c r="Z136" s="234">
        <v>335.28859999999997</v>
      </c>
      <c r="AA136" s="234">
        <v>1502.6679999999999</v>
      </c>
      <c r="AB136" s="234">
        <v>203.57060000000001</v>
      </c>
      <c r="AC136" s="234">
        <v>868.31849999999997</v>
      </c>
      <c r="AD136" s="234">
        <v>356.87040000000002</v>
      </c>
      <c r="AE136" s="234">
        <v>394.7577</v>
      </c>
      <c r="AF136" s="234">
        <v>39208.76</v>
      </c>
      <c r="AG136" s="234">
        <v>9847.1869999999999</v>
      </c>
      <c r="AH136" s="234">
        <v>56742.11</v>
      </c>
      <c r="AI136" s="234">
        <v>30482.68</v>
      </c>
      <c r="AJ136" s="234">
        <v>17511.14</v>
      </c>
      <c r="AK136" s="234">
        <v>32419.759999999998</v>
      </c>
      <c r="AL136" s="234">
        <v>177848.1</v>
      </c>
      <c r="AM136" s="234">
        <v>20668.63</v>
      </c>
      <c r="AN136" s="234">
        <v>15961.28</v>
      </c>
      <c r="AO136" s="234">
        <v>58854.73</v>
      </c>
      <c r="AP136" s="234">
        <v>62251.3</v>
      </c>
      <c r="AQ136" s="234">
        <v>14020.08</v>
      </c>
      <c r="AR136" s="234">
        <v>22105.17</v>
      </c>
      <c r="AS136" s="234">
        <v>291005.3</v>
      </c>
      <c r="AT136" s="234">
        <v>272301</v>
      </c>
      <c r="AU136" s="234">
        <v>346039.9</v>
      </c>
      <c r="AV136" s="234">
        <v>80767.05</v>
      </c>
      <c r="AW136" s="234">
        <v>85794.74</v>
      </c>
      <c r="AX136" s="234">
        <v>9182.9419999999991</v>
      </c>
      <c r="AY136" s="234">
        <v>2264.8530000000001</v>
      </c>
      <c r="AZ136" s="234">
        <v>378288.9</v>
      </c>
      <c r="BA136" s="234">
        <v>18389.37</v>
      </c>
      <c r="BB136" s="234">
        <v>40405</v>
      </c>
      <c r="BC136" s="234">
        <v>47713</v>
      </c>
      <c r="BD136" s="234">
        <v>10870</v>
      </c>
      <c r="BE136" s="234" t="s">
        <v>1753</v>
      </c>
      <c r="BF136" s="234">
        <v>1.52191304347826</v>
      </c>
      <c r="BG136" s="234">
        <v>5</v>
      </c>
      <c r="BH136" s="234">
        <v>9003000</v>
      </c>
      <c r="BI136" s="234">
        <v>0</v>
      </c>
      <c r="BJ136" s="234">
        <v>0</v>
      </c>
      <c r="BK136" s="234">
        <v>0</v>
      </c>
      <c r="BL136" s="234">
        <v>0</v>
      </c>
      <c r="BM136" s="234">
        <v>1</v>
      </c>
      <c r="BN136" s="234">
        <f>IF(ECON_OUTPUT!BE136="Other",1,0)</f>
        <v>1</v>
      </c>
    </row>
    <row r="137" spans="1:66" x14ac:dyDescent="0.25">
      <c r="A137" s="234">
        <v>136</v>
      </c>
      <c r="B137" s="234" t="s">
        <v>1762</v>
      </c>
      <c r="C137" s="234" t="s">
        <v>1124</v>
      </c>
      <c r="D137" s="234" t="s">
        <v>1125</v>
      </c>
      <c r="E137" s="235">
        <v>43053</v>
      </c>
      <c r="F137" s="234" t="s">
        <v>177</v>
      </c>
      <c r="G137" s="234">
        <v>820000</v>
      </c>
      <c r="H137" s="234">
        <v>861500</v>
      </c>
      <c r="I137" s="234">
        <v>5.0609755999999999E-2</v>
      </c>
      <c r="J137" s="234" t="s">
        <v>464</v>
      </c>
      <c r="K137" s="234">
        <v>4</v>
      </c>
      <c r="L137" s="234" t="s">
        <v>25</v>
      </c>
      <c r="M137" s="234">
        <v>4</v>
      </c>
      <c r="N137" s="234" t="s">
        <v>458</v>
      </c>
      <c r="O137" s="234" t="s">
        <v>1286</v>
      </c>
      <c r="P137" s="234" t="s">
        <v>1754</v>
      </c>
      <c r="Q137" s="234">
        <v>877300</v>
      </c>
      <c r="R137" s="234">
        <v>270.16890000000001</v>
      </c>
      <c r="S137" s="234">
        <v>283.13639999999998</v>
      </c>
      <c r="T137" s="234">
        <v>374.51960000000003</v>
      </c>
      <c r="U137" s="234">
        <v>1823.77</v>
      </c>
      <c r="V137" s="234">
        <v>2264.8530000000001</v>
      </c>
      <c r="W137" s="234">
        <v>558.61410000000001</v>
      </c>
      <c r="X137" s="234">
        <v>1203.5889999999999</v>
      </c>
      <c r="Y137" s="234">
        <v>1277.8399999999999</v>
      </c>
      <c r="Z137" s="234">
        <v>335.28859999999997</v>
      </c>
      <c r="AA137" s="234">
        <v>1502.6679999999999</v>
      </c>
      <c r="AB137" s="234">
        <v>203.57060000000001</v>
      </c>
      <c r="AC137" s="234">
        <v>868.31849999999997</v>
      </c>
      <c r="AD137" s="234">
        <v>356.87040000000002</v>
      </c>
      <c r="AE137" s="234">
        <v>394.7577</v>
      </c>
      <c r="AF137" s="234">
        <v>39208.76</v>
      </c>
      <c r="AG137" s="234">
        <v>9847.1869999999999</v>
      </c>
      <c r="AH137" s="234">
        <v>56742.11</v>
      </c>
      <c r="AI137" s="234">
        <v>30482.68</v>
      </c>
      <c r="AJ137" s="234">
        <v>17511.14</v>
      </c>
      <c r="AK137" s="234">
        <v>32419.759999999998</v>
      </c>
      <c r="AL137" s="234">
        <v>177848.1</v>
      </c>
      <c r="AM137" s="234">
        <v>20668.63</v>
      </c>
      <c r="AN137" s="234">
        <v>15961.28</v>
      </c>
      <c r="AO137" s="234">
        <v>58854.73</v>
      </c>
      <c r="AP137" s="234">
        <v>62251.3</v>
      </c>
      <c r="AQ137" s="234">
        <v>14020.08</v>
      </c>
      <c r="AR137" s="234">
        <v>22105.17</v>
      </c>
      <c r="AS137" s="234">
        <v>291005.3</v>
      </c>
      <c r="AT137" s="234">
        <v>272301</v>
      </c>
      <c r="AU137" s="234">
        <v>346039.9</v>
      </c>
      <c r="AV137" s="234">
        <v>80767.05</v>
      </c>
      <c r="AW137" s="234">
        <v>85794.74</v>
      </c>
      <c r="AX137" s="234">
        <v>9182.9419999999991</v>
      </c>
      <c r="AY137" s="234">
        <v>2264.8530000000001</v>
      </c>
      <c r="AZ137" s="234">
        <v>378288.9</v>
      </c>
      <c r="BA137" s="234">
        <v>18389.37</v>
      </c>
      <c r="BB137" s="234">
        <v>40405</v>
      </c>
      <c r="BC137" s="234">
        <v>47713</v>
      </c>
      <c r="BD137" s="234">
        <v>10870</v>
      </c>
      <c r="BE137" s="234" t="s">
        <v>1753</v>
      </c>
      <c r="BF137" s="234">
        <v>1.06987804878049</v>
      </c>
      <c r="BG137" s="234">
        <v>1</v>
      </c>
      <c r="BH137" s="234">
        <v>57300</v>
      </c>
      <c r="BI137" s="234">
        <v>1</v>
      </c>
      <c r="BJ137" s="234">
        <v>0</v>
      </c>
      <c r="BK137" s="234">
        <v>0</v>
      </c>
      <c r="BL137" s="234">
        <v>0</v>
      </c>
      <c r="BM137" s="234">
        <v>0</v>
      </c>
      <c r="BN137" s="234">
        <f>IF(ECON_OUTPUT!BE137="Other",1,0)</f>
        <v>1</v>
      </c>
    </row>
    <row r="138" spans="1:66" x14ac:dyDescent="0.25">
      <c r="A138" s="234">
        <v>137</v>
      </c>
      <c r="B138" s="234" t="s">
        <v>1762</v>
      </c>
      <c r="C138" s="234" t="s">
        <v>1139</v>
      </c>
      <c r="D138" s="234" t="s">
        <v>1140</v>
      </c>
      <c r="E138" s="235">
        <v>43054</v>
      </c>
      <c r="F138" s="234" t="s">
        <v>34</v>
      </c>
      <c r="G138" s="234">
        <v>1350000</v>
      </c>
      <c r="H138" s="234">
        <v>2629000</v>
      </c>
      <c r="I138" s="234">
        <v>0.94740740700000003</v>
      </c>
      <c r="J138" s="234" t="s">
        <v>465</v>
      </c>
      <c r="K138" s="234">
        <v>1</v>
      </c>
      <c r="L138" s="234" t="s">
        <v>226</v>
      </c>
      <c r="M138" s="234">
        <v>4</v>
      </c>
      <c r="N138" s="234" t="s">
        <v>457</v>
      </c>
      <c r="O138" s="234" t="s">
        <v>1286</v>
      </c>
      <c r="P138" s="234" t="s">
        <v>1750</v>
      </c>
      <c r="Q138" s="234">
        <v>2629000</v>
      </c>
      <c r="R138" s="234">
        <v>270.16890000000001</v>
      </c>
      <c r="S138" s="234">
        <v>283.13639999999998</v>
      </c>
      <c r="T138" s="234">
        <v>374.51960000000003</v>
      </c>
      <c r="U138" s="234">
        <v>1823.77</v>
      </c>
      <c r="V138" s="234">
        <v>2264.8530000000001</v>
      </c>
      <c r="W138" s="234">
        <v>558.61410000000001</v>
      </c>
      <c r="X138" s="234">
        <v>1203.5889999999999</v>
      </c>
      <c r="Y138" s="234">
        <v>1277.8399999999999</v>
      </c>
      <c r="Z138" s="234">
        <v>335.28859999999997</v>
      </c>
      <c r="AA138" s="234">
        <v>1502.6679999999999</v>
      </c>
      <c r="AB138" s="234">
        <v>203.57060000000001</v>
      </c>
      <c r="AC138" s="234">
        <v>868.31849999999997</v>
      </c>
      <c r="AD138" s="234">
        <v>356.87040000000002</v>
      </c>
      <c r="AE138" s="234">
        <v>394.7577</v>
      </c>
      <c r="AF138" s="234">
        <v>39208.76</v>
      </c>
      <c r="AG138" s="234">
        <v>9847.1869999999999</v>
      </c>
      <c r="AH138" s="234">
        <v>56742.11</v>
      </c>
      <c r="AI138" s="234">
        <v>30482.68</v>
      </c>
      <c r="AJ138" s="234">
        <v>17511.14</v>
      </c>
      <c r="AK138" s="234">
        <v>32419.759999999998</v>
      </c>
      <c r="AL138" s="234">
        <v>177848.1</v>
      </c>
      <c r="AM138" s="234">
        <v>20668.63</v>
      </c>
      <c r="AN138" s="234">
        <v>15961.28</v>
      </c>
      <c r="AO138" s="234">
        <v>58854.73</v>
      </c>
      <c r="AP138" s="234">
        <v>62251.3</v>
      </c>
      <c r="AQ138" s="234">
        <v>14020.08</v>
      </c>
      <c r="AR138" s="234">
        <v>22105.17</v>
      </c>
      <c r="AS138" s="234">
        <v>291005.3</v>
      </c>
      <c r="AT138" s="234">
        <v>272301</v>
      </c>
      <c r="AU138" s="234">
        <v>346039.9</v>
      </c>
      <c r="AV138" s="234">
        <v>80767.05</v>
      </c>
      <c r="AW138" s="234">
        <v>85794.74</v>
      </c>
      <c r="AX138" s="234">
        <v>9182.9419999999991</v>
      </c>
      <c r="AY138" s="234">
        <v>2264.8530000000001</v>
      </c>
      <c r="AZ138" s="234">
        <v>378288.9</v>
      </c>
      <c r="BA138" s="234">
        <v>18389.37</v>
      </c>
      <c r="BB138" s="234">
        <v>40405</v>
      </c>
      <c r="BC138" s="234">
        <v>47713</v>
      </c>
      <c r="BD138" s="234">
        <v>10870</v>
      </c>
      <c r="BE138" s="234" t="s">
        <v>34</v>
      </c>
      <c r="BF138" s="234">
        <v>1.9474074074074099</v>
      </c>
      <c r="BG138" s="234">
        <v>3</v>
      </c>
      <c r="BH138" s="234">
        <v>1279000</v>
      </c>
      <c r="BI138" s="234">
        <v>0</v>
      </c>
      <c r="BJ138" s="234">
        <v>0</v>
      </c>
      <c r="BK138" s="234">
        <v>1</v>
      </c>
      <c r="BL138" s="234">
        <v>0</v>
      </c>
      <c r="BM138" s="234">
        <v>0</v>
      </c>
      <c r="BN138" s="234">
        <f>IF(ECON_OUTPUT!BE138="Other",1,0)</f>
        <v>0</v>
      </c>
    </row>
    <row r="139" spans="1:66" x14ac:dyDescent="0.25">
      <c r="A139" s="234">
        <v>138</v>
      </c>
      <c r="B139" s="234" t="s">
        <v>1762</v>
      </c>
      <c r="C139" s="234" t="s">
        <v>1129</v>
      </c>
      <c r="D139" s="234" t="s">
        <v>1130</v>
      </c>
      <c r="E139" s="235">
        <v>43068</v>
      </c>
      <c r="F139" s="234" t="s">
        <v>34</v>
      </c>
      <c r="G139" s="234">
        <v>6600000</v>
      </c>
      <c r="H139" s="234">
        <v>5189333</v>
      </c>
      <c r="I139" s="234">
        <v>-0.21373742400000001</v>
      </c>
      <c r="J139" s="234" t="s">
        <v>464</v>
      </c>
      <c r="K139" s="234">
        <v>7</v>
      </c>
      <c r="L139" s="234" t="s">
        <v>25</v>
      </c>
      <c r="M139" s="234">
        <v>4</v>
      </c>
      <c r="N139" s="234" t="s">
        <v>458</v>
      </c>
      <c r="O139" s="234" t="s">
        <v>1282</v>
      </c>
      <c r="P139" s="234" t="s">
        <v>1750</v>
      </c>
      <c r="Q139" s="234">
        <v>5512686</v>
      </c>
      <c r="R139" s="234">
        <v>270.16890000000001</v>
      </c>
      <c r="S139" s="234">
        <v>283.13639999999998</v>
      </c>
      <c r="T139" s="234">
        <v>374.51960000000003</v>
      </c>
      <c r="U139" s="234">
        <v>1823.77</v>
      </c>
      <c r="V139" s="234">
        <v>2264.8530000000001</v>
      </c>
      <c r="W139" s="234">
        <v>558.61410000000001</v>
      </c>
      <c r="X139" s="234">
        <v>1203.5889999999999</v>
      </c>
      <c r="Y139" s="234">
        <v>1277.8399999999999</v>
      </c>
      <c r="Z139" s="234">
        <v>335.28859999999997</v>
      </c>
      <c r="AA139" s="234">
        <v>1502.6679999999999</v>
      </c>
      <c r="AB139" s="234">
        <v>203.57060000000001</v>
      </c>
      <c r="AC139" s="234">
        <v>868.31849999999997</v>
      </c>
      <c r="AD139" s="234">
        <v>356.87040000000002</v>
      </c>
      <c r="AE139" s="234">
        <v>394.7577</v>
      </c>
      <c r="AF139" s="234">
        <v>39208.76</v>
      </c>
      <c r="AG139" s="234">
        <v>9847.1869999999999</v>
      </c>
      <c r="AH139" s="234">
        <v>56742.11</v>
      </c>
      <c r="AI139" s="234">
        <v>30482.68</v>
      </c>
      <c r="AJ139" s="234">
        <v>17511.14</v>
      </c>
      <c r="AK139" s="234">
        <v>32419.759999999998</v>
      </c>
      <c r="AL139" s="234">
        <v>177848.1</v>
      </c>
      <c r="AM139" s="234">
        <v>20668.63</v>
      </c>
      <c r="AN139" s="234">
        <v>15961.28</v>
      </c>
      <c r="AO139" s="234">
        <v>58854.73</v>
      </c>
      <c r="AP139" s="234">
        <v>62251.3</v>
      </c>
      <c r="AQ139" s="234">
        <v>14020.08</v>
      </c>
      <c r="AR139" s="234">
        <v>22105.17</v>
      </c>
      <c r="AS139" s="234">
        <v>291005.3</v>
      </c>
      <c r="AT139" s="234">
        <v>272301</v>
      </c>
      <c r="AU139" s="234">
        <v>346039.9</v>
      </c>
      <c r="AV139" s="234">
        <v>80767.05</v>
      </c>
      <c r="AW139" s="234">
        <v>85794.74</v>
      </c>
      <c r="AX139" s="234">
        <v>9182.9419999999991</v>
      </c>
      <c r="AY139" s="234">
        <v>2264.8530000000001</v>
      </c>
      <c r="AZ139" s="234">
        <v>378288.9</v>
      </c>
      <c r="BA139" s="234">
        <v>18389.37</v>
      </c>
      <c r="BB139" s="234">
        <v>40405</v>
      </c>
      <c r="BC139" s="234">
        <v>47713</v>
      </c>
      <c r="BD139" s="234">
        <v>10870</v>
      </c>
      <c r="BE139" s="234" t="s">
        <v>34</v>
      </c>
      <c r="BF139" s="234">
        <v>0.83525545454545502</v>
      </c>
      <c r="BG139" s="234">
        <v>4</v>
      </c>
      <c r="BH139" s="234">
        <v>-1087314</v>
      </c>
      <c r="BI139" s="234">
        <v>0</v>
      </c>
      <c r="BJ139" s="234">
        <v>0</v>
      </c>
      <c r="BK139" s="234">
        <v>0</v>
      </c>
      <c r="BL139" s="234">
        <v>1</v>
      </c>
      <c r="BM139" s="234">
        <v>0</v>
      </c>
      <c r="BN139" s="234">
        <f>IF(ECON_OUTPUT!BE139="Other",1,0)</f>
        <v>0</v>
      </c>
    </row>
    <row r="140" spans="1:66" x14ac:dyDescent="0.25">
      <c r="A140" s="234">
        <v>139</v>
      </c>
      <c r="B140" s="234" t="s">
        <v>1762</v>
      </c>
      <c r="C140" s="234" t="s">
        <v>1136</v>
      </c>
      <c r="D140" s="234" t="s">
        <v>1137</v>
      </c>
      <c r="E140" s="235">
        <v>43074</v>
      </c>
      <c r="F140" s="234" t="s">
        <v>34</v>
      </c>
      <c r="G140" s="234">
        <v>1530000</v>
      </c>
      <c r="H140" s="234">
        <v>1189000</v>
      </c>
      <c r="I140" s="234">
        <v>-0.222875817</v>
      </c>
      <c r="J140" s="234" t="s">
        <v>464</v>
      </c>
      <c r="K140" s="234">
        <v>3</v>
      </c>
      <c r="L140" s="234" t="s">
        <v>25</v>
      </c>
      <c r="M140" s="234">
        <v>4</v>
      </c>
      <c r="N140" s="234" t="s">
        <v>458</v>
      </c>
      <c r="O140" s="234" t="s">
        <v>1284</v>
      </c>
      <c r="P140" s="234" t="s">
        <v>1750</v>
      </c>
      <c r="Q140" s="234">
        <v>2100000</v>
      </c>
      <c r="R140" s="234">
        <v>270.16890000000001</v>
      </c>
      <c r="S140" s="234">
        <v>283.13639999999998</v>
      </c>
      <c r="T140" s="234">
        <v>374.51960000000003</v>
      </c>
      <c r="U140" s="234">
        <v>1823.77</v>
      </c>
      <c r="V140" s="234">
        <v>2264.8530000000001</v>
      </c>
      <c r="W140" s="234">
        <v>558.61410000000001</v>
      </c>
      <c r="X140" s="234">
        <v>1203.5889999999999</v>
      </c>
      <c r="Y140" s="234">
        <v>1277.8399999999999</v>
      </c>
      <c r="Z140" s="234">
        <v>335.28859999999997</v>
      </c>
      <c r="AA140" s="234">
        <v>1502.6679999999999</v>
      </c>
      <c r="AB140" s="234">
        <v>203.57060000000001</v>
      </c>
      <c r="AC140" s="234">
        <v>868.31849999999997</v>
      </c>
      <c r="AD140" s="234">
        <v>356.87040000000002</v>
      </c>
      <c r="AE140" s="234">
        <v>394.7577</v>
      </c>
      <c r="AF140" s="234">
        <v>39208.76</v>
      </c>
      <c r="AG140" s="234">
        <v>9847.1869999999999</v>
      </c>
      <c r="AH140" s="234">
        <v>56742.11</v>
      </c>
      <c r="AI140" s="234">
        <v>30482.68</v>
      </c>
      <c r="AJ140" s="234">
        <v>17511.14</v>
      </c>
      <c r="AK140" s="234">
        <v>32419.759999999998</v>
      </c>
      <c r="AL140" s="234">
        <v>177848.1</v>
      </c>
      <c r="AM140" s="234">
        <v>20668.63</v>
      </c>
      <c r="AN140" s="234">
        <v>15961.28</v>
      </c>
      <c r="AO140" s="234">
        <v>58854.73</v>
      </c>
      <c r="AP140" s="234">
        <v>62251.3</v>
      </c>
      <c r="AQ140" s="234">
        <v>14020.08</v>
      </c>
      <c r="AR140" s="234">
        <v>22105.17</v>
      </c>
      <c r="AS140" s="234">
        <v>291005.3</v>
      </c>
      <c r="AT140" s="234">
        <v>272301</v>
      </c>
      <c r="AU140" s="234">
        <v>346039.9</v>
      </c>
      <c r="AV140" s="234">
        <v>80767.05</v>
      </c>
      <c r="AW140" s="234">
        <v>85794.74</v>
      </c>
      <c r="AX140" s="234">
        <v>9182.9419999999991</v>
      </c>
      <c r="AY140" s="234">
        <v>2264.8530000000001</v>
      </c>
      <c r="AZ140" s="234">
        <v>378288.9</v>
      </c>
      <c r="BA140" s="234">
        <v>18389.37</v>
      </c>
      <c r="BB140" s="234">
        <v>40405</v>
      </c>
      <c r="BC140" s="234">
        <v>47713</v>
      </c>
      <c r="BD140" s="234">
        <v>10870</v>
      </c>
      <c r="BE140" s="234" t="s">
        <v>34</v>
      </c>
      <c r="BF140" s="234">
        <v>1.37254901960784</v>
      </c>
      <c r="BG140" s="234">
        <v>2</v>
      </c>
      <c r="BH140" s="234">
        <v>570000</v>
      </c>
      <c r="BI140" s="234">
        <v>0</v>
      </c>
      <c r="BJ140" s="234">
        <v>1</v>
      </c>
      <c r="BK140" s="234">
        <v>0</v>
      </c>
      <c r="BL140" s="234">
        <v>0</v>
      </c>
      <c r="BM140" s="234">
        <v>0</v>
      </c>
      <c r="BN140" s="234">
        <f>IF(ECON_OUTPUT!BE140="Other",1,0)</f>
        <v>0</v>
      </c>
    </row>
    <row r="141" spans="1:66" x14ac:dyDescent="0.25">
      <c r="A141" s="234">
        <v>140</v>
      </c>
      <c r="B141" s="234" t="s">
        <v>1762</v>
      </c>
      <c r="C141" s="234" t="s">
        <v>1135</v>
      </c>
      <c r="D141" s="234" t="s">
        <v>982</v>
      </c>
      <c r="E141" s="235">
        <v>43074</v>
      </c>
      <c r="F141" s="234" t="s">
        <v>34</v>
      </c>
      <c r="G141" s="234">
        <v>38000000</v>
      </c>
      <c r="H141" s="234">
        <v>28470000</v>
      </c>
      <c r="I141" s="234">
        <v>-0.25078947400000001</v>
      </c>
      <c r="J141" s="234" t="s">
        <v>464</v>
      </c>
      <c r="K141" s="234">
        <v>4</v>
      </c>
      <c r="L141" s="234" t="s">
        <v>93</v>
      </c>
      <c r="M141" s="234">
        <v>4</v>
      </c>
      <c r="N141" s="234" t="s">
        <v>458</v>
      </c>
      <c r="O141" s="234" t="s">
        <v>1286</v>
      </c>
      <c r="P141" s="234" t="s">
        <v>1750</v>
      </c>
      <c r="Q141" s="234">
        <v>33693128</v>
      </c>
      <c r="R141" s="234">
        <v>270.16890000000001</v>
      </c>
      <c r="S141" s="234">
        <v>283.13639999999998</v>
      </c>
      <c r="T141" s="234">
        <v>374.51960000000003</v>
      </c>
      <c r="U141" s="234">
        <v>1823.77</v>
      </c>
      <c r="V141" s="234">
        <v>2264.8530000000001</v>
      </c>
      <c r="W141" s="234">
        <v>558.61410000000001</v>
      </c>
      <c r="X141" s="234">
        <v>1203.5889999999999</v>
      </c>
      <c r="Y141" s="234">
        <v>1277.8399999999999</v>
      </c>
      <c r="Z141" s="234">
        <v>335.28859999999997</v>
      </c>
      <c r="AA141" s="234">
        <v>1502.6679999999999</v>
      </c>
      <c r="AB141" s="234">
        <v>203.57060000000001</v>
      </c>
      <c r="AC141" s="234">
        <v>868.31849999999997</v>
      </c>
      <c r="AD141" s="234">
        <v>356.87040000000002</v>
      </c>
      <c r="AE141" s="234">
        <v>394.7577</v>
      </c>
      <c r="AF141" s="234">
        <v>39208.76</v>
      </c>
      <c r="AG141" s="234">
        <v>9847.1869999999999</v>
      </c>
      <c r="AH141" s="234">
        <v>56742.11</v>
      </c>
      <c r="AI141" s="234">
        <v>30482.68</v>
      </c>
      <c r="AJ141" s="234">
        <v>17511.14</v>
      </c>
      <c r="AK141" s="234">
        <v>32419.759999999998</v>
      </c>
      <c r="AL141" s="234">
        <v>177848.1</v>
      </c>
      <c r="AM141" s="234">
        <v>20668.63</v>
      </c>
      <c r="AN141" s="234">
        <v>15961.28</v>
      </c>
      <c r="AO141" s="234">
        <v>58854.73</v>
      </c>
      <c r="AP141" s="234">
        <v>62251.3</v>
      </c>
      <c r="AQ141" s="234">
        <v>14020.08</v>
      </c>
      <c r="AR141" s="234">
        <v>22105.17</v>
      </c>
      <c r="AS141" s="234">
        <v>291005.3</v>
      </c>
      <c r="AT141" s="234">
        <v>272301</v>
      </c>
      <c r="AU141" s="234">
        <v>346039.9</v>
      </c>
      <c r="AV141" s="234">
        <v>80767.05</v>
      </c>
      <c r="AW141" s="234">
        <v>85794.74</v>
      </c>
      <c r="AX141" s="234">
        <v>9182.9419999999991</v>
      </c>
      <c r="AY141" s="234">
        <v>2264.8530000000001</v>
      </c>
      <c r="AZ141" s="234">
        <v>378288.9</v>
      </c>
      <c r="BA141" s="234">
        <v>18389.37</v>
      </c>
      <c r="BB141" s="234">
        <v>40405</v>
      </c>
      <c r="BC141" s="234">
        <v>47713</v>
      </c>
      <c r="BD141" s="234">
        <v>10870</v>
      </c>
      <c r="BE141" s="234" t="s">
        <v>34</v>
      </c>
      <c r="BF141" s="234">
        <v>0.88666126315789495</v>
      </c>
      <c r="BG141" s="234">
        <v>5</v>
      </c>
      <c r="BH141" s="234">
        <v>-4306872</v>
      </c>
      <c r="BI141" s="234">
        <v>0</v>
      </c>
      <c r="BJ141" s="234">
        <v>0</v>
      </c>
      <c r="BK141" s="234">
        <v>0</v>
      </c>
      <c r="BL141" s="234">
        <v>0</v>
      </c>
      <c r="BM141" s="234">
        <v>1</v>
      </c>
      <c r="BN141" s="234">
        <f>IF(ECON_OUTPUT!BE141="Other",1,0)</f>
        <v>0</v>
      </c>
    </row>
    <row r="142" spans="1:66" x14ac:dyDescent="0.25">
      <c r="A142" s="234">
        <v>141</v>
      </c>
      <c r="B142" s="234" t="s">
        <v>1762</v>
      </c>
      <c r="C142" s="234" t="s">
        <v>1150</v>
      </c>
      <c r="D142" s="234" t="s">
        <v>1151</v>
      </c>
      <c r="E142" s="235">
        <v>43083</v>
      </c>
      <c r="F142" s="234" t="s">
        <v>177</v>
      </c>
      <c r="G142" s="234">
        <v>979000</v>
      </c>
      <c r="H142" s="234">
        <v>1168000</v>
      </c>
      <c r="I142" s="234">
        <v>0.19305413699999999</v>
      </c>
      <c r="J142" s="234" t="s">
        <v>465</v>
      </c>
      <c r="K142" s="234">
        <v>2</v>
      </c>
      <c r="L142" s="234" t="s">
        <v>25</v>
      </c>
      <c r="M142" s="234">
        <v>4</v>
      </c>
      <c r="N142" s="234" t="s">
        <v>458</v>
      </c>
      <c r="O142" s="234" t="s">
        <v>1281</v>
      </c>
      <c r="P142" s="234" t="s">
        <v>1750</v>
      </c>
      <c r="Q142" s="234">
        <v>1736000</v>
      </c>
      <c r="R142" s="234">
        <v>270.16890000000001</v>
      </c>
      <c r="S142" s="234">
        <v>283.13639999999998</v>
      </c>
      <c r="T142" s="234">
        <v>374.51960000000003</v>
      </c>
      <c r="U142" s="234">
        <v>1823.77</v>
      </c>
      <c r="V142" s="234">
        <v>2264.8530000000001</v>
      </c>
      <c r="W142" s="234">
        <v>558.61410000000001</v>
      </c>
      <c r="X142" s="234">
        <v>1203.5889999999999</v>
      </c>
      <c r="Y142" s="234">
        <v>1277.8399999999999</v>
      </c>
      <c r="Z142" s="234">
        <v>335.28859999999997</v>
      </c>
      <c r="AA142" s="234">
        <v>1502.6679999999999</v>
      </c>
      <c r="AB142" s="234">
        <v>203.57060000000001</v>
      </c>
      <c r="AC142" s="234">
        <v>868.31849999999997</v>
      </c>
      <c r="AD142" s="234">
        <v>356.87040000000002</v>
      </c>
      <c r="AE142" s="234">
        <v>394.7577</v>
      </c>
      <c r="AF142" s="234">
        <v>39208.76</v>
      </c>
      <c r="AG142" s="234">
        <v>9847.1869999999999</v>
      </c>
      <c r="AH142" s="234">
        <v>56742.11</v>
      </c>
      <c r="AI142" s="234">
        <v>30482.68</v>
      </c>
      <c r="AJ142" s="234">
        <v>17511.14</v>
      </c>
      <c r="AK142" s="234">
        <v>32419.759999999998</v>
      </c>
      <c r="AL142" s="234">
        <v>177848.1</v>
      </c>
      <c r="AM142" s="234">
        <v>20668.63</v>
      </c>
      <c r="AN142" s="234">
        <v>15961.28</v>
      </c>
      <c r="AO142" s="234">
        <v>58854.73</v>
      </c>
      <c r="AP142" s="234">
        <v>62251.3</v>
      </c>
      <c r="AQ142" s="234">
        <v>14020.08</v>
      </c>
      <c r="AR142" s="234">
        <v>22105.17</v>
      </c>
      <c r="AS142" s="234">
        <v>291005.3</v>
      </c>
      <c r="AT142" s="234">
        <v>272301</v>
      </c>
      <c r="AU142" s="234">
        <v>346039.9</v>
      </c>
      <c r="AV142" s="234">
        <v>80767.05</v>
      </c>
      <c r="AW142" s="234">
        <v>85794.74</v>
      </c>
      <c r="AX142" s="234">
        <v>9182.9419999999991</v>
      </c>
      <c r="AY142" s="234">
        <v>2264.8530000000001</v>
      </c>
      <c r="AZ142" s="234">
        <v>378288.9</v>
      </c>
      <c r="BA142" s="234">
        <v>18389.37</v>
      </c>
      <c r="BB142" s="234">
        <v>40405</v>
      </c>
      <c r="BC142" s="234">
        <v>47713</v>
      </c>
      <c r="BD142" s="234">
        <v>10870</v>
      </c>
      <c r="BE142" s="234" t="s">
        <v>1753</v>
      </c>
      <c r="BF142" s="234">
        <v>1.7732379979571</v>
      </c>
      <c r="BG142" s="234">
        <v>2</v>
      </c>
      <c r="BH142" s="234">
        <v>757000</v>
      </c>
      <c r="BI142" s="234">
        <v>0</v>
      </c>
      <c r="BJ142" s="234">
        <v>1</v>
      </c>
      <c r="BK142" s="234">
        <v>0</v>
      </c>
      <c r="BL142" s="234">
        <v>0</v>
      </c>
      <c r="BM142" s="234">
        <v>0</v>
      </c>
      <c r="BN142" s="234">
        <f>IF(ECON_OUTPUT!BE142="Other",1,0)</f>
        <v>1</v>
      </c>
    </row>
    <row r="143" spans="1:66" x14ac:dyDescent="0.25">
      <c r="A143" s="234">
        <v>142</v>
      </c>
      <c r="B143" s="234" t="s">
        <v>1762</v>
      </c>
      <c r="C143" s="234" t="s">
        <v>1145</v>
      </c>
      <c r="D143" s="234" t="s">
        <v>1146</v>
      </c>
      <c r="E143" s="235">
        <v>43083</v>
      </c>
      <c r="F143" s="234" t="s">
        <v>1753</v>
      </c>
      <c r="G143" s="234">
        <v>4872000</v>
      </c>
      <c r="H143" s="234">
        <v>3997350</v>
      </c>
      <c r="I143" s="234">
        <v>-0.17952586200000001</v>
      </c>
      <c r="J143" s="234" t="s">
        <v>464</v>
      </c>
      <c r="K143" s="234">
        <v>5</v>
      </c>
      <c r="L143" s="234" t="s">
        <v>93</v>
      </c>
      <c r="M143" s="234">
        <v>4</v>
      </c>
      <c r="N143" s="234" t="s">
        <v>458</v>
      </c>
      <c r="O143" s="234" t="s">
        <v>1283</v>
      </c>
      <c r="P143" s="234" t="s">
        <v>1755</v>
      </c>
      <c r="Q143" s="234">
        <v>4763300</v>
      </c>
      <c r="R143" s="234">
        <v>270.16890000000001</v>
      </c>
      <c r="S143" s="234">
        <v>283.13639999999998</v>
      </c>
      <c r="T143" s="234">
        <v>374.51960000000003</v>
      </c>
      <c r="U143" s="234">
        <v>1823.77</v>
      </c>
      <c r="V143" s="234">
        <v>2264.8530000000001</v>
      </c>
      <c r="W143" s="234">
        <v>558.61410000000001</v>
      </c>
      <c r="X143" s="234">
        <v>1203.5889999999999</v>
      </c>
      <c r="Y143" s="234">
        <v>1277.8399999999999</v>
      </c>
      <c r="Z143" s="234">
        <v>335.28859999999997</v>
      </c>
      <c r="AA143" s="234">
        <v>1502.6679999999999</v>
      </c>
      <c r="AB143" s="234">
        <v>203.57060000000001</v>
      </c>
      <c r="AC143" s="234">
        <v>868.31849999999997</v>
      </c>
      <c r="AD143" s="234">
        <v>356.87040000000002</v>
      </c>
      <c r="AE143" s="234">
        <v>394.7577</v>
      </c>
      <c r="AF143" s="234">
        <v>39208.76</v>
      </c>
      <c r="AG143" s="234">
        <v>9847.1869999999999</v>
      </c>
      <c r="AH143" s="234">
        <v>56742.11</v>
      </c>
      <c r="AI143" s="234">
        <v>30482.68</v>
      </c>
      <c r="AJ143" s="234">
        <v>17511.14</v>
      </c>
      <c r="AK143" s="234">
        <v>32419.759999999998</v>
      </c>
      <c r="AL143" s="234">
        <v>177848.1</v>
      </c>
      <c r="AM143" s="234">
        <v>20668.63</v>
      </c>
      <c r="AN143" s="234">
        <v>15961.28</v>
      </c>
      <c r="AO143" s="234">
        <v>58854.73</v>
      </c>
      <c r="AP143" s="234">
        <v>62251.3</v>
      </c>
      <c r="AQ143" s="234">
        <v>14020.08</v>
      </c>
      <c r="AR143" s="234">
        <v>22105.17</v>
      </c>
      <c r="AS143" s="234">
        <v>291005.3</v>
      </c>
      <c r="AT143" s="234">
        <v>272301</v>
      </c>
      <c r="AU143" s="234">
        <v>346039.9</v>
      </c>
      <c r="AV143" s="234">
        <v>80767.05</v>
      </c>
      <c r="AW143" s="234">
        <v>85794.74</v>
      </c>
      <c r="AX143" s="234">
        <v>9182.9419999999991</v>
      </c>
      <c r="AY143" s="234">
        <v>2264.8530000000001</v>
      </c>
      <c r="AZ143" s="234">
        <v>378288.9</v>
      </c>
      <c r="BA143" s="234">
        <v>18389.37</v>
      </c>
      <c r="BB143" s="234">
        <v>40405</v>
      </c>
      <c r="BC143" s="234">
        <v>47713</v>
      </c>
      <c r="BD143" s="234">
        <v>10870</v>
      </c>
      <c r="BE143" s="234" t="s">
        <v>1753</v>
      </c>
      <c r="BF143" s="234">
        <v>0.97768883415435104</v>
      </c>
      <c r="BG143" s="234">
        <v>4</v>
      </c>
      <c r="BH143" s="234">
        <v>-108700</v>
      </c>
      <c r="BI143" s="234">
        <v>0</v>
      </c>
      <c r="BJ143" s="234">
        <v>0</v>
      </c>
      <c r="BK143" s="234">
        <v>0</v>
      </c>
      <c r="BL143" s="234">
        <v>1</v>
      </c>
      <c r="BM143" s="234">
        <v>0</v>
      </c>
      <c r="BN143" s="234">
        <f>IF(ECON_OUTPUT!BE143="Other",1,0)</f>
        <v>1</v>
      </c>
    </row>
    <row r="144" spans="1:66" x14ac:dyDescent="0.25">
      <c r="A144" s="234">
        <v>143</v>
      </c>
      <c r="B144" s="234" t="s">
        <v>1762</v>
      </c>
      <c r="C144" s="234" t="s">
        <v>1159</v>
      </c>
      <c r="D144" s="234" t="s">
        <v>1154</v>
      </c>
      <c r="E144" s="235">
        <v>43088</v>
      </c>
      <c r="F144" s="234" t="s">
        <v>177</v>
      </c>
      <c r="G144" s="234">
        <v>795000</v>
      </c>
      <c r="H144" s="234">
        <v>353700</v>
      </c>
      <c r="I144" s="234">
        <v>-0.55509434000000002</v>
      </c>
      <c r="J144" s="234" t="s">
        <v>464</v>
      </c>
      <c r="K144" s="234">
        <v>8</v>
      </c>
      <c r="L144" s="234" t="s">
        <v>226</v>
      </c>
      <c r="M144" s="234">
        <v>4</v>
      </c>
      <c r="N144" s="234" t="s">
        <v>457</v>
      </c>
      <c r="O144" s="234" t="s">
        <v>1286</v>
      </c>
      <c r="P144" s="234" t="s">
        <v>1750</v>
      </c>
      <c r="Q144" s="234">
        <v>568000</v>
      </c>
      <c r="R144" s="234">
        <v>270.16890000000001</v>
      </c>
      <c r="S144" s="234">
        <v>283.13639999999998</v>
      </c>
      <c r="T144" s="234">
        <v>374.51960000000003</v>
      </c>
      <c r="U144" s="234">
        <v>1823.77</v>
      </c>
      <c r="V144" s="234">
        <v>2264.8530000000001</v>
      </c>
      <c r="W144" s="234">
        <v>558.61410000000001</v>
      </c>
      <c r="X144" s="234">
        <v>1203.5889999999999</v>
      </c>
      <c r="Y144" s="234">
        <v>1277.8399999999999</v>
      </c>
      <c r="Z144" s="234">
        <v>335.28859999999997</v>
      </c>
      <c r="AA144" s="234">
        <v>1502.6679999999999</v>
      </c>
      <c r="AB144" s="234">
        <v>203.57060000000001</v>
      </c>
      <c r="AC144" s="234">
        <v>868.31849999999997</v>
      </c>
      <c r="AD144" s="234">
        <v>356.87040000000002</v>
      </c>
      <c r="AE144" s="234">
        <v>394.7577</v>
      </c>
      <c r="AF144" s="234">
        <v>39208.76</v>
      </c>
      <c r="AG144" s="234">
        <v>9847.1869999999999</v>
      </c>
      <c r="AH144" s="234">
        <v>56742.11</v>
      </c>
      <c r="AI144" s="234">
        <v>30482.68</v>
      </c>
      <c r="AJ144" s="234">
        <v>17511.14</v>
      </c>
      <c r="AK144" s="234">
        <v>32419.759999999998</v>
      </c>
      <c r="AL144" s="234">
        <v>177848.1</v>
      </c>
      <c r="AM144" s="234">
        <v>20668.63</v>
      </c>
      <c r="AN144" s="234">
        <v>15961.28</v>
      </c>
      <c r="AO144" s="234">
        <v>58854.73</v>
      </c>
      <c r="AP144" s="234">
        <v>62251.3</v>
      </c>
      <c r="AQ144" s="234">
        <v>14020.08</v>
      </c>
      <c r="AR144" s="234">
        <v>22105.17</v>
      </c>
      <c r="AS144" s="234">
        <v>291005.3</v>
      </c>
      <c r="AT144" s="234">
        <v>272301</v>
      </c>
      <c r="AU144" s="234">
        <v>346039.9</v>
      </c>
      <c r="AV144" s="234">
        <v>80767.05</v>
      </c>
      <c r="AW144" s="234">
        <v>85794.74</v>
      </c>
      <c r="AX144" s="234">
        <v>9182.9419999999991</v>
      </c>
      <c r="AY144" s="234">
        <v>2264.8530000000001</v>
      </c>
      <c r="AZ144" s="234">
        <v>378288.9</v>
      </c>
      <c r="BA144" s="234">
        <v>18389.37</v>
      </c>
      <c r="BB144" s="234">
        <v>40405</v>
      </c>
      <c r="BC144" s="234">
        <v>47713</v>
      </c>
      <c r="BD144" s="234">
        <v>10870</v>
      </c>
      <c r="BE144" s="234" t="s">
        <v>1753</v>
      </c>
      <c r="BF144" s="234">
        <v>0.71446540880503095</v>
      </c>
      <c r="BG144" s="234">
        <v>1</v>
      </c>
      <c r="BH144" s="234">
        <v>-227000</v>
      </c>
      <c r="BI144" s="234">
        <v>1</v>
      </c>
      <c r="BJ144" s="234">
        <v>0</v>
      </c>
      <c r="BK144" s="234">
        <v>0</v>
      </c>
      <c r="BL144" s="234">
        <v>0</v>
      </c>
      <c r="BM144" s="234">
        <v>0</v>
      </c>
      <c r="BN144" s="234">
        <f>IF(ECON_OUTPUT!BE144="Other",1,0)</f>
        <v>1</v>
      </c>
    </row>
    <row r="145" spans="1:66" x14ac:dyDescent="0.25">
      <c r="A145" s="234">
        <v>144</v>
      </c>
      <c r="B145" s="234" t="s">
        <v>1761</v>
      </c>
      <c r="C145" s="234" t="s">
        <v>1195</v>
      </c>
      <c r="D145" s="234" t="s">
        <v>1196</v>
      </c>
      <c r="E145" s="235">
        <v>43108</v>
      </c>
      <c r="F145" s="234" t="s">
        <v>1753</v>
      </c>
      <c r="G145" s="234">
        <v>8520000</v>
      </c>
      <c r="H145" s="234">
        <v>6850075</v>
      </c>
      <c r="I145" s="234">
        <v>-0.196000587</v>
      </c>
      <c r="J145" s="234" t="s">
        <v>464</v>
      </c>
      <c r="K145" s="234">
        <v>5</v>
      </c>
      <c r="L145" s="234" t="s">
        <v>93</v>
      </c>
      <c r="M145" s="234">
        <v>1</v>
      </c>
      <c r="N145" s="234" t="s">
        <v>457</v>
      </c>
      <c r="O145" s="234" t="s">
        <v>1283</v>
      </c>
      <c r="P145" s="234" t="s">
        <v>1750</v>
      </c>
      <c r="Q145" s="234">
        <v>8226915</v>
      </c>
      <c r="R145" s="234">
        <v>271.78250000000003</v>
      </c>
      <c r="S145" s="234">
        <v>282.43389999999999</v>
      </c>
      <c r="T145" s="234">
        <v>379.13209999999998</v>
      </c>
      <c r="U145" s="234">
        <v>1840.1690000000001</v>
      </c>
      <c r="V145" s="234">
        <v>2268.8490000000002</v>
      </c>
      <c r="W145" s="234">
        <v>558.49739999999997</v>
      </c>
      <c r="X145" s="234">
        <v>1202.098</v>
      </c>
      <c r="Y145" s="234">
        <v>1280.9970000000001</v>
      </c>
      <c r="Z145" s="234">
        <v>335.22089999999997</v>
      </c>
      <c r="AA145" s="234">
        <v>1506.175</v>
      </c>
      <c r="AB145" s="234">
        <v>204.17679999999999</v>
      </c>
      <c r="AC145" s="234">
        <v>869.57830000000001</v>
      </c>
      <c r="AD145" s="234">
        <v>358.49259999999998</v>
      </c>
      <c r="AE145" s="234">
        <v>393.4221</v>
      </c>
      <c r="AF145" s="234">
        <v>40362.730000000003</v>
      </c>
      <c r="AG145" s="234">
        <v>9931.3340000000007</v>
      </c>
      <c r="AH145" s="234">
        <v>54576.97</v>
      </c>
      <c r="AI145" s="234">
        <v>30318.54</v>
      </c>
      <c r="AJ145" s="234">
        <v>18048.38</v>
      </c>
      <c r="AK145" s="234">
        <v>33094.83</v>
      </c>
      <c r="AL145" s="234">
        <v>175334.5</v>
      </c>
      <c r="AM145" s="234">
        <v>20502.41</v>
      </c>
      <c r="AN145" s="234">
        <v>16244.14</v>
      </c>
      <c r="AO145" s="234">
        <v>58414.44</v>
      </c>
      <c r="AP145" s="234">
        <v>62343.07</v>
      </c>
      <c r="AQ145" s="234">
        <v>14037.9</v>
      </c>
      <c r="AR145" s="234">
        <v>22386.34</v>
      </c>
      <c r="AS145" s="234">
        <v>294159.40000000002</v>
      </c>
      <c r="AT145" s="234">
        <v>273585.8</v>
      </c>
      <c r="AU145" s="234">
        <v>347790.2</v>
      </c>
      <c r="AV145" s="234">
        <v>81067.320000000007</v>
      </c>
      <c r="AW145" s="234">
        <v>85498.45</v>
      </c>
      <c r="AX145" s="234">
        <v>9210.393</v>
      </c>
      <c r="AY145" s="234">
        <v>2268.8490000000002</v>
      </c>
      <c r="AZ145" s="234">
        <v>378707.5</v>
      </c>
      <c r="BA145" s="234">
        <v>18386.759999999998</v>
      </c>
      <c r="BB145" s="234">
        <v>33781</v>
      </c>
      <c r="BC145" s="234">
        <v>40405</v>
      </c>
      <c r="BD145" s="234">
        <v>10889</v>
      </c>
      <c r="BE145" s="234" t="s">
        <v>1753</v>
      </c>
      <c r="BF145" s="234">
        <v>0.96560035211267603</v>
      </c>
      <c r="BG145" s="234">
        <v>4</v>
      </c>
      <c r="BH145" s="234">
        <v>-293085</v>
      </c>
      <c r="BI145" s="234">
        <v>0</v>
      </c>
      <c r="BJ145" s="234">
        <v>0</v>
      </c>
      <c r="BK145" s="234">
        <v>0</v>
      </c>
      <c r="BL145" s="234">
        <v>1</v>
      </c>
      <c r="BM145" s="234">
        <v>0</v>
      </c>
      <c r="BN145" s="234">
        <f>IF(ECON_OUTPUT!BE145="Other",1,0)</f>
        <v>1</v>
      </c>
    </row>
    <row r="146" spans="1:66" x14ac:dyDescent="0.25">
      <c r="A146" s="234">
        <v>145</v>
      </c>
      <c r="B146" s="234" t="s">
        <v>1761</v>
      </c>
      <c r="C146" s="234" t="s">
        <v>1198</v>
      </c>
      <c r="D146" s="234" t="s">
        <v>1199</v>
      </c>
      <c r="E146" s="235">
        <v>43110</v>
      </c>
      <c r="F146" s="234" t="s">
        <v>1753</v>
      </c>
      <c r="G146" s="234">
        <v>200000000</v>
      </c>
      <c r="H146" s="234">
        <v>108511400</v>
      </c>
      <c r="I146" s="234">
        <v>-0.45744299999999999</v>
      </c>
      <c r="J146" s="234" t="s">
        <v>465</v>
      </c>
      <c r="K146" s="234">
        <v>5</v>
      </c>
      <c r="L146" s="234" t="s">
        <v>226</v>
      </c>
      <c r="M146" s="234">
        <v>1</v>
      </c>
      <c r="N146" s="234" t="s">
        <v>459</v>
      </c>
      <c r="O146" s="234" t="s">
        <v>1286</v>
      </c>
      <c r="P146" s="234" t="s">
        <v>1750</v>
      </c>
      <c r="Q146" s="234">
        <v>112537000</v>
      </c>
      <c r="R146" s="234">
        <v>271.78250000000003</v>
      </c>
      <c r="S146" s="234">
        <v>282.43389999999999</v>
      </c>
      <c r="T146" s="234">
        <v>379.13209999999998</v>
      </c>
      <c r="U146" s="234">
        <v>1840.1690000000001</v>
      </c>
      <c r="V146" s="234">
        <v>2268.8490000000002</v>
      </c>
      <c r="W146" s="234">
        <v>558.49739999999997</v>
      </c>
      <c r="X146" s="234">
        <v>1202.098</v>
      </c>
      <c r="Y146" s="234">
        <v>1280.9970000000001</v>
      </c>
      <c r="Z146" s="234">
        <v>335.22089999999997</v>
      </c>
      <c r="AA146" s="234">
        <v>1506.175</v>
      </c>
      <c r="AB146" s="234">
        <v>204.17679999999999</v>
      </c>
      <c r="AC146" s="234">
        <v>869.57830000000001</v>
      </c>
      <c r="AD146" s="234">
        <v>358.49259999999998</v>
      </c>
      <c r="AE146" s="234">
        <v>393.4221</v>
      </c>
      <c r="AF146" s="234">
        <v>40362.730000000003</v>
      </c>
      <c r="AG146" s="234">
        <v>9931.3340000000007</v>
      </c>
      <c r="AH146" s="234">
        <v>54576.97</v>
      </c>
      <c r="AI146" s="234">
        <v>30318.54</v>
      </c>
      <c r="AJ146" s="234">
        <v>18048.38</v>
      </c>
      <c r="AK146" s="234">
        <v>33094.83</v>
      </c>
      <c r="AL146" s="234">
        <v>175334.5</v>
      </c>
      <c r="AM146" s="234">
        <v>20502.41</v>
      </c>
      <c r="AN146" s="234">
        <v>16244.14</v>
      </c>
      <c r="AO146" s="234">
        <v>58414.44</v>
      </c>
      <c r="AP146" s="234">
        <v>62343.07</v>
      </c>
      <c r="AQ146" s="234">
        <v>14037.9</v>
      </c>
      <c r="AR146" s="234">
        <v>22386.34</v>
      </c>
      <c r="AS146" s="234">
        <v>294159.40000000002</v>
      </c>
      <c r="AT146" s="234">
        <v>273585.8</v>
      </c>
      <c r="AU146" s="234">
        <v>347790.2</v>
      </c>
      <c r="AV146" s="234">
        <v>81067.320000000007</v>
      </c>
      <c r="AW146" s="234">
        <v>85498.45</v>
      </c>
      <c r="AX146" s="234">
        <v>9210.393</v>
      </c>
      <c r="AY146" s="234">
        <v>2268.8490000000002</v>
      </c>
      <c r="AZ146" s="234">
        <v>378707.5</v>
      </c>
      <c r="BA146" s="234">
        <v>18386.759999999998</v>
      </c>
      <c r="BB146" s="234">
        <v>33781</v>
      </c>
      <c r="BC146" s="234">
        <v>40405</v>
      </c>
      <c r="BD146" s="234">
        <v>10889</v>
      </c>
      <c r="BE146" s="234" t="s">
        <v>1753</v>
      </c>
      <c r="BF146" s="234">
        <v>0.56268499999999999</v>
      </c>
      <c r="BG146" s="234">
        <v>5</v>
      </c>
      <c r="BH146" s="234">
        <v>-87463000</v>
      </c>
      <c r="BI146" s="234">
        <v>0</v>
      </c>
      <c r="BJ146" s="234">
        <v>0</v>
      </c>
      <c r="BK146" s="234">
        <v>0</v>
      </c>
      <c r="BL146" s="234">
        <v>0</v>
      </c>
      <c r="BM146" s="234">
        <v>1</v>
      </c>
      <c r="BN146" s="234">
        <f>IF(ECON_OUTPUT!BE146="Other",1,0)</f>
        <v>1</v>
      </c>
    </row>
    <row r="147" spans="1:66" x14ac:dyDescent="0.25">
      <c r="A147" s="234">
        <v>146</v>
      </c>
      <c r="B147" s="234" t="s">
        <v>1761</v>
      </c>
      <c r="C147" s="234" t="s">
        <v>1205</v>
      </c>
      <c r="D147" s="234" t="s">
        <v>1206</v>
      </c>
      <c r="E147" s="235">
        <v>43118</v>
      </c>
      <c r="F147" s="234" t="s">
        <v>1753</v>
      </c>
      <c r="G147" s="234">
        <v>26900000</v>
      </c>
      <c r="H147" s="234">
        <v>24990000</v>
      </c>
      <c r="I147" s="234">
        <v>-7.1003716999999994E-2</v>
      </c>
      <c r="J147" s="234" t="s">
        <v>464</v>
      </c>
      <c r="K147" s="234">
        <v>2</v>
      </c>
      <c r="L147" s="234" t="s">
        <v>226</v>
      </c>
      <c r="M147" s="234">
        <v>1</v>
      </c>
      <c r="N147" s="234" t="s">
        <v>459</v>
      </c>
      <c r="O147" s="234" t="s">
        <v>1286</v>
      </c>
      <c r="P147" s="234" t="s">
        <v>1754</v>
      </c>
      <c r="Q147" s="234">
        <v>45044000</v>
      </c>
      <c r="R147" s="234">
        <v>271.78250000000003</v>
      </c>
      <c r="S147" s="234">
        <v>282.43389999999999</v>
      </c>
      <c r="T147" s="234">
        <v>379.13209999999998</v>
      </c>
      <c r="U147" s="234">
        <v>1840.1690000000001</v>
      </c>
      <c r="V147" s="234">
        <v>2268.8490000000002</v>
      </c>
      <c r="W147" s="234">
        <v>558.49739999999997</v>
      </c>
      <c r="X147" s="234">
        <v>1202.098</v>
      </c>
      <c r="Y147" s="234">
        <v>1280.9970000000001</v>
      </c>
      <c r="Z147" s="234">
        <v>335.22089999999997</v>
      </c>
      <c r="AA147" s="234">
        <v>1506.175</v>
      </c>
      <c r="AB147" s="234">
        <v>204.17679999999999</v>
      </c>
      <c r="AC147" s="234">
        <v>869.57830000000001</v>
      </c>
      <c r="AD147" s="234">
        <v>358.49259999999998</v>
      </c>
      <c r="AE147" s="234">
        <v>393.4221</v>
      </c>
      <c r="AF147" s="234">
        <v>40362.730000000003</v>
      </c>
      <c r="AG147" s="234">
        <v>9931.3340000000007</v>
      </c>
      <c r="AH147" s="234">
        <v>54576.97</v>
      </c>
      <c r="AI147" s="234">
        <v>30318.54</v>
      </c>
      <c r="AJ147" s="234">
        <v>18048.38</v>
      </c>
      <c r="AK147" s="234">
        <v>33094.83</v>
      </c>
      <c r="AL147" s="234">
        <v>175334.5</v>
      </c>
      <c r="AM147" s="234">
        <v>20502.41</v>
      </c>
      <c r="AN147" s="234">
        <v>16244.14</v>
      </c>
      <c r="AO147" s="234">
        <v>58414.44</v>
      </c>
      <c r="AP147" s="234">
        <v>62343.07</v>
      </c>
      <c r="AQ147" s="234">
        <v>14037.9</v>
      </c>
      <c r="AR147" s="234">
        <v>22386.34</v>
      </c>
      <c r="AS147" s="234">
        <v>294159.40000000002</v>
      </c>
      <c r="AT147" s="234">
        <v>273585.8</v>
      </c>
      <c r="AU147" s="234">
        <v>347790.2</v>
      </c>
      <c r="AV147" s="234">
        <v>81067.320000000007</v>
      </c>
      <c r="AW147" s="234">
        <v>85498.45</v>
      </c>
      <c r="AX147" s="234">
        <v>9210.393</v>
      </c>
      <c r="AY147" s="234">
        <v>2268.8490000000002</v>
      </c>
      <c r="AZ147" s="234">
        <v>378707.5</v>
      </c>
      <c r="BA147" s="234">
        <v>18386.759999999998</v>
      </c>
      <c r="BB147" s="234">
        <v>33781</v>
      </c>
      <c r="BC147" s="234">
        <v>40405</v>
      </c>
      <c r="BD147" s="234">
        <v>10889</v>
      </c>
      <c r="BE147" s="234" t="s">
        <v>1753</v>
      </c>
      <c r="BF147" s="234">
        <v>1.6744981412639399</v>
      </c>
      <c r="BG147" s="234">
        <v>5</v>
      </c>
      <c r="BH147" s="234">
        <v>18144000</v>
      </c>
      <c r="BI147" s="234">
        <v>0</v>
      </c>
      <c r="BJ147" s="234">
        <v>0</v>
      </c>
      <c r="BK147" s="234">
        <v>0</v>
      </c>
      <c r="BL147" s="234">
        <v>0</v>
      </c>
      <c r="BM147" s="234">
        <v>1</v>
      </c>
      <c r="BN147" s="234">
        <f>IF(ECON_OUTPUT!BE147="Other",1,0)</f>
        <v>1</v>
      </c>
    </row>
    <row r="148" spans="1:66" x14ac:dyDescent="0.25">
      <c r="A148" s="234">
        <v>147</v>
      </c>
      <c r="B148" s="234" t="s">
        <v>1761</v>
      </c>
      <c r="C148" s="234" t="s">
        <v>1208</v>
      </c>
      <c r="D148" s="234" t="s">
        <v>1209</v>
      </c>
      <c r="E148" s="235">
        <v>43124</v>
      </c>
      <c r="F148" s="234" t="s">
        <v>34</v>
      </c>
      <c r="G148" s="234">
        <v>22000000</v>
      </c>
      <c r="H148" s="234">
        <v>19988889</v>
      </c>
      <c r="I148" s="234">
        <v>-9.1414135999999993E-2</v>
      </c>
      <c r="J148" s="234" t="s">
        <v>464</v>
      </c>
      <c r="K148" s="234">
        <v>13</v>
      </c>
      <c r="L148" s="234" t="s">
        <v>93</v>
      </c>
      <c r="M148" s="234">
        <v>1</v>
      </c>
      <c r="N148" s="234" t="s">
        <v>492</v>
      </c>
      <c r="O148" s="234" t="s">
        <v>1285</v>
      </c>
      <c r="P148" s="234" t="s">
        <v>1755</v>
      </c>
      <c r="Q148" s="234">
        <v>22332146</v>
      </c>
      <c r="R148" s="234">
        <v>271.78250000000003</v>
      </c>
      <c r="S148" s="234">
        <v>282.43389999999999</v>
      </c>
      <c r="T148" s="234">
        <v>379.13209999999998</v>
      </c>
      <c r="U148" s="234">
        <v>1840.1690000000001</v>
      </c>
      <c r="V148" s="234">
        <v>2268.8490000000002</v>
      </c>
      <c r="W148" s="234">
        <v>558.49739999999997</v>
      </c>
      <c r="X148" s="234">
        <v>1202.098</v>
      </c>
      <c r="Y148" s="234">
        <v>1280.9970000000001</v>
      </c>
      <c r="Z148" s="234">
        <v>335.22089999999997</v>
      </c>
      <c r="AA148" s="234">
        <v>1506.175</v>
      </c>
      <c r="AB148" s="234">
        <v>204.17679999999999</v>
      </c>
      <c r="AC148" s="234">
        <v>869.57830000000001</v>
      </c>
      <c r="AD148" s="234">
        <v>358.49259999999998</v>
      </c>
      <c r="AE148" s="234">
        <v>393.4221</v>
      </c>
      <c r="AF148" s="234">
        <v>40362.730000000003</v>
      </c>
      <c r="AG148" s="234">
        <v>9931.3340000000007</v>
      </c>
      <c r="AH148" s="234">
        <v>54576.97</v>
      </c>
      <c r="AI148" s="234">
        <v>30318.54</v>
      </c>
      <c r="AJ148" s="234">
        <v>18048.38</v>
      </c>
      <c r="AK148" s="234">
        <v>33094.83</v>
      </c>
      <c r="AL148" s="234">
        <v>175334.5</v>
      </c>
      <c r="AM148" s="234">
        <v>20502.41</v>
      </c>
      <c r="AN148" s="234">
        <v>16244.14</v>
      </c>
      <c r="AO148" s="234">
        <v>58414.44</v>
      </c>
      <c r="AP148" s="234">
        <v>62343.07</v>
      </c>
      <c r="AQ148" s="234">
        <v>14037.9</v>
      </c>
      <c r="AR148" s="234">
        <v>22386.34</v>
      </c>
      <c r="AS148" s="234">
        <v>294159.40000000002</v>
      </c>
      <c r="AT148" s="234">
        <v>273585.8</v>
      </c>
      <c r="AU148" s="234">
        <v>347790.2</v>
      </c>
      <c r="AV148" s="234">
        <v>81067.320000000007</v>
      </c>
      <c r="AW148" s="234">
        <v>85498.45</v>
      </c>
      <c r="AX148" s="234">
        <v>9210.393</v>
      </c>
      <c r="AY148" s="234">
        <v>2268.8490000000002</v>
      </c>
      <c r="AZ148" s="234">
        <v>378707.5</v>
      </c>
      <c r="BA148" s="234">
        <v>18386.759999999998</v>
      </c>
      <c r="BB148" s="234">
        <v>33781</v>
      </c>
      <c r="BC148" s="234">
        <v>40405</v>
      </c>
      <c r="BD148" s="234">
        <v>10889</v>
      </c>
      <c r="BE148" s="234" t="s">
        <v>34</v>
      </c>
      <c r="BF148" s="234">
        <v>1.0150975454545501</v>
      </c>
      <c r="BG148" s="234">
        <v>5</v>
      </c>
      <c r="BH148" s="234">
        <v>332146</v>
      </c>
      <c r="BI148" s="234">
        <v>0</v>
      </c>
      <c r="BJ148" s="234">
        <v>0</v>
      </c>
      <c r="BK148" s="234">
        <v>0</v>
      </c>
      <c r="BL148" s="234">
        <v>0</v>
      </c>
      <c r="BM148" s="234">
        <v>1</v>
      </c>
      <c r="BN148" s="234">
        <f>IF(ECON_OUTPUT!BE148="Other",1,0)</f>
        <v>0</v>
      </c>
    </row>
    <row r="149" spans="1:66" x14ac:dyDescent="0.25">
      <c r="A149" s="234">
        <v>148</v>
      </c>
      <c r="B149" s="234" t="s">
        <v>1761</v>
      </c>
      <c r="C149" s="234" t="s">
        <v>1213</v>
      </c>
      <c r="D149" s="234" t="s">
        <v>1214</v>
      </c>
      <c r="E149" s="235">
        <v>43125</v>
      </c>
      <c r="F149" s="234" t="s">
        <v>34</v>
      </c>
      <c r="G149" s="234">
        <v>1700000</v>
      </c>
      <c r="H149" s="234">
        <v>1555555</v>
      </c>
      <c r="I149" s="234">
        <v>-8.4967646999999993E-2</v>
      </c>
      <c r="J149" s="234" t="s">
        <v>464</v>
      </c>
      <c r="K149" s="234">
        <v>9</v>
      </c>
      <c r="L149" s="234" t="s">
        <v>93</v>
      </c>
      <c r="M149" s="234">
        <v>1</v>
      </c>
      <c r="N149" s="234" t="s">
        <v>458</v>
      </c>
      <c r="O149" s="234" t="s">
        <v>1285</v>
      </c>
      <c r="P149" s="234" t="s">
        <v>1754</v>
      </c>
      <c r="Q149" s="234">
        <v>1647000</v>
      </c>
      <c r="R149" s="234">
        <v>271.78250000000003</v>
      </c>
      <c r="S149" s="234">
        <v>282.43389999999999</v>
      </c>
      <c r="T149" s="234">
        <v>379.13209999999998</v>
      </c>
      <c r="U149" s="234">
        <v>1840.1690000000001</v>
      </c>
      <c r="V149" s="234">
        <v>2268.8490000000002</v>
      </c>
      <c r="W149" s="234">
        <v>558.49739999999997</v>
      </c>
      <c r="X149" s="234">
        <v>1202.098</v>
      </c>
      <c r="Y149" s="234">
        <v>1280.9970000000001</v>
      </c>
      <c r="Z149" s="234">
        <v>335.22089999999997</v>
      </c>
      <c r="AA149" s="234">
        <v>1506.175</v>
      </c>
      <c r="AB149" s="234">
        <v>204.17679999999999</v>
      </c>
      <c r="AC149" s="234">
        <v>869.57830000000001</v>
      </c>
      <c r="AD149" s="234">
        <v>358.49259999999998</v>
      </c>
      <c r="AE149" s="234">
        <v>393.4221</v>
      </c>
      <c r="AF149" s="234">
        <v>40362.730000000003</v>
      </c>
      <c r="AG149" s="234">
        <v>9931.3340000000007</v>
      </c>
      <c r="AH149" s="234">
        <v>54576.97</v>
      </c>
      <c r="AI149" s="234">
        <v>30318.54</v>
      </c>
      <c r="AJ149" s="234">
        <v>18048.38</v>
      </c>
      <c r="AK149" s="234">
        <v>33094.83</v>
      </c>
      <c r="AL149" s="234">
        <v>175334.5</v>
      </c>
      <c r="AM149" s="234">
        <v>20502.41</v>
      </c>
      <c r="AN149" s="234">
        <v>16244.14</v>
      </c>
      <c r="AO149" s="234">
        <v>58414.44</v>
      </c>
      <c r="AP149" s="234">
        <v>62343.07</v>
      </c>
      <c r="AQ149" s="234">
        <v>14037.9</v>
      </c>
      <c r="AR149" s="234">
        <v>22386.34</v>
      </c>
      <c r="AS149" s="234">
        <v>294159.40000000002</v>
      </c>
      <c r="AT149" s="234">
        <v>273585.8</v>
      </c>
      <c r="AU149" s="234">
        <v>347790.2</v>
      </c>
      <c r="AV149" s="234">
        <v>81067.320000000007</v>
      </c>
      <c r="AW149" s="234">
        <v>85498.45</v>
      </c>
      <c r="AX149" s="234">
        <v>9210.393</v>
      </c>
      <c r="AY149" s="234">
        <v>2268.8490000000002</v>
      </c>
      <c r="AZ149" s="234">
        <v>378707.5</v>
      </c>
      <c r="BA149" s="234">
        <v>18386.759999999998</v>
      </c>
      <c r="BB149" s="234">
        <v>33781</v>
      </c>
      <c r="BC149" s="234">
        <v>40405</v>
      </c>
      <c r="BD149" s="234">
        <v>10889</v>
      </c>
      <c r="BE149" s="234" t="s">
        <v>34</v>
      </c>
      <c r="BF149" s="234">
        <v>0.96882352941176497</v>
      </c>
      <c r="BG149" s="234">
        <v>2</v>
      </c>
      <c r="BH149" s="234">
        <v>-53000</v>
      </c>
      <c r="BI149" s="234">
        <v>0</v>
      </c>
      <c r="BJ149" s="234">
        <v>1</v>
      </c>
      <c r="BK149" s="234">
        <v>0</v>
      </c>
      <c r="BL149" s="234">
        <v>0</v>
      </c>
      <c r="BM149" s="234">
        <v>0</v>
      </c>
      <c r="BN149" s="234">
        <f>IF(ECON_OUTPUT!BE149="Other",1,0)</f>
        <v>0</v>
      </c>
    </row>
    <row r="150" spans="1:66" x14ac:dyDescent="0.25">
      <c r="A150" s="234">
        <v>149</v>
      </c>
      <c r="B150" s="234" t="s">
        <v>1761</v>
      </c>
      <c r="C150" s="234" t="s">
        <v>1219</v>
      </c>
      <c r="D150" s="234" t="s">
        <v>1220</v>
      </c>
      <c r="E150" s="235">
        <v>43138</v>
      </c>
      <c r="F150" s="234" t="s">
        <v>177</v>
      </c>
      <c r="G150" s="234">
        <v>1056000</v>
      </c>
      <c r="H150" s="234">
        <v>619790</v>
      </c>
      <c r="I150" s="234">
        <v>-0.41307765200000002</v>
      </c>
      <c r="J150" s="234" t="s">
        <v>464</v>
      </c>
      <c r="K150" s="234">
        <v>6</v>
      </c>
      <c r="L150" s="234" t="s">
        <v>25</v>
      </c>
      <c r="M150" s="234">
        <v>1</v>
      </c>
      <c r="N150" s="234" t="s">
        <v>457</v>
      </c>
      <c r="O150" s="234" t="s">
        <v>1282</v>
      </c>
      <c r="P150" s="234" t="s">
        <v>1750</v>
      </c>
      <c r="Q150" s="234">
        <v>931795</v>
      </c>
      <c r="R150" s="234">
        <v>271.78250000000003</v>
      </c>
      <c r="S150" s="234">
        <v>282.43389999999999</v>
      </c>
      <c r="T150" s="234">
        <v>379.13209999999998</v>
      </c>
      <c r="U150" s="234">
        <v>1840.1690000000001</v>
      </c>
      <c r="V150" s="234">
        <v>2268.8490000000002</v>
      </c>
      <c r="W150" s="234">
        <v>558.49739999999997</v>
      </c>
      <c r="X150" s="234">
        <v>1202.098</v>
      </c>
      <c r="Y150" s="234">
        <v>1280.9970000000001</v>
      </c>
      <c r="Z150" s="234">
        <v>335.22089999999997</v>
      </c>
      <c r="AA150" s="234">
        <v>1506.175</v>
      </c>
      <c r="AB150" s="234">
        <v>204.17679999999999</v>
      </c>
      <c r="AC150" s="234">
        <v>869.57830000000001</v>
      </c>
      <c r="AD150" s="234">
        <v>358.49259999999998</v>
      </c>
      <c r="AE150" s="234">
        <v>393.4221</v>
      </c>
      <c r="AF150" s="234">
        <v>40362.730000000003</v>
      </c>
      <c r="AG150" s="234">
        <v>9931.3340000000007</v>
      </c>
      <c r="AH150" s="234">
        <v>54576.97</v>
      </c>
      <c r="AI150" s="234">
        <v>30318.54</v>
      </c>
      <c r="AJ150" s="234">
        <v>18048.38</v>
      </c>
      <c r="AK150" s="234">
        <v>33094.83</v>
      </c>
      <c r="AL150" s="234">
        <v>175334.5</v>
      </c>
      <c r="AM150" s="234">
        <v>20502.41</v>
      </c>
      <c r="AN150" s="234">
        <v>16244.14</v>
      </c>
      <c r="AO150" s="234">
        <v>58414.44</v>
      </c>
      <c r="AP150" s="234">
        <v>62343.07</v>
      </c>
      <c r="AQ150" s="234">
        <v>14037.9</v>
      </c>
      <c r="AR150" s="234">
        <v>22386.34</v>
      </c>
      <c r="AS150" s="234">
        <v>294159.40000000002</v>
      </c>
      <c r="AT150" s="234">
        <v>273585.8</v>
      </c>
      <c r="AU150" s="234">
        <v>347790.2</v>
      </c>
      <c r="AV150" s="234">
        <v>81067.320000000007</v>
      </c>
      <c r="AW150" s="234">
        <v>85498.45</v>
      </c>
      <c r="AX150" s="234">
        <v>9210.393</v>
      </c>
      <c r="AY150" s="234">
        <v>2268.8490000000002</v>
      </c>
      <c r="AZ150" s="234">
        <v>378707.5</v>
      </c>
      <c r="BA150" s="234">
        <v>18386.759999999998</v>
      </c>
      <c r="BB150" s="234">
        <v>33781</v>
      </c>
      <c r="BC150" s="234">
        <v>40405</v>
      </c>
      <c r="BD150" s="234">
        <v>10889</v>
      </c>
      <c r="BE150" s="234" t="s">
        <v>1753</v>
      </c>
      <c r="BF150" s="234">
        <v>0.88238162878787896</v>
      </c>
      <c r="BG150" s="234">
        <v>1</v>
      </c>
      <c r="BH150" s="234">
        <v>-124205</v>
      </c>
      <c r="BI150" s="234">
        <v>1</v>
      </c>
      <c r="BJ150" s="234">
        <v>0</v>
      </c>
      <c r="BK150" s="234">
        <v>0</v>
      </c>
      <c r="BL150" s="234">
        <v>0</v>
      </c>
      <c r="BM150" s="234">
        <v>0</v>
      </c>
      <c r="BN150" s="234">
        <f>IF(ECON_OUTPUT!BE150="Other",1,0)</f>
        <v>1</v>
      </c>
    </row>
    <row r="151" spans="1:66" x14ac:dyDescent="0.25">
      <c r="A151" s="234">
        <v>150</v>
      </c>
      <c r="B151" s="234" t="s">
        <v>1761</v>
      </c>
      <c r="C151" s="234" t="s">
        <v>1223</v>
      </c>
      <c r="D151" s="234" t="s">
        <v>1224</v>
      </c>
      <c r="E151" s="235">
        <v>43139</v>
      </c>
      <c r="F151" s="234" t="s">
        <v>1753</v>
      </c>
      <c r="G151" s="234">
        <v>10590000</v>
      </c>
      <c r="H151" s="234">
        <v>9125000</v>
      </c>
      <c r="I151" s="234">
        <v>-0.13833805499999999</v>
      </c>
      <c r="J151" s="234" t="s">
        <v>465</v>
      </c>
      <c r="K151" s="234">
        <v>2</v>
      </c>
      <c r="L151" s="234" t="s">
        <v>93</v>
      </c>
      <c r="M151" s="234">
        <v>1</v>
      </c>
      <c r="N151" s="234" t="s">
        <v>458</v>
      </c>
      <c r="O151" s="234" t="s">
        <v>1283</v>
      </c>
      <c r="P151" s="234" t="s">
        <v>1755</v>
      </c>
      <c r="Q151" s="234">
        <v>9832834</v>
      </c>
      <c r="R151" s="234">
        <v>271.78250000000003</v>
      </c>
      <c r="S151" s="234">
        <v>282.43389999999999</v>
      </c>
      <c r="T151" s="234">
        <v>379.13209999999998</v>
      </c>
      <c r="U151" s="234">
        <v>1840.1690000000001</v>
      </c>
      <c r="V151" s="234">
        <v>2268.8490000000002</v>
      </c>
      <c r="W151" s="234">
        <v>558.49739999999997</v>
      </c>
      <c r="X151" s="234">
        <v>1202.098</v>
      </c>
      <c r="Y151" s="234">
        <v>1280.9970000000001</v>
      </c>
      <c r="Z151" s="234">
        <v>335.22089999999997</v>
      </c>
      <c r="AA151" s="234">
        <v>1506.175</v>
      </c>
      <c r="AB151" s="234">
        <v>204.17679999999999</v>
      </c>
      <c r="AC151" s="234">
        <v>869.57830000000001</v>
      </c>
      <c r="AD151" s="234">
        <v>358.49259999999998</v>
      </c>
      <c r="AE151" s="234">
        <v>393.4221</v>
      </c>
      <c r="AF151" s="234">
        <v>40362.730000000003</v>
      </c>
      <c r="AG151" s="234">
        <v>9931.3340000000007</v>
      </c>
      <c r="AH151" s="234">
        <v>54576.97</v>
      </c>
      <c r="AI151" s="234">
        <v>30318.54</v>
      </c>
      <c r="AJ151" s="234">
        <v>18048.38</v>
      </c>
      <c r="AK151" s="234">
        <v>33094.83</v>
      </c>
      <c r="AL151" s="234">
        <v>175334.5</v>
      </c>
      <c r="AM151" s="234">
        <v>20502.41</v>
      </c>
      <c r="AN151" s="234">
        <v>16244.14</v>
      </c>
      <c r="AO151" s="234">
        <v>58414.44</v>
      </c>
      <c r="AP151" s="234">
        <v>62343.07</v>
      </c>
      <c r="AQ151" s="234">
        <v>14037.9</v>
      </c>
      <c r="AR151" s="234">
        <v>22386.34</v>
      </c>
      <c r="AS151" s="234">
        <v>294159.40000000002</v>
      </c>
      <c r="AT151" s="234">
        <v>273585.8</v>
      </c>
      <c r="AU151" s="234">
        <v>347790.2</v>
      </c>
      <c r="AV151" s="234">
        <v>81067.320000000007</v>
      </c>
      <c r="AW151" s="234">
        <v>85498.45</v>
      </c>
      <c r="AX151" s="234">
        <v>9210.393</v>
      </c>
      <c r="AY151" s="234">
        <v>2268.8490000000002</v>
      </c>
      <c r="AZ151" s="234">
        <v>378707.5</v>
      </c>
      <c r="BA151" s="234">
        <v>18386.759999999998</v>
      </c>
      <c r="BB151" s="234">
        <v>33781</v>
      </c>
      <c r="BC151" s="234">
        <v>40405</v>
      </c>
      <c r="BD151" s="234">
        <v>10889</v>
      </c>
      <c r="BE151" s="234" t="s">
        <v>1753</v>
      </c>
      <c r="BF151" s="234">
        <v>0.92850179414542</v>
      </c>
      <c r="BG151" s="234">
        <v>4</v>
      </c>
      <c r="BH151" s="234">
        <v>-757166</v>
      </c>
      <c r="BI151" s="234">
        <v>0</v>
      </c>
      <c r="BJ151" s="234">
        <v>0</v>
      </c>
      <c r="BK151" s="234">
        <v>0</v>
      </c>
      <c r="BL151" s="234">
        <v>1</v>
      </c>
      <c r="BM151" s="234">
        <v>0</v>
      </c>
      <c r="BN151" s="234">
        <f>IF(ECON_OUTPUT!BE151="Other",1,0)</f>
        <v>1</v>
      </c>
    </row>
    <row r="152" spans="1:66" x14ac:dyDescent="0.25">
      <c r="A152" s="234">
        <v>151</v>
      </c>
      <c r="B152" s="234" t="s">
        <v>1761</v>
      </c>
      <c r="C152" s="234" t="s">
        <v>1225</v>
      </c>
      <c r="D152" s="234" t="s">
        <v>1226</v>
      </c>
      <c r="E152" s="235">
        <v>43147</v>
      </c>
      <c r="F152" s="234" t="s">
        <v>34</v>
      </c>
      <c r="G152" s="234">
        <v>23100000</v>
      </c>
      <c r="H152" s="234">
        <v>16848000</v>
      </c>
      <c r="I152" s="234">
        <v>-0.27064935099999998</v>
      </c>
      <c r="J152" s="234" t="s">
        <v>464</v>
      </c>
      <c r="K152" s="234">
        <v>6</v>
      </c>
      <c r="L152" s="234" t="s">
        <v>93</v>
      </c>
      <c r="M152" s="234">
        <v>1</v>
      </c>
      <c r="N152" s="234" t="s">
        <v>458</v>
      </c>
      <c r="O152" s="234" t="s">
        <v>1284</v>
      </c>
      <c r="P152" s="234" t="s">
        <v>1754</v>
      </c>
      <c r="Q152" s="234">
        <v>18987000</v>
      </c>
      <c r="R152" s="234">
        <v>271.78250000000003</v>
      </c>
      <c r="S152" s="234">
        <v>282.43389999999999</v>
      </c>
      <c r="T152" s="234">
        <v>379.13209999999998</v>
      </c>
      <c r="U152" s="234">
        <v>1840.1690000000001</v>
      </c>
      <c r="V152" s="234">
        <v>2268.8490000000002</v>
      </c>
      <c r="W152" s="234">
        <v>558.49739999999997</v>
      </c>
      <c r="X152" s="234">
        <v>1202.098</v>
      </c>
      <c r="Y152" s="234">
        <v>1280.9970000000001</v>
      </c>
      <c r="Z152" s="234">
        <v>335.22089999999997</v>
      </c>
      <c r="AA152" s="234">
        <v>1506.175</v>
      </c>
      <c r="AB152" s="234">
        <v>204.17679999999999</v>
      </c>
      <c r="AC152" s="234">
        <v>869.57830000000001</v>
      </c>
      <c r="AD152" s="234">
        <v>358.49259999999998</v>
      </c>
      <c r="AE152" s="234">
        <v>393.4221</v>
      </c>
      <c r="AF152" s="234">
        <v>40362.730000000003</v>
      </c>
      <c r="AG152" s="234">
        <v>9931.3340000000007</v>
      </c>
      <c r="AH152" s="234">
        <v>54576.97</v>
      </c>
      <c r="AI152" s="234">
        <v>30318.54</v>
      </c>
      <c r="AJ152" s="234">
        <v>18048.38</v>
      </c>
      <c r="AK152" s="234">
        <v>33094.83</v>
      </c>
      <c r="AL152" s="234">
        <v>175334.5</v>
      </c>
      <c r="AM152" s="234">
        <v>20502.41</v>
      </c>
      <c r="AN152" s="234">
        <v>16244.14</v>
      </c>
      <c r="AO152" s="234">
        <v>58414.44</v>
      </c>
      <c r="AP152" s="234">
        <v>62343.07</v>
      </c>
      <c r="AQ152" s="234">
        <v>14037.9</v>
      </c>
      <c r="AR152" s="234">
        <v>22386.34</v>
      </c>
      <c r="AS152" s="234">
        <v>294159.40000000002</v>
      </c>
      <c r="AT152" s="234">
        <v>273585.8</v>
      </c>
      <c r="AU152" s="234">
        <v>347790.2</v>
      </c>
      <c r="AV152" s="234">
        <v>81067.320000000007</v>
      </c>
      <c r="AW152" s="234">
        <v>85498.45</v>
      </c>
      <c r="AX152" s="234">
        <v>9210.393</v>
      </c>
      <c r="AY152" s="234">
        <v>2268.8490000000002</v>
      </c>
      <c r="AZ152" s="234">
        <v>378707.5</v>
      </c>
      <c r="BA152" s="234">
        <v>18386.759999999998</v>
      </c>
      <c r="BB152" s="234">
        <v>33781</v>
      </c>
      <c r="BC152" s="234">
        <v>40405</v>
      </c>
      <c r="BD152" s="234">
        <v>10889</v>
      </c>
      <c r="BE152" s="234" t="s">
        <v>34</v>
      </c>
      <c r="BF152" s="234">
        <v>0.82194805194805198</v>
      </c>
      <c r="BG152" s="234">
        <v>5</v>
      </c>
      <c r="BH152" s="234">
        <v>-4113000</v>
      </c>
      <c r="BI152" s="234">
        <v>0</v>
      </c>
      <c r="BJ152" s="234">
        <v>0</v>
      </c>
      <c r="BK152" s="234">
        <v>0</v>
      </c>
      <c r="BL152" s="234">
        <v>0</v>
      </c>
      <c r="BM152" s="234">
        <v>1</v>
      </c>
      <c r="BN152" s="234">
        <f>IF(ECON_OUTPUT!BE152="Other",1,0)</f>
        <v>0</v>
      </c>
    </row>
    <row r="153" spans="1:66" x14ac:dyDescent="0.25">
      <c r="A153" s="234">
        <v>152</v>
      </c>
      <c r="B153" s="234" t="s">
        <v>1761</v>
      </c>
      <c r="C153" s="234" t="s">
        <v>1235</v>
      </c>
      <c r="D153" s="234" t="s">
        <v>1236</v>
      </c>
      <c r="E153" s="235">
        <v>43160</v>
      </c>
      <c r="F153" s="234" t="s">
        <v>34</v>
      </c>
      <c r="G153" s="234">
        <v>1273000</v>
      </c>
      <c r="H153" s="234">
        <v>1050950</v>
      </c>
      <c r="I153" s="234">
        <v>-0.174430479</v>
      </c>
      <c r="J153" s="234" t="s">
        <v>464</v>
      </c>
      <c r="K153" s="234">
        <v>6</v>
      </c>
      <c r="L153" s="234" t="s">
        <v>25</v>
      </c>
      <c r="M153" s="234">
        <v>1</v>
      </c>
      <c r="N153" s="234" t="s">
        <v>458</v>
      </c>
      <c r="O153" s="234" t="s">
        <v>1282</v>
      </c>
      <c r="P153" s="234" t="s">
        <v>1750</v>
      </c>
      <c r="Q153" s="234">
        <v>1249893</v>
      </c>
      <c r="R153" s="234">
        <v>271.78250000000003</v>
      </c>
      <c r="S153" s="234">
        <v>282.43389999999999</v>
      </c>
      <c r="T153" s="234">
        <v>379.13209999999998</v>
      </c>
      <c r="U153" s="234">
        <v>1840.1690000000001</v>
      </c>
      <c r="V153" s="234">
        <v>2268.8490000000002</v>
      </c>
      <c r="W153" s="234">
        <v>558.49739999999997</v>
      </c>
      <c r="X153" s="234">
        <v>1202.098</v>
      </c>
      <c r="Y153" s="234">
        <v>1280.9970000000001</v>
      </c>
      <c r="Z153" s="234">
        <v>335.22089999999997</v>
      </c>
      <c r="AA153" s="234">
        <v>1506.175</v>
      </c>
      <c r="AB153" s="234">
        <v>204.17679999999999</v>
      </c>
      <c r="AC153" s="234">
        <v>869.57830000000001</v>
      </c>
      <c r="AD153" s="234">
        <v>358.49259999999998</v>
      </c>
      <c r="AE153" s="234">
        <v>393.4221</v>
      </c>
      <c r="AF153" s="234">
        <v>40362.730000000003</v>
      </c>
      <c r="AG153" s="234">
        <v>9931.3340000000007</v>
      </c>
      <c r="AH153" s="234">
        <v>54576.97</v>
      </c>
      <c r="AI153" s="234">
        <v>30318.54</v>
      </c>
      <c r="AJ153" s="234">
        <v>18048.38</v>
      </c>
      <c r="AK153" s="234">
        <v>33094.83</v>
      </c>
      <c r="AL153" s="234">
        <v>175334.5</v>
      </c>
      <c r="AM153" s="234">
        <v>20502.41</v>
      </c>
      <c r="AN153" s="234">
        <v>16244.14</v>
      </c>
      <c r="AO153" s="234">
        <v>58414.44</v>
      </c>
      <c r="AP153" s="234">
        <v>62343.07</v>
      </c>
      <c r="AQ153" s="234">
        <v>14037.9</v>
      </c>
      <c r="AR153" s="234">
        <v>22386.34</v>
      </c>
      <c r="AS153" s="234">
        <v>294159.40000000002</v>
      </c>
      <c r="AT153" s="234">
        <v>273585.8</v>
      </c>
      <c r="AU153" s="234">
        <v>347790.2</v>
      </c>
      <c r="AV153" s="234">
        <v>81067.320000000007</v>
      </c>
      <c r="AW153" s="234">
        <v>85498.45</v>
      </c>
      <c r="AX153" s="234">
        <v>9210.393</v>
      </c>
      <c r="AY153" s="234">
        <v>2268.8490000000002</v>
      </c>
      <c r="AZ153" s="234">
        <v>378707.5</v>
      </c>
      <c r="BA153" s="234">
        <v>18386.759999999998</v>
      </c>
      <c r="BB153" s="234">
        <v>33781</v>
      </c>
      <c r="BC153" s="234">
        <v>40405</v>
      </c>
      <c r="BD153" s="234">
        <v>10889</v>
      </c>
      <c r="BE153" s="234" t="s">
        <v>34</v>
      </c>
      <c r="BF153" s="234">
        <v>0.98184838963079302</v>
      </c>
      <c r="BG153" s="234">
        <v>1</v>
      </c>
      <c r="BH153" s="234">
        <v>-23107</v>
      </c>
      <c r="BI153" s="234">
        <v>1</v>
      </c>
      <c r="BJ153" s="234">
        <v>0</v>
      </c>
      <c r="BK153" s="234">
        <v>0</v>
      </c>
      <c r="BL153" s="234">
        <v>0</v>
      </c>
      <c r="BM153" s="234">
        <v>0</v>
      </c>
      <c r="BN153" s="234">
        <f>IF(ECON_OUTPUT!BE153="Other",1,0)</f>
        <v>0</v>
      </c>
    </row>
    <row r="154" spans="1:66" x14ac:dyDescent="0.25">
      <c r="A154" s="234">
        <v>153</v>
      </c>
      <c r="B154" s="234" t="s">
        <v>1761</v>
      </c>
      <c r="C154" s="234" t="s">
        <v>1241</v>
      </c>
      <c r="D154" s="234" t="s">
        <v>1242</v>
      </c>
      <c r="E154" s="235">
        <v>43167</v>
      </c>
      <c r="F154" s="234" t="s">
        <v>34</v>
      </c>
      <c r="G154" s="234">
        <v>1600000</v>
      </c>
      <c r="H154" s="234">
        <v>1948000</v>
      </c>
      <c r="I154" s="234">
        <v>0.2175</v>
      </c>
      <c r="J154" s="234" t="s">
        <v>465</v>
      </c>
      <c r="K154" s="234">
        <v>2</v>
      </c>
      <c r="L154" s="234" t="s">
        <v>25</v>
      </c>
      <c r="M154" s="234">
        <v>1</v>
      </c>
      <c r="N154" s="234" t="s">
        <v>459</v>
      </c>
      <c r="O154" s="234" t="s">
        <v>1284</v>
      </c>
      <c r="P154" s="234" t="s">
        <v>1754</v>
      </c>
      <c r="Q154" s="234">
        <v>2759000</v>
      </c>
      <c r="R154" s="234">
        <v>271.78250000000003</v>
      </c>
      <c r="S154" s="234">
        <v>282.43389999999999</v>
      </c>
      <c r="T154" s="234">
        <v>379.13209999999998</v>
      </c>
      <c r="U154" s="234">
        <v>1840.1690000000001</v>
      </c>
      <c r="V154" s="234">
        <v>2268.8490000000002</v>
      </c>
      <c r="W154" s="234">
        <v>558.49739999999997</v>
      </c>
      <c r="X154" s="234">
        <v>1202.098</v>
      </c>
      <c r="Y154" s="234">
        <v>1280.9970000000001</v>
      </c>
      <c r="Z154" s="234">
        <v>335.22089999999997</v>
      </c>
      <c r="AA154" s="234">
        <v>1506.175</v>
      </c>
      <c r="AB154" s="234">
        <v>204.17679999999999</v>
      </c>
      <c r="AC154" s="234">
        <v>869.57830000000001</v>
      </c>
      <c r="AD154" s="234">
        <v>358.49259999999998</v>
      </c>
      <c r="AE154" s="234">
        <v>393.4221</v>
      </c>
      <c r="AF154" s="234">
        <v>40362.730000000003</v>
      </c>
      <c r="AG154" s="234">
        <v>9931.3340000000007</v>
      </c>
      <c r="AH154" s="234">
        <v>54576.97</v>
      </c>
      <c r="AI154" s="234">
        <v>30318.54</v>
      </c>
      <c r="AJ154" s="234">
        <v>18048.38</v>
      </c>
      <c r="AK154" s="234">
        <v>33094.83</v>
      </c>
      <c r="AL154" s="234">
        <v>175334.5</v>
      </c>
      <c r="AM154" s="234">
        <v>20502.41</v>
      </c>
      <c r="AN154" s="234">
        <v>16244.14</v>
      </c>
      <c r="AO154" s="234">
        <v>58414.44</v>
      </c>
      <c r="AP154" s="234">
        <v>62343.07</v>
      </c>
      <c r="AQ154" s="234">
        <v>14037.9</v>
      </c>
      <c r="AR154" s="234">
        <v>22386.34</v>
      </c>
      <c r="AS154" s="234">
        <v>294159.40000000002</v>
      </c>
      <c r="AT154" s="234">
        <v>273585.8</v>
      </c>
      <c r="AU154" s="234">
        <v>347790.2</v>
      </c>
      <c r="AV154" s="234">
        <v>81067.320000000007</v>
      </c>
      <c r="AW154" s="234">
        <v>85498.45</v>
      </c>
      <c r="AX154" s="234">
        <v>9210.393</v>
      </c>
      <c r="AY154" s="234">
        <v>2268.8490000000002</v>
      </c>
      <c r="AZ154" s="234">
        <v>378707.5</v>
      </c>
      <c r="BA154" s="234">
        <v>18386.759999999998</v>
      </c>
      <c r="BB154" s="234">
        <v>33781</v>
      </c>
      <c r="BC154" s="234">
        <v>40405</v>
      </c>
      <c r="BD154" s="234">
        <v>10889</v>
      </c>
      <c r="BE154" s="234" t="s">
        <v>34</v>
      </c>
      <c r="BF154" s="234">
        <v>1.724375</v>
      </c>
      <c r="BG154" s="234">
        <v>3</v>
      </c>
      <c r="BH154" s="234">
        <v>1159000</v>
      </c>
      <c r="BI154" s="234">
        <v>0</v>
      </c>
      <c r="BJ154" s="234">
        <v>0</v>
      </c>
      <c r="BK154" s="234">
        <v>1</v>
      </c>
      <c r="BL154" s="234">
        <v>0</v>
      </c>
      <c r="BM154" s="234">
        <v>0</v>
      </c>
      <c r="BN154" s="234">
        <f>IF(ECON_OUTPUT!BE154="Other",1,0)</f>
        <v>0</v>
      </c>
    </row>
    <row r="155" spans="1:66" x14ac:dyDescent="0.25">
      <c r="A155" s="234">
        <v>154</v>
      </c>
      <c r="B155" s="234" t="s">
        <v>1761</v>
      </c>
      <c r="C155" s="234" t="s">
        <v>1245</v>
      </c>
      <c r="D155" s="234" t="s">
        <v>1248</v>
      </c>
      <c r="E155" s="235">
        <v>43168</v>
      </c>
      <c r="F155" s="234" t="s">
        <v>34</v>
      </c>
      <c r="G155" s="234">
        <v>10900000</v>
      </c>
      <c r="H155" s="234">
        <v>10417536</v>
      </c>
      <c r="I155" s="234">
        <v>-4.4262752000000002E-2</v>
      </c>
      <c r="J155" s="234" t="s">
        <v>464</v>
      </c>
      <c r="K155" s="234">
        <v>11</v>
      </c>
      <c r="L155" s="234" t="s">
        <v>25</v>
      </c>
      <c r="M155" s="234">
        <v>1</v>
      </c>
      <c r="N155" s="234" t="s">
        <v>458</v>
      </c>
      <c r="O155" s="234" t="s">
        <v>1283</v>
      </c>
      <c r="P155" s="234" t="s">
        <v>1750</v>
      </c>
      <c r="Q155" s="234">
        <v>10424000</v>
      </c>
      <c r="R155" s="234">
        <v>271.78250000000003</v>
      </c>
      <c r="S155" s="234">
        <v>282.43389999999999</v>
      </c>
      <c r="T155" s="234">
        <v>379.13209999999998</v>
      </c>
      <c r="U155" s="234">
        <v>1840.1690000000001</v>
      </c>
      <c r="V155" s="234">
        <v>2268.8490000000002</v>
      </c>
      <c r="W155" s="234">
        <v>558.49739999999997</v>
      </c>
      <c r="X155" s="234">
        <v>1202.098</v>
      </c>
      <c r="Y155" s="234">
        <v>1280.9970000000001</v>
      </c>
      <c r="Z155" s="234">
        <v>335.22089999999997</v>
      </c>
      <c r="AA155" s="234">
        <v>1506.175</v>
      </c>
      <c r="AB155" s="234">
        <v>204.17679999999999</v>
      </c>
      <c r="AC155" s="234">
        <v>869.57830000000001</v>
      </c>
      <c r="AD155" s="234">
        <v>358.49259999999998</v>
      </c>
      <c r="AE155" s="234">
        <v>393.4221</v>
      </c>
      <c r="AF155" s="234">
        <v>40362.730000000003</v>
      </c>
      <c r="AG155" s="234">
        <v>9931.3340000000007</v>
      </c>
      <c r="AH155" s="234">
        <v>54576.97</v>
      </c>
      <c r="AI155" s="234">
        <v>30318.54</v>
      </c>
      <c r="AJ155" s="234">
        <v>18048.38</v>
      </c>
      <c r="AK155" s="234">
        <v>33094.83</v>
      </c>
      <c r="AL155" s="234">
        <v>175334.5</v>
      </c>
      <c r="AM155" s="234">
        <v>20502.41</v>
      </c>
      <c r="AN155" s="234">
        <v>16244.14</v>
      </c>
      <c r="AO155" s="234">
        <v>58414.44</v>
      </c>
      <c r="AP155" s="234">
        <v>62343.07</v>
      </c>
      <c r="AQ155" s="234">
        <v>14037.9</v>
      </c>
      <c r="AR155" s="234">
        <v>22386.34</v>
      </c>
      <c r="AS155" s="234">
        <v>294159.40000000002</v>
      </c>
      <c r="AT155" s="234">
        <v>273585.8</v>
      </c>
      <c r="AU155" s="234">
        <v>347790.2</v>
      </c>
      <c r="AV155" s="234">
        <v>81067.320000000007</v>
      </c>
      <c r="AW155" s="234">
        <v>85498.45</v>
      </c>
      <c r="AX155" s="234">
        <v>9210.393</v>
      </c>
      <c r="AY155" s="234">
        <v>2268.8490000000002</v>
      </c>
      <c r="AZ155" s="234">
        <v>378707.5</v>
      </c>
      <c r="BA155" s="234">
        <v>18386.759999999998</v>
      </c>
      <c r="BB155" s="234">
        <v>33781</v>
      </c>
      <c r="BC155" s="234">
        <v>40405</v>
      </c>
      <c r="BD155" s="234">
        <v>10889</v>
      </c>
      <c r="BE155" s="234" t="s">
        <v>34</v>
      </c>
      <c r="BF155" s="234">
        <v>0.95633027522935798</v>
      </c>
      <c r="BG155" s="234">
        <v>4</v>
      </c>
      <c r="BH155" s="234">
        <v>-476000</v>
      </c>
      <c r="BI155" s="234">
        <v>0</v>
      </c>
      <c r="BJ155" s="234">
        <v>0</v>
      </c>
      <c r="BK155" s="234">
        <v>0</v>
      </c>
      <c r="BL155" s="234">
        <v>1</v>
      </c>
      <c r="BM155" s="234">
        <v>0</v>
      </c>
      <c r="BN155" s="234">
        <f>IF(ECON_OUTPUT!BE155="Other",1,0)</f>
        <v>0</v>
      </c>
    </row>
    <row r="156" spans="1:66" x14ac:dyDescent="0.25">
      <c r="A156" s="234">
        <v>155</v>
      </c>
      <c r="B156" s="234" t="s">
        <v>1761</v>
      </c>
      <c r="C156" s="234" t="s">
        <v>1249</v>
      </c>
      <c r="D156" s="234" t="s">
        <v>1250</v>
      </c>
      <c r="E156" s="235">
        <v>43173</v>
      </c>
      <c r="F156" s="234" t="s">
        <v>177</v>
      </c>
      <c r="G156" s="234">
        <v>600000</v>
      </c>
      <c r="H156" s="234">
        <v>749000</v>
      </c>
      <c r="I156" s="234">
        <v>0.24833333299999999</v>
      </c>
      <c r="J156" s="234" t="s">
        <v>465</v>
      </c>
      <c r="K156" s="234">
        <v>3</v>
      </c>
      <c r="L156" s="234" t="s">
        <v>25</v>
      </c>
      <c r="M156" s="234">
        <v>1</v>
      </c>
      <c r="N156" s="234" t="s">
        <v>457</v>
      </c>
      <c r="O156" s="234" t="s">
        <v>1283</v>
      </c>
      <c r="P156" s="234" t="s">
        <v>1750</v>
      </c>
      <c r="Q156" s="234">
        <v>888000</v>
      </c>
      <c r="R156" s="234">
        <v>271.78250000000003</v>
      </c>
      <c r="S156" s="234">
        <v>282.43389999999999</v>
      </c>
      <c r="T156" s="234">
        <v>379.13209999999998</v>
      </c>
      <c r="U156" s="234">
        <v>1840.1690000000001</v>
      </c>
      <c r="V156" s="234">
        <v>2268.8490000000002</v>
      </c>
      <c r="W156" s="234">
        <v>558.49739999999997</v>
      </c>
      <c r="X156" s="234">
        <v>1202.098</v>
      </c>
      <c r="Y156" s="234">
        <v>1280.9970000000001</v>
      </c>
      <c r="Z156" s="234">
        <v>335.22089999999997</v>
      </c>
      <c r="AA156" s="234">
        <v>1506.175</v>
      </c>
      <c r="AB156" s="234">
        <v>204.17679999999999</v>
      </c>
      <c r="AC156" s="234">
        <v>869.57830000000001</v>
      </c>
      <c r="AD156" s="234">
        <v>358.49259999999998</v>
      </c>
      <c r="AE156" s="234">
        <v>393.4221</v>
      </c>
      <c r="AF156" s="234">
        <v>40362.730000000003</v>
      </c>
      <c r="AG156" s="234">
        <v>9931.3340000000007</v>
      </c>
      <c r="AH156" s="234">
        <v>54576.97</v>
      </c>
      <c r="AI156" s="234">
        <v>30318.54</v>
      </c>
      <c r="AJ156" s="234">
        <v>18048.38</v>
      </c>
      <c r="AK156" s="234">
        <v>33094.83</v>
      </c>
      <c r="AL156" s="234">
        <v>175334.5</v>
      </c>
      <c r="AM156" s="234">
        <v>20502.41</v>
      </c>
      <c r="AN156" s="234">
        <v>16244.14</v>
      </c>
      <c r="AO156" s="234">
        <v>58414.44</v>
      </c>
      <c r="AP156" s="234">
        <v>62343.07</v>
      </c>
      <c r="AQ156" s="234">
        <v>14037.9</v>
      </c>
      <c r="AR156" s="234">
        <v>22386.34</v>
      </c>
      <c r="AS156" s="234">
        <v>294159.40000000002</v>
      </c>
      <c r="AT156" s="234">
        <v>273585.8</v>
      </c>
      <c r="AU156" s="234">
        <v>347790.2</v>
      </c>
      <c r="AV156" s="234">
        <v>81067.320000000007</v>
      </c>
      <c r="AW156" s="234">
        <v>85498.45</v>
      </c>
      <c r="AX156" s="234">
        <v>9210.393</v>
      </c>
      <c r="AY156" s="234">
        <v>2268.8490000000002</v>
      </c>
      <c r="AZ156" s="234">
        <v>378707.5</v>
      </c>
      <c r="BA156" s="234">
        <v>18386.759999999998</v>
      </c>
      <c r="BB156" s="234">
        <v>33781</v>
      </c>
      <c r="BC156" s="234">
        <v>40405</v>
      </c>
      <c r="BD156" s="234">
        <v>10889</v>
      </c>
      <c r="BE156" s="234" t="s">
        <v>1753</v>
      </c>
      <c r="BF156" s="234">
        <v>1.48</v>
      </c>
      <c r="BG156" s="234">
        <v>1</v>
      </c>
      <c r="BH156" s="234">
        <v>288000</v>
      </c>
      <c r="BI156" s="234">
        <v>1</v>
      </c>
      <c r="BJ156" s="234">
        <v>0</v>
      </c>
      <c r="BK156" s="234">
        <v>0</v>
      </c>
      <c r="BL156" s="234">
        <v>0</v>
      </c>
      <c r="BM156" s="234">
        <v>0</v>
      </c>
      <c r="BN156" s="234">
        <f>IF(ECON_OUTPUT!BE156="Other",1,0)</f>
        <v>1</v>
      </c>
    </row>
    <row r="157" spans="1:66" x14ac:dyDescent="0.25">
      <c r="A157" s="234">
        <v>156</v>
      </c>
      <c r="B157" s="234" t="s">
        <v>1761</v>
      </c>
      <c r="C157" s="234" t="s">
        <v>1252</v>
      </c>
      <c r="D157" s="234" t="s">
        <v>1253</v>
      </c>
      <c r="E157" s="235">
        <v>43174</v>
      </c>
      <c r="F157" s="234" t="s">
        <v>34</v>
      </c>
      <c r="G157" s="234">
        <v>1150000</v>
      </c>
      <c r="H157" s="234">
        <v>1253317</v>
      </c>
      <c r="I157" s="234">
        <v>8.9840870000000003E-2</v>
      </c>
      <c r="J157" s="234" t="s">
        <v>464</v>
      </c>
      <c r="K157" s="234">
        <v>6</v>
      </c>
      <c r="L157" s="234" t="s">
        <v>93</v>
      </c>
      <c r="M157" s="234">
        <v>1</v>
      </c>
      <c r="N157" s="234" t="s">
        <v>457</v>
      </c>
      <c r="O157" s="234" t="s">
        <v>1284</v>
      </c>
      <c r="P157" s="234" t="s">
        <v>1754</v>
      </c>
      <c r="Q157" s="234">
        <v>1415318</v>
      </c>
      <c r="R157" s="234">
        <v>271.78250000000003</v>
      </c>
      <c r="S157" s="234">
        <v>282.43389999999999</v>
      </c>
      <c r="T157" s="234">
        <v>379.13209999999998</v>
      </c>
      <c r="U157" s="234">
        <v>1840.1690000000001</v>
      </c>
      <c r="V157" s="234">
        <v>2268.8490000000002</v>
      </c>
      <c r="W157" s="234">
        <v>558.49739999999997</v>
      </c>
      <c r="X157" s="234">
        <v>1202.098</v>
      </c>
      <c r="Y157" s="234">
        <v>1280.9970000000001</v>
      </c>
      <c r="Z157" s="234">
        <v>335.22089999999997</v>
      </c>
      <c r="AA157" s="234">
        <v>1506.175</v>
      </c>
      <c r="AB157" s="234">
        <v>204.17679999999999</v>
      </c>
      <c r="AC157" s="234">
        <v>869.57830000000001</v>
      </c>
      <c r="AD157" s="234">
        <v>358.49259999999998</v>
      </c>
      <c r="AE157" s="234">
        <v>393.4221</v>
      </c>
      <c r="AF157" s="234">
        <v>40362.730000000003</v>
      </c>
      <c r="AG157" s="234">
        <v>9931.3340000000007</v>
      </c>
      <c r="AH157" s="234">
        <v>54576.97</v>
      </c>
      <c r="AI157" s="234">
        <v>30318.54</v>
      </c>
      <c r="AJ157" s="234">
        <v>18048.38</v>
      </c>
      <c r="AK157" s="234">
        <v>33094.83</v>
      </c>
      <c r="AL157" s="234">
        <v>175334.5</v>
      </c>
      <c r="AM157" s="234">
        <v>20502.41</v>
      </c>
      <c r="AN157" s="234">
        <v>16244.14</v>
      </c>
      <c r="AO157" s="234">
        <v>58414.44</v>
      </c>
      <c r="AP157" s="234">
        <v>62343.07</v>
      </c>
      <c r="AQ157" s="234">
        <v>14037.9</v>
      </c>
      <c r="AR157" s="234">
        <v>22386.34</v>
      </c>
      <c r="AS157" s="234">
        <v>294159.40000000002</v>
      </c>
      <c r="AT157" s="234">
        <v>273585.8</v>
      </c>
      <c r="AU157" s="234">
        <v>347790.2</v>
      </c>
      <c r="AV157" s="234">
        <v>81067.320000000007</v>
      </c>
      <c r="AW157" s="234">
        <v>85498.45</v>
      </c>
      <c r="AX157" s="234">
        <v>9210.393</v>
      </c>
      <c r="AY157" s="234">
        <v>2268.8490000000002</v>
      </c>
      <c r="AZ157" s="234">
        <v>378707.5</v>
      </c>
      <c r="BA157" s="234">
        <v>18386.759999999998</v>
      </c>
      <c r="BB157" s="234">
        <v>33781</v>
      </c>
      <c r="BC157" s="234">
        <v>40405</v>
      </c>
      <c r="BD157" s="234">
        <v>10889</v>
      </c>
      <c r="BE157" s="234" t="s">
        <v>34</v>
      </c>
      <c r="BF157" s="234">
        <v>1.2307113043478299</v>
      </c>
      <c r="BG157" s="234">
        <v>1</v>
      </c>
      <c r="BH157" s="234">
        <v>265318</v>
      </c>
      <c r="BI157" s="234">
        <v>1</v>
      </c>
      <c r="BJ157" s="234">
        <v>0</v>
      </c>
      <c r="BK157" s="234">
        <v>0</v>
      </c>
      <c r="BL157" s="234">
        <v>0</v>
      </c>
      <c r="BM157" s="234">
        <v>0</v>
      </c>
      <c r="BN157" s="234">
        <f>IF(ECON_OUTPUT!BE157="Other",1,0)</f>
        <v>0</v>
      </c>
    </row>
    <row r="158" spans="1:66" x14ac:dyDescent="0.25">
      <c r="A158" s="234">
        <v>157</v>
      </c>
      <c r="B158" s="234" t="s">
        <v>1761</v>
      </c>
      <c r="C158" s="234" t="s">
        <v>1263</v>
      </c>
      <c r="D158" s="234" t="s">
        <v>1264</v>
      </c>
      <c r="E158" s="235">
        <v>43179</v>
      </c>
      <c r="F158" s="234" t="s">
        <v>34</v>
      </c>
      <c r="G158" s="234">
        <v>1440000</v>
      </c>
      <c r="H158" s="234">
        <v>1928000</v>
      </c>
      <c r="I158" s="234">
        <v>0.33888888900000003</v>
      </c>
      <c r="J158" s="234" t="s">
        <v>465</v>
      </c>
      <c r="K158" s="234">
        <v>7</v>
      </c>
      <c r="L158" s="234" t="s">
        <v>93</v>
      </c>
      <c r="M158" s="234">
        <v>1</v>
      </c>
      <c r="N158" s="234" t="s">
        <v>458</v>
      </c>
      <c r="O158" s="234" t="s">
        <v>1282</v>
      </c>
      <c r="P158" s="234" t="s">
        <v>1750</v>
      </c>
      <c r="Q158" s="234">
        <v>2160125</v>
      </c>
      <c r="R158" s="234">
        <v>271.78250000000003</v>
      </c>
      <c r="S158" s="234">
        <v>282.43389999999999</v>
      </c>
      <c r="T158" s="234">
        <v>379.13209999999998</v>
      </c>
      <c r="U158" s="234">
        <v>1840.1690000000001</v>
      </c>
      <c r="V158" s="234">
        <v>2268.8490000000002</v>
      </c>
      <c r="W158" s="234">
        <v>558.49739999999997</v>
      </c>
      <c r="X158" s="234">
        <v>1202.098</v>
      </c>
      <c r="Y158" s="234">
        <v>1280.9970000000001</v>
      </c>
      <c r="Z158" s="234">
        <v>335.22089999999997</v>
      </c>
      <c r="AA158" s="234">
        <v>1506.175</v>
      </c>
      <c r="AB158" s="234">
        <v>204.17679999999999</v>
      </c>
      <c r="AC158" s="234">
        <v>869.57830000000001</v>
      </c>
      <c r="AD158" s="234">
        <v>358.49259999999998</v>
      </c>
      <c r="AE158" s="234">
        <v>393.4221</v>
      </c>
      <c r="AF158" s="234">
        <v>40362.730000000003</v>
      </c>
      <c r="AG158" s="234">
        <v>9931.3340000000007</v>
      </c>
      <c r="AH158" s="234">
        <v>54576.97</v>
      </c>
      <c r="AI158" s="234">
        <v>30318.54</v>
      </c>
      <c r="AJ158" s="234">
        <v>18048.38</v>
      </c>
      <c r="AK158" s="234">
        <v>33094.83</v>
      </c>
      <c r="AL158" s="234">
        <v>175334.5</v>
      </c>
      <c r="AM158" s="234">
        <v>20502.41</v>
      </c>
      <c r="AN158" s="234">
        <v>16244.14</v>
      </c>
      <c r="AO158" s="234">
        <v>58414.44</v>
      </c>
      <c r="AP158" s="234">
        <v>62343.07</v>
      </c>
      <c r="AQ158" s="234">
        <v>14037.9</v>
      </c>
      <c r="AR158" s="234">
        <v>22386.34</v>
      </c>
      <c r="AS158" s="234">
        <v>294159.40000000002</v>
      </c>
      <c r="AT158" s="234">
        <v>273585.8</v>
      </c>
      <c r="AU158" s="234">
        <v>347790.2</v>
      </c>
      <c r="AV158" s="234">
        <v>81067.320000000007</v>
      </c>
      <c r="AW158" s="234">
        <v>85498.45</v>
      </c>
      <c r="AX158" s="234">
        <v>9210.393</v>
      </c>
      <c r="AY158" s="234">
        <v>2268.8490000000002</v>
      </c>
      <c r="AZ158" s="234">
        <v>378707.5</v>
      </c>
      <c r="BA158" s="234">
        <v>18386.759999999998</v>
      </c>
      <c r="BB158" s="234">
        <v>33781</v>
      </c>
      <c r="BC158" s="234">
        <v>40405</v>
      </c>
      <c r="BD158" s="234">
        <v>10889</v>
      </c>
      <c r="BE158" s="234" t="s">
        <v>34</v>
      </c>
      <c r="BF158" s="234">
        <v>1.5000868055555601</v>
      </c>
      <c r="BG158" s="234">
        <v>2</v>
      </c>
      <c r="BH158" s="234">
        <v>720125</v>
      </c>
      <c r="BI158" s="234">
        <v>0</v>
      </c>
      <c r="BJ158" s="234">
        <v>1</v>
      </c>
      <c r="BK158" s="234">
        <v>0</v>
      </c>
      <c r="BL158" s="234">
        <v>0</v>
      </c>
      <c r="BM158" s="234">
        <v>0</v>
      </c>
      <c r="BN158" s="234">
        <f>IF(ECON_OUTPUT!BE158="Other",1,0)</f>
        <v>0</v>
      </c>
    </row>
    <row r="159" spans="1:66" x14ac:dyDescent="0.25">
      <c r="A159" s="234">
        <v>158</v>
      </c>
      <c r="B159" s="234" t="s">
        <v>1761</v>
      </c>
      <c r="C159" s="234" t="s">
        <v>1258</v>
      </c>
      <c r="D159" s="234" t="s">
        <v>1259</v>
      </c>
      <c r="E159" s="235">
        <v>43179</v>
      </c>
      <c r="F159" s="234" t="s">
        <v>34</v>
      </c>
      <c r="G159" s="234">
        <v>27125000</v>
      </c>
      <c r="H159" s="234">
        <v>22964560</v>
      </c>
      <c r="I159" s="234">
        <v>-0.15338027600000001</v>
      </c>
      <c r="J159" s="234" t="s">
        <v>464</v>
      </c>
      <c r="K159" s="234">
        <v>10</v>
      </c>
      <c r="L159" s="234" t="s">
        <v>226</v>
      </c>
      <c r="M159" s="234">
        <v>1</v>
      </c>
      <c r="N159" s="234" t="s">
        <v>457</v>
      </c>
      <c r="O159" s="234" t="s">
        <v>1282</v>
      </c>
      <c r="P159" s="234" t="s">
        <v>1750</v>
      </c>
      <c r="Q159" s="234">
        <v>25742285</v>
      </c>
      <c r="R159" s="234">
        <v>271.78250000000003</v>
      </c>
      <c r="S159" s="234">
        <v>282.43389999999999</v>
      </c>
      <c r="T159" s="234">
        <v>379.13209999999998</v>
      </c>
      <c r="U159" s="234">
        <v>1840.1690000000001</v>
      </c>
      <c r="V159" s="234">
        <v>2268.8490000000002</v>
      </c>
      <c r="W159" s="234">
        <v>558.49739999999997</v>
      </c>
      <c r="X159" s="234">
        <v>1202.098</v>
      </c>
      <c r="Y159" s="234">
        <v>1280.9970000000001</v>
      </c>
      <c r="Z159" s="234">
        <v>335.22089999999997</v>
      </c>
      <c r="AA159" s="234">
        <v>1506.175</v>
      </c>
      <c r="AB159" s="234">
        <v>204.17679999999999</v>
      </c>
      <c r="AC159" s="234">
        <v>869.57830000000001</v>
      </c>
      <c r="AD159" s="234">
        <v>358.49259999999998</v>
      </c>
      <c r="AE159" s="234">
        <v>393.4221</v>
      </c>
      <c r="AF159" s="234">
        <v>40362.730000000003</v>
      </c>
      <c r="AG159" s="234">
        <v>9931.3340000000007</v>
      </c>
      <c r="AH159" s="234">
        <v>54576.97</v>
      </c>
      <c r="AI159" s="234">
        <v>30318.54</v>
      </c>
      <c r="AJ159" s="234">
        <v>18048.38</v>
      </c>
      <c r="AK159" s="234">
        <v>33094.83</v>
      </c>
      <c r="AL159" s="234">
        <v>175334.5</v>
      </c>
      <c r="AM159" s="234">
        <v>20502.41</v>
      </c>
      <c r="AN159" s="234">
        <v>16244.14</v>
      </c>
      <c r="AO159" s="234">
        <v>58414.44</v>
      </c>
      <c r="AP159" s="234">
        <v>62343.07</v>
      </c>
      <c r="AQ159" s="234">
        <v>14037.9</v>
      </c>
      <c r="AR159" s="234">
        <v>22386.34</v>
      </c>
      <c r="AS159" s="234">
        <v>294159.40000000002</v>
      </c>
      <c r="AT159" s="234">
        <v>273585.8</v>
      </c>
      <c r="AU159" s="234">
        <v>347790.2</v>
      </c>
      <c r="AV159" s="234">
        <v>81067.320000000007</v>
      </c>
      <c r="AW159" s="234">
        <v>85498.45</v>
      </c>
      <c r="AX159" s="234">
        <v>9210.393</v>
      </c>
      <c r="AY159" s="234">
        <v>2268.8490000000002</v>
      </c>
      <c r="AZ159" s="234">
        <v>378707.5</v>
      </c>
      <c r="BA159" s="234">
        <v>18386.759999999998</v>
      </c>
      <c r="BB159" s="234">
        <v>33781</v>
      </c>
      <c r="BC159" s="234">
        <v>40405</v>
      </c>
      <c r="BD159" s="234">
        <v>10889</v>
      </c>
      <c r="BE159" s="234" t="s">
        <v>34</v>
      </c>
      <c r="BF159" s="234">
        <v>0.949024331797235</v>
      </c>
      <c r="BG159" s="234">
        <v>5</v>
      </c>
      <c r="BH159" s="234">
        <v>-1382715</v>
      </c>
      <c r="BI159" s="234">
        <v>0</v>
      </c>
      <c r="BJ159" s="234">
        <v>0</v>
      </c>
      <c r="BK159" s="234">
        <v>0</v>
      </c>
      <c r="BL159" s="234">
        <v>0</v>
      </c>
      <c r="BM159" s="234">
        <v>1</v>
      </c>
      <c r="BN159" s="234">
        <f>IF(ECON_OUTPUT!BE159="Other",1,0)</f>
        <v>0</v>
      </c>
    </row>
    <row r="160" spans="1:66" x14ac:dyDescent="0.25">
      <c r="A160" s="234">
        <v>159</v>
      </c>
      <c r="B160" s="234" t="s">
        <v>1760</v>
      </c>
      <c r="C160" s="234" t="s">
        <v>1271</v>
      </c>
      <c r="D160" s="234" t="s">
        <v>1272</v>
      </c>
      <c r="E160" s="235">
        <v>43193</v>
      </c>
      <c r="F160" s="234" t="s">
        <v>34</v>
      </c>
      <c r="G160" s="234">
        <v>9140000</v>
      </c>
      <c r="H160" s="234">
        <v>4659626</v>
      </c>
      <c r="I160" s="234">
        <v>-0.49019409200000003</v>
      </c>
      <c r="J160" s="234" t="s">
        <v>464</v>
      </c>
      <c r="K160" s="234">
        <v>5</v>
      </c>
      <c r="L160" s="234" t="s">
        <v>93</v>
      </c>
      <c r="M160" s="234">
        <v>2</v>
      </c>
      <c r="N160" s="234" t="s">
        <v>492</v>
      </c>
      <c r="O160" s="234" t="s">
        <v>1282</v>
      </c>
      <c r="P160" s="234" t="s">
        <v>1755</v>
      </c>
      <c r="Q160" s="234">
        <v>9983390</v>
      </c>
      <c r="R160" s="234">
        <v>273.2088</v>
      </c>
      <c r="S160" s="234">
        <v>285.90699999999998</v>
      </c>
      <c r="T160" s="234">
        <v>379.84300000000002</v>
      </c>
      <c r="U160" s="234">
        <v>1857.6849999999999</v>
      </c>
      <c r="V160" s="234">
        <v>2286.1350000000002</v>
      </c>
      <c r="W160" s="234">
        <v>561.60320000000002</v>
      </c>
      <c r="X160" s="234">
        <v>1206.557</v>
      </c>
      <c r="Y160" s="234">
        <v>1287.1489999999999</v>
      </c>
      <c r="Z160" s="234">
        <v>335.04599999999999</v>
      </c>
      <c r="AA160" s="234">
        <v>1519.2819999999999</v>
      </c>
      <c r="AB160" s="234">
        <v>205.2501</v>
      </c>
      <c r="AC160" s="234">
        <v>867.59389999999996</v>
      </c>
      <c r="AD160" s="234">
        <v>360.3109</v>
      </c>
      <c r="AE160" s="234">
        <v>391.34030000000001</v>
      </c>
      <c r="AF160" s="234">
        <v>41571.86</v>
      </c>
      <c r="AG160" s="234">
        <v>9902.8220000000001</v>
      </c>
      <c r="AH160" s="234">
        <v>54223.040000000001</v>
      </c>
      <c r="AI160" s="234">
        <v>30304.79</v>
      </c>
      <c r="AJ160" s="234">
        <v>17898.32</v>
      </c>
      <c r="AK160" s="234">
        <v>33494.07</v>
      </c>
      <c r="AL160" s="234">
        <v>176495.7</v>
      </c>
      <c r="AM160" s="234">
        <v>21063.61</v>
      </c>
      <c r="AN160" s="234">
        <v>16142.54</v>
      </c>
      <c r="AO160" s="234">
        <v>59211.39</v>
      </c>
      <c r="AP160" s="234">
        <v>63061.22</v>
      </c>
      <c r="AQ160" s="234">
        <v>14222.85</v>
      </c>
      <c r="AR160" s="234">
        <v>22482.5</v>
      </c>
      <c r="AS160" s="234">
        <v>297070.7</v>
      </c>
      <c r="AT160" s="234">
        <v>274940.7</v>
      </c>
      <c r="AU160" s="234">
        <v>350910.7</v>
      </c>
      <c r="AV160" s="234">
        <v>82422.820000000007</v>
      </c>
      <c r="AW160" s="234">
        <v>86769.1</v>
      </c>
      <c r="AX160" s="234">
        <v>9257.5669999999991</v>
      </c>
      <c r="AY160" s="234">
        <v>2286.1350000000002</v>
      </c>
      <c r="AZ160" s="234">
        <v>381782.7</v>
      </c>
      <c r="BA160" s="234">
        <v>18384.82</v>
      </c>
      <c r="BB160" s="234">
        <v>37246</v>
      </c>
      <c r="BC160" s="234">
        <v>33781</v>
      </c>
      <c r="BD160" s="234">
        <v>11013</v>
      </c>
      <c r="BE160" s="234" t="s">
        <v>34</v>
      </c>
      <c r="BF160" s="234">
        <v>1.0922746170678299</v>
      </c>
      <c r="BG160" s="234">
        <v>4</v>
      </c>
      <c r="BH160" s="234">
        <v>843390</v>
      </c>
      <c r="BI160" s="234">
        <v>0</v>
      </c>
      <c r="BJ160" s="234">
        <v>0</v>
      </c>
      <c r="BK160" s="234">
        <v>0</v>
      </c>
      <c r="BL160" s="234">
        <v>1</v>
      </c>
      <c r="BM160" s="234">
        <v>0</v>
      </c>
      <c r="BN160" s="234">
        <f>IF(ECON_OUTPUT!BE160="Other",1,0)</f>
        <v>0</v>
      </c>
    </row>
    <row r="161" spans="1:66" x14ac:dyDescent="0.25">
      <c r="A161" s="234">
        <v>160</v>
      </c>
      <c r="B161" s="234" t="s">
        <v>1760</v>
      </c>
      <c r="C161" s="234" t="s">
        <v>1268</v>
      </c>
      <c r="D161" s="234" t="s">
        <v>1269</v>
      </c>
      <c r="E161" s="235">
        <v>43193</v>
      </c>
      <c r="F161" s="234" t="s">
        <v>34</v>
      </c>
      <c r="G161" s="234">
        <v>3441000</v>
      </c>
      <c r="H161" s="234">
        <v>2993080</v>
      </c>
      <c r="I161" s="234">
        <v>-0.13017146199999999</v>
      </c>
      <c r="J161" s="234" t="s">
        <v>464</v>
      </c>
      <c r="K161" s="234">
        <v>3</v>
      </c>
      <c r="L161" s="234" t="s">
        <v>25</v>
      </c>
      <c r="M161" s="234">
        <v>2</v>
      </c>
      <c r="N161" s="234" t="s">
        <v>458</v>
      </c>
      <c r="O161" s="234" t="s">
        <v>1283</v>
      </c>
      <c r="P161" s="234" t="s">
        <v>1755</v>
      </c>
      <c r="Q161" s="234">
        <v>3769000</v>
      </c>
      <c r="R161" s="234">
        <v>273.2088</v>
      </c>
      <c r="S161" s="234">
        <v>285.90699999999998</v>
      </c>
      <c r="T161" s="234">
        <v>379.84300000000002</v>
      </c>
      <c r="U161" s="234">
        <v>1857.6849999999999</v>
      </c>
      <c r="V161" s="234">
        <v>2286.1350000000002</v>
      </c>
      <c r="W161" s="234">
        <v>561.60320000000002</v>
      </c>
      <c r="X161" s="234">
        <v>1206.557</v>
      </c>
      <c r="Y161" s="234">
        <v>1287.1489999999999</v>
      </c>
      <c r="Z161" s="234">
        <v>335.04599999999999</v>
      </c>
      <c r="AA161" s="234">
        <v>1519.2819999999999</v>
      </c>
      <c r="AB161" s="234">
        <v>205.2501</v>
      </c>
      <c r="AC161" s="234">
        <v>867.59389999999996</v>
      </c>
      <c r="AD161" s="234">
        <v>360.3109</v>
      </c>
      <c r="AE161" s="234">
        <v>391.34030000000001</v>
      </c>
      <c r="AF161" s="234">
        <v>41571.86</v>
      </c>
      <c r="AG161" s="234">
        <v>9902.8220000000001</v>
      </c>
      <c r="AH161" s="234">
        <v>54223.040000000001</v>
      </c>
      <c r="AI161" s="234">
        <v>30304.79</v>
      </c>
      <c r="AJ161" s="234">
        <v>17898.32</v>
      </c>
      <c r="AK161" s="234">
        <v>33494.07</v>
      </c>
      <c r="AL161" s="234">
        <v>176495.7</v>
      </c>
      <c r="AM161" s="234">
        <v>21063.61</v>
      </c>
      <c r="AN161" s="234">
        <v>16142.54</v>
      </c>
      <c r="AO161" s="234">
        <v>59211.39</v>
      </c>
      <c r="AP161" s="234">
        <v>63061.22</v>
      </c>
      <c r="AQ161" s="234">
        <v>14222.85</v>
      </c>
      <c r="AR161" s="234">
        <v>22482.5</v>
      </c>
      <c r="AS161" s="234">
        <v>297070.7</v>
      </c>
      <c r="AT161" s="234">
        <v>274940.7</v>
      </c>
      <c r="AU161" s="234">
        <v>350910.7</v>
      </c>
      <c r="AV161" s="234">
        <v>82422.820000000007</v>
      </c>
      <c r="AW161" s="234">
        <v>86769.1</v>
      </c>
      <c r="AX161" s="234">
        <v>9257.5669999999991</v>
      </c>
      <c r="AY161" s="234">
        <v>2286.1350000000002</v>
      </c>
      <c r="AZ161" s="234">
        <v>381782.7</v>
      </c>
      <c r="BA161" s="234">
        <v>18384.82</v>
      </c>
      <c r="BB161" s="234">
        <v>37246</v>
      </c>
      <c r="BC161" s="234">
        <v>33781</v>
      </c>
      <c r="BD161" s="234">
        <v>11013</v>
      </c>
      <c r="BE161" s="234" t="s">
        <v>34</v>
      </c>
      <c r="BF161" s="234">
        <v>1.0953211275791901</v>
      </c>
      <c r="BG161" s="234">
        <v>3</v>
      </c>
      <c r="BH161" s="234">
        <v>328000</v>
      </c>
      <c r="BI161" s="234">
        <v>0</v>
      </c>
      <c r="BJ161" s="234">
        <v>0</v>
      </c>
      <c r="BK161" s="234">
        <v>1</v>
      </c>
      <c r="BL161" s="234">
        <v>0</v>
      </c>
      <c r="BM161" s="234">
        <v>0</v>
      </c>
      <c r="BN161" s="234">
        <f>IF(ECON_OUTPUT!BE161="Other",1,0)</f>
        <v>0</v>
      </c>
    </row>
    <row r="162" spans="1:66" x14ac:dyDescent="0.25">
      <c r="A162" s="234">
        <v>161</v>
      </c>
      <c r="B162" s="234" t="s">
        <v>1760</v>
      </c>
      <c r="C162" s="234" t="s">
        <v>1273</v>
      </c>
      <c r="D162" s="234" t="s">
        <v>1274</v>
      </c>
      <c r="E162" s="235">
        <v>43195</v>
      </c>
      <c r="F162" s="234" t="s">
        <v>34</v>
      </c>
      <c r="G162" s="234">
        <v>1520000</v>
      </c>
      <c r="H162" s="234">
        <v>856934</v>
      </c>
      <c r="I162" s="234">
        <v>-0.43622763199999998</v>
      </c>
      <c r="J162" s="234" t="s">
        <v>464</v>
      </c>
      <c r="K162" s="234">
        <v>4</v>
      </c>
      <c r="L162" s="234" t="s">
        <v>25</v>
      </c>
      <c r="M162" s="234">
        <v>2</v>
      </c>
      <c r="N162" s="234" t="s">
        <v>459</v>
      </c>
      <c r="O162" s="234" t="s">
        <v>1281</v>
      </c>
      <c r="P162" s="234" t="s">
        <v>1754</v>
      </c>
      <c r="Q162" s="234">
        <v>1593000</v>
      </c>
      <c r="R162" s="234">
        <v>273.2088</v>
      </c>
      <c r="S162" s="234">
        <v>285.90699999999998</v>
      </c>
      <c r="T162" s="234">
        <v>379.84300000000002</v>
      </c>
      <c r="U162" s="234">
        <v>1857.6849999999999</v>
      </c>
      <c r="V162" s="234">
        <v>2286.1350000000002</v>
      </c>
      <c r="W162" s="234">
        <v>561.60320000000002</v>
      </c>
      <c r="X162" s="234">
        <v>1206.557</v>
      </c>
      <c r="Y162" s="234">
        <v>1287.1489999999999</v>
      </c>
      <c r="Z162" s="234">
        <v>335.04599999999999</v>
      </c>
      <c r="AA162" s="234">
        <v>1519.2819999999999</v>
      </c>
      <c r="AB162" s="234">
        <v>205.2501</v>
      </c>
      <c r="AC162" s="234">
        <v>867.59389999999996</v>
      </c>
      <c r="AD162" s="234">
        <v>360.3109</v>
      </c>
      <c r="AE162" s="234">
        <v>391.34030000000001</v>
      </c>
      <c r="AF162" s="234">
        <v>41571.86</v>
      </c>
      <c r="AG162" s="234">
        <v>9902.8220000000001</v>
      </c>
      <c r="AH162" s="234">
        <v>54223.040000000001</v>
      </c>
      <c r="AI162" s="234">
        <v>30304.79</v>
      </c>
      <c r="AJ162" s="234">
        <v>17898.32</v>
      </c>
      <c r="AK162" s="234">
        <v>33494.07</v>
      </c>
      <c r="AL162" s="234">
        <v>176495.7</v>
      </c>
      <c r="AM162" s="234">
        <v>21063.61</v>
      </c>
      <c r="AN162" s="234">
        <v>16142.54</v>
      </c>
      <c r="AO162" s="234">
        <v>59211.39</v>
      </c>
      <c r="AP162" s="234">
        <v>63061.22</v>
      </c>
      <c r="AQ162" s="234">
        <v>14222.85</v>
      </c>
      <c r="AR162" s="234">
        <v>22482.5</v>
      </c>
      <c r="AS162" s="234">
        <v>297070.7</v>
      </c>
      <c r="AT162" s="234">
        <v>274940.7</v>
      </c>
      <c r="AU162" s="234">
        <v>350910.7</v>
      </c>
      <c r="AV162" s="234">
        <v>82422.820000000007</v>
      </c>
      <c r="AW162" s="234">
        <v>86769.1</v>
      </c>
      <c r="AX162" s="234">
        <v>9257.5669999999991</v>
      </c>
      <c r="AY162" s="234">
        <v>2286.1350000000002</v>
      </c>
      <c r="AZ162" s="234">
        <v>381782.7</v>
      </c>
      <c r="BA162" s="234">
        <v>18384.82</v>
      </c>
      <c r="BB162" s="234">
        <v>37246</v>
      </c>
      <c r="BC162" s="234">
        <v>33781</v>
      </c>
      <c r="BD162" s="234">
        <v>11013</v>
      </c>
      <c r="BE162" s="234" t="s">
        <v>34</v>
      </c>
      <c r="BF162" s="234">
        <v>1.04802631578947</v>
      </c>
      <c r="BG162" s="234">
        <v>2</v>
      </c>
      <c r="BH162" s="234">
        <v>73000</v>
      </c>
      <c r="BI162" s="234">
        <v>0</v>
      </c>
      <c r="BJ162" s="234">
        <v>1</v>
      </c>
      <c r="BK162" s="234">
        <v>0</v>
      </c>
      <c r="BL162" s="234">
        <v>0</v>
      </c>
      <c r="BM162" s="234">
        <v>0</v>
      </c>
      <c r="BN162" s="234">
        <f>IF(ECON_OUTPUT!BE162="Other",1,0)</f>
        <v>0</v>
      </c>
    </row>
    <row r="163" spans="1:66" x14ac:dyDescent="0.25">
      <c r="A163" s="234">
        <v>162</v>
      </c>
      <c r="B163" s="234" t="s">
        <v>1760</v>
      </c>
      <c r="C163" s="234" t="s">
        <v>1294</v>
      </c>
      <c r="D163" s="234" t="s">
        <v>1295</v>
      </c>
      <c r="E163" s="235">
        <v>43221</v>
      </c>
      <c r="F163" s="234" t="s">
        <v>1341</v>
      </c>
      <c r="G163" s="234">
        <v>960000</v>
      </c>
      <c r="H163" s="234">
        <v>413834</v>
      </c>
      <c r="I163" s="234">
        <v>-0.56892291699999997</v>
      </c>
      <c r="J163" s="234" t="s">
        <v>465</v>
      </c>
      <c r="K163" s="234">
        <v>5</v>
      </c>
      <c r="L163" s="234" t="s">
        <v>93</v>
      </c>
      <c r="M163" s="234">
        <v>2</v>
      </c>
      <c r="N163" s="234" t="s">
        <v>457</v>
      </c>
      <c r="O163" s="234" t="s">
        <v>1751</v>
      </c>
      <c r="P163" s="234" t="s">
        <v>1750</v>
      </c>
      <c r="Q163" s="234">
        <v>615185</v>
      </c>
      <c r="R163" s="234">
        <v>273.2088</v>
      </c>
      <c r="S163" s="234">
        <v>285.90699999999998</v>
      </c>
      <c r="T163" s="234">
        <v>379.84300000000002</v>
      </c>
      <c r="U163" s="234">
        <v>1857.6849999999999</v>
      </c>
      <c r="V163" s="234">
        <v>2286.1350000000002</v>
      </c>
      <c r="W163" s="234">
        <v>561.60320000000002</v>
      </c>
      <c r="X163" s="234">
        <v>1206.557</v>
      </c>
      <c r="Y163" s="234">
        <v>1287.1489999999999</v>
      </c>
      <c r="Z163" s="234">
        <v>335.04599999999999</v>
      </c>
      <c r="AA163" s="234">
        <v>1519.2819999999999</v>
      </c>
      <c r="AB163" s="234">
        <v>205.2501</v>
      </c>
      <c r="AC163" s="234">
        <v>867.59389999999996</v>
      </c>
      <c r="AD163" s="234">
        <v>360.3109</v>
      </c>
      <c r="AE163" s="234">
        <v>391.34030000000001</v>
      </c>
      <c r="AF163" s="234">
        <v>41571.86</v>
      </c>
      <c r="AG163" s="234">
        <v>9902.8220000000001</v>
      </c>
      <c r="AH163" s="234">
        <v>54223.040000000001</v>
      </c>
      <c r="AI163" s="234">
        <v>30304.79</v>
      </c>
      <c r="AJ163" s="234">
        <v>17898.32</v>
      </c>
      <c r="AK163" s="234">
        <v>33494.07</v>
      </c>
      <c r="AL163" s="234">
        <v>176495.7</v>
      </c>
      <c r="AM163" s="234">
        <v>21063.61</v>
      </c>
      <c r="AN163" s="234">
        <v>16142.54</v>
      </c>
      <c r="AO163" s="234">
        <v>59211.39</v>
      </c>
      <c r="AP163" s="234">
        <v>63061.22</v>
      </c>
      <c r="AQ163" s="234">
        <v>14222.85</v>
      </c>
      <c r="AR163" s="234">
        <v>22482.5</v>
      </c>
      <c r="AS163" s="234">
        <v>297070.7</v>
      </c>
      <c r="AT163" s="234">
        <v>274940.7</v>
      </c>
      <c r="AU163" s="234">
        <v>350910.7</v>
      </c>
      <c r="AV163" s="234">
        <v>82422.820000000007</v>
      </c>
      <c r="AW163" s="234">
        <v>86769.1</v>
      </c>
      <c r="AX163" s="234">
        <v>9257.5669999999991</v>
      </c>
      <c r="AY163" s="234">
        <v>2286.1350000000002</v>
      </c>
      <c r="AZ163" s="234">
        <v>381782.7</v>
      </c>
      <c r="BA163" s="234">
        <v>18384.82</v>
      </c>
      <c r="BB163" s="234">
        <v>37246</v>
      </c>
      <c r="BC163" s="234">
        <v>33781</v>
      </c>
      <c r="BD163" s="234">
        <v>11013</v>
      </c>
      <c r="BE163" s="234" t="s">
        <v>1753</v>
      </c>
      <c r="BF163" s="234">
        <v>0.64081770833333296</v>
      </c>
      <c r="BG163" s="234">
        <v>1</v>
      </c>
      <c r="BH163" s="234">
        <v>-344815</v>
      </c>
      <c r="BI163" s="234">
        <v>1</v>
      </c>
      <c r="BJ163" s="234">
        <v>0</v>
      </c>
      <c r="BK163" s="234">
        <v>0</v>
      </c>
      <c r="BL163" s="234">
        <v>0</v>
      </c>
      <c r="BM163" s="234">
        <v>0</v>
      </c>
      <c r="BN163" s="234">
        <f>IF(ECON_OUTPUT!BE163="Other",1,0)</f>
        <v>1</v>
      </c>
    </row>
    <row r="164" spans="1:66" x14ac:dyDescent="0.25">
      <c r="A164" s="234">
        <v>163</v>
      </c>
      <c r="B164" s="234" t="s">
        <v>1760</v>
      </c>
      <c r="C164" s="234" t="s">
        <v>1303</v>
      </c>
      <c r="D164" s="234" t="s">
        <v>1304</v>
      </c>
      <c r="E164" s="235">
        <v>43230</v>
      </c>
      <c r="F164" s="234" t="s">
        <v>34</v>
      </c>
      <c r="G164" s="234">
        <v>4390000</v>
      </c>
      <c r="H164" s="234">
        <v>4220000</v>
      </c>
      <c r="I164" s="234">
        <v>-3.8724373999999999E-2</v>
      </c>
      <c r="J164" s="234" t="s">
        <v>464</v>
      </c>
      <c r="K164" s="234">
        <v>4</v>
      </c>
      <c r="L164" s="234" t="s">
        <v>93</v>
      </c>
      <c r="M164" s="234">
        <v>2</v>
      </c>
      <c r="N164" s="234" t="s">
        <v>492</v>
      </c>
      <c r="O164" s="234" t="s">
        <v>1751</v>
      </c>
      <c r="P164" s="234" t="s">
        <v>1750</v>
      </c>
      <c r="Q164" s="234">
        <v>5305000</v>
      </c>
      <c r="R164" s="234">
        <v>273.2088</v>
      </c>
      <c r="S164" s="234">
        <v>285.90699999999998</v>
      </c>
      <c r="T164" s="234">
        <v>379.84300000000002</v>
      </c>
      <c r="U164" s="234">
        <v>1857.6849999999999</v>
      </c>
      <c r="V164" s="234">
        <v>2286.1350000000002</v>
      </c>
      <c r="W164" s="234">
        <v>561.60320000000002</v>
      </c>
      <c r="X164" s="234">
        <v>1206.557</v>
      </c>
      <c r="Y164" s="234">
        <v>1287.1489999999999</v>
      </c>
      <c r="Z164" s="234">
        <v>335.04599999999999</v>
      </c>
      <c r="AA164" s="234">
        <v>1519.2819999999999</v>
      </c>
      <c r="AB164" s="234">
        <v>205.2501</v>
      </c>
      <c r="AC164" s="234">
        <v>867.59389999999996</v>
      </c>
      <c r="AD164" s="234">
        <v>360.3109</v>
      </c>
      <c r="AE164" s="234">
        <v>391.34030000000001</v>
      </c>
      <c r="AF164" s="234">
        <v>41571.86</v>
      </c>
      <c r="AG164" s="234">
        <v>9902.8220000000001</v>
      </c>
      <c r="AH164" s="234">
        <v>54223.040000000001</v>
      </c>
      <c r="AI164" s="234">
        <v>30304.79</v>
      </c>
      <c r="AJ164" s="234">
        <v>17898.32</v>
      </c>
      <c r="AK164" s="234">
        <v>33494.07</v>
      </c>
      <c r="AL164" s="234">
        <v>176495.7</v>
      </c>
      <c r="AM164" s="234">
        <v>21063.61</v>
      </c>
      <c r="AN164" s="234">
        <v>16142.54</v>
      </c>
      <c r="AO164" s="234">
        <v>59211.39</v>
      </c>
      <c r="AP164" s="234">
        <v>63061.22</v>
      </c>
      <c r="AQ164" s="234">
        <v>14222.85</v>
      </c>
      <c r="AR164" s="234">
        <v>22482.5</v>
      </c>
      <c r="AS164" s="234">
        <v>297070.7</v>
      </c>
      <c r="AT164" s="234">
        <v>274940.7</v>
      </c>
      <c r="AU164" s="234">
        <v>350910.7</v>
      </c>
      <c r="AV164" s="234">
        <v>82422.820000000007</v>
      </c>
      <c r="AW164" s="234">
        <v>86769.1</v>
      </c>
      <c r="AX164" s="234">
        <v>9257.5669999999991</v>
      </c>
      <c r="AY164" s="234">
        <v>2286.1350000000002</v>
      </c>
      <c r="AZ164" s="234">
        <v>381782.7</v>
      </c>
      <c r="BA164" s="234">
        <v>18384.82</v>
      </c>
      <c r="BB164" s="234">
        <v>37246</v>
      </c>
      <c r="BC164" s="234">
        <v>33781</v>
      </c>
      <c r="BD164" s="234">
        <v>11013</v>
      </c>
      <c r="BE164" s="234" t="s">
        <v>34</v>
      </c>
      <c r="BF164" s="234">
        <v>1.2084282460136699</v>
      </c>
      <c r="BG164" s="234">
        <v>4</v>
      </c>
      <c r="BH164" s="234">
        <v>915000</v>
      </c>
      <c r="BI164" s="234">
        <v>0</v>
      </c>
      <c r="BJ164" s="234">
        <v>0</v>
      </c>
      <c r="BK164" s="234">
        <v>0</v>
      </c>
      <c r="BL164" s="234">
        <v>1</v>
      </c>
      <c r="BM164" s="234">
        <v>0</v>
      </c>
      <c r="BN164" s="234">
        <f>IF(ECON_OUTPUT!BE164="Other",1,0)</f>
        <v>0</v>
      </c>
    </row>
    <row r="165" spans="1:66" x14ac:dyDescent="0.25">
      <c r="A165" s="234">
        <v>164</v>
      </c>
      <c r="B165" s="234" t="s">
        <v>1760</v>
      </c>
      <c r="C165" s="234" t="s">
        <v>1305</v>
      </c>
      <c r="D165" s="234" t="s">
        <v>1310</v>
      </c>
      <c r="E165" s="235">
        <v>43250</v>
      </c>
      <c r="F165" s="234" t="s">
        <v>34</v>
      </c>
      <c r="G165" s="234">
        <v>153277500</v>
      </c>
      <c r="H165" s="234">
        <v>118434757</v>
      </c>
      <c r="I165" s="234">
        <v>-0.22731805399999999</v>
      </c>
      <c r="J165" s="234" t="s">
        <v>465</v>
      </c>
      <c r="K165" s="234">
        <v>13</v>
      </c>
      <c r="L165" s="234" t="s">
        <v>25</v>
      </c>
      <c r="M165" s="234">
        <v>2</v>
      </c>
      <c r="N165" s="234" t="s">
        <v>458</v>
      </c>
      <c r="O165" s="234" t="s">
        <v>1751</v>
      </c>
      <c r="P165" s="234" t="s">
        <v>1750</v>
      </c>
      <c r="Q165" s="234">
        <v>123456789</v>
      </c>
      <c r="R165" s="234">
        <v>273.2088</v>
      </c>
      <c r="S165" s="234">
        <v>285.90699999999998</v>
      </c>
      <c r="T165" s="234">
        <v>379.84300000000002</v>
      </c>
      <c r="U165" s="234">
        <v>1857.6849999999999</v>
      </c>
      <c r="V165" s="234">
        <v>2286.1350000000002</v>
      </c>
      <c r="W165" s="234">
        <v>561.60320000000002</v>
      </c>
      <c r="X165" s="234">
        <v>1206.557</v>
      </c>
      <c r="Y165" s="234">
        <v>1287.1489999999999</v>
      </c>
      <c r="Z165" s="234">
        <v>335.04599999999999</v>
      </c>
      <c r="AA165" s="234">
        <v>1519.2819999999999</v>
      </c>
      <c r="AB165" s="234">
        <v>205.2501</v>
      </c>
      <c r="AC165" s="234">
        <v>867.59389999999996</v>
      </c>
      <c r="AD165" s="234">
        <v>360.3109</v>
      </c>
      <c r="AE165" s="234">
        <v>391.34030000000001</v>
      </c>
      <c r="AF165" s="234">
        <v>41571.86</v>
      </c>
      <c r="AG165" s="234">
        <v>9902.8220000000001</v>
      </c>
      <c r="AH165" s="234">
        <v>54223.040000000001</v>
      </c>
      <c r="AI165" s="234">
        <v>30304.79</v>
      </c>
      <c r="AJ165" s="234">
        <v>17898.32</v>
      </c>
      <c r="AK165" s="234">
        <v>33494.07</v>
      </c>
      <c r="AL165" s="234">
        <v>176495.7</v>
      </c>
      <c r="AM165" s="234">
        <v>21063.61</v>
      </c>
      <c r="AN165" s="234">
        <v>16142.54</v>
      </c>
      <c r="AO165" s="234">
        <v>59211.39</v>
      </c>
      <c r="AP165" s="234">
        <v>63061.22</v>
      </c>
      <c r="AQ165" s="234">
        <v>14222.85</v>
      </c>
      <c r="AR165" s="234">
        <v>22482.5</v>
      </c>
      <c r="AS165" s="234">
        <v>297070.7</v>
      </c>
      <c r="AT165" s="234">
        <v>274940.7</v>
      </c>
      <c r="AU165" s="234">
        <v>350910.7</v>
      </c>
      <c r="AV165" s="234">
        <v>82422.820000000007</v>
      </c>
      <c r="AW165" s="234">
        <v>86769.1</v>
      </c>
      <c r="AX165" s="234">
        <v>9257.5669999999991</v>
      </c>
      <c r="AY165" s="234">
        <v>2286.1350000000002</v>
      </c>
      <c r="AZ165" s="234">
        <v>381782.7</v>
      </c>
      <c r="BA165" s="234">
        <v>18384.82</v>
      </c>
      <c r="BB165" s="234">
        <v>37246</v>
      </c>
      <c r="BC165" s="234">
        <v>33781</v>
      </c>
      <c r="BD165" s="234">
        <v>11013</v>
      </c>
      <c r="BE165" s="234" t="s">
        <v>34</v>
      </c>
      <c r="BF165" s="234">
        <v>0.80544625923570001</v>
      </c>
      <c r="BG165" s="234">
        <v>5</v>
      </c>
      <c r="BH165" s="234">
        <v>-29820711</v>
      </c>
      <c r="BI165" s="234">
        <v>0</v>
      </c>
      <c r="BJ165" s="234">
        <v>0</v>
      </c>
      <c r="BK165" s="234">
        <v>0</v>
      </c>
      <c r="BL165" s="234">
        <v>0</v>
      </c>
      <c r="BM165" s="234">
        <v>1</v>
      </c>
      <c r="BN165" s="234">
        <f>IF(ECON_OUTPUT!BE165="Other",1,0)</f>
        <v>0</v>
      </c>
    </row>
    <row r="166" spans="1:66" x14ac:dyDescent="0.25">
      <c r="A166" s="234">
        <v>165</v>
      </c>
      <c r="B166" s="234" t="s">
        <v>1760</v>
      </c>
      <c r="C166" s="234" t="s">
        <v>1311</v>
      </c>
      <c r="D166" s="234" t="s">
        <v>1312</v>
      </c>
      <c r="E166" s="235">
        <v>43251</v>
      </c>
      <c r="F166" s="234" t="s">
        <v>34</v>
      </c>
      <c r="G166" s="234">
        <v>1567000</v>
      </c>
      <c r="H166" s="234">
        <v>918315</v>
      </c>
      <c r="I166" s="234">
        <v>-0.41396617699999999</v>
      </c>
      <c r="J166" s="234" t="s">
        <v>464</v>
      </c>
      <c r="K166" s="234">
        <v>5</v>
      </c>
      <c r="L166" s="234" t="s">
        <v>25</v>
      </c>
      <c r="M166" s="234">
        <v>2</v>
      </c>
      <c r="N166" s="234" t="s">
        <v>459</v>
      </c>
      <c r="O166" s="234" t="s">
        <v>1751</v>
      </c>
      <c r="P166" s="234" t="s">
        <v>1754</v>
      </c>
      <c r="Q166" s="234">
        <v>2147450</v>
      </c>
      <c r="R166" s="234">
        <v>273.2088</v>
      </c>
      <c r="S166" s="234">
        <v>285.90699999999998</v>
      </c>
      <c r="T166" s="234">
        <v>379.84300000000002</v>
      </c>
      <c r="U166" s="234">
        <v>1857.6849999999999</v>
      </c>
      <c r="V166" s="234">
        <v>2286.1350000000002</v>
      </c>
      <c r="W166" s="234">
        <v>561.60320000000002</v>
      </c>
      <c r="X166" s="234">
        <v>1206.557</v>
      </c>
      <c r="Y166" s="234">
        <v>1287.1489999999999</v>
      </c>
      <c r="Z166" s="234">
        <v>335.04599999999999</v>
      </c>
      <c r="AA166" s="234">
        <v>1519.2819999999999</v>
      </c>
      <c r="AB166" s="234">
        <v>205.2501</v>
      </c>
      <c r="AC166" s="234">
        <v>867.59389999999996</v>
      </c>
      <c r="AD166" s="234">
        <v>360.3109</v>
      </c>
      <c r="AE166" s="234">
        <v>391.34030000000001</v>
      </c>
      <c r="AF166" s="234">
        <v>41571.86</v>
      </c>
      <c r="AG166" s="234">
        <v>9902.8220000000001</v>
      </c>
      <c r="AH166" s="234">
        <v>54223.040000000001</v>
      </c>
      <c r="AI166" s="234">
        <v>30304.79</v>
      </c>
      <c r="AJ166" s="234">
        <v>17898.32</v>
      </c>
      <c r="AK166" s="234">
        <v>33494.07</v>
      </c>
      <c r="AL166" s="234">
        <v>176495.7</v>
      </c>
      <c r="AM166" s="234">
        <v>21063.61</v>
      </c>
      <c r="AN166" s="234">
        <v>16142.54</v>
      </c>
      <c r="AO166" s="234">
        <v>59211.39</v>
      </c>
      <c r="AP166" s="234">
        <v>63061.22</v>
      </c>
      <c r="AQ166" s="234">
        <v>14222.85</v>
      </c>
      <c r="AR166" s="234">
        <v>22482.5</v>
      </c>
      <c r="AS166" s="234">
        <v>297070.7</v>
      </c>
      <c r="AT166" s="234">
        <v>274940.7</v>
      </c>
      <c r="AU166" s="234">
        <v>350910.7</v>
      </c>
      <c r="AV166" s="234">
        <v>82422.820000000007</v>
      </c>
      <c r="AW166" s="234">
        <v>86769.1</v>
      </c>
      <c r="AX166" s="234">
        <v>9257.5669999999991</v>
      </c>
      <c r="AY166" s="234">
        <v>2286.1350000000002</v>
      </c>
      <c r="AZ166" s="234">
        <v>381782.7</v>
      </c>
      <c r="BA166" s="234">
        <v>18384.82</v>
      </c>
      <c r="BB166" s="234">
        <v>37246</v>
      </c>
      <c r="BC166" s="234">
        <v>33781</v>
      </c>
      <c r="BD166" s="234">
        <v>11013</v>
      </c>
      <c r="BE166" s="234" t="s">
        <v>34</v>
      </c>
      <c r="BF166" s="234">
        <v>1.37042118698149</v>
      </c>
      <c r="BG166" s="234">
        <v>2</v>
      </c>
      <c r="BH166" s="234">
        <v>580450</v>
      </c>
      <c r="BI166" s="234">
        <v>0</v>
      </c>
      <c r="BJ166" s="234">
        <v>1</v>
      </c>
      <c r="BK166" s="234">
        <v>0</v>
      </c>
      <c r="BL166" s="234">
        <v>0</v>
      </c>
      <c r="BM166" s="234">
        <v>0</v>
      </c>
      <c r="BN166" s="234">
        <f>IF(ECON_OUTPUT!BE166="Other",1,0)</f>
        <v>0</v>
      </c>
    </row>
    <row r="167" spans="1:66" x14ac:dyDescent="0.25">
      <c r="A167" s="234">
        <v>166</v>
      </c>
      <c r="B167" s="234" t="s">
        <v>1760</v>
      </c>
      <c r="C167" s="234" t="s">
        <v>1316</v>
      </c>
      <c r="D167" s="234" t="s">
        <v>1317</v>
      </c>
      <c r="E167" s="235">
        <v>43259</v>
      </c>
      <c r="F167" s="234" t="s">
        <v>1753</v>
      </c>
      <c r="G167" s="234">
        <v>2770000</v>
      </c>
      <c r="H167" s="234">
        <v>2542996</v>
      </c>
      <c r="I167" s="234">
        <v>-8.1950903000000005E-2</v>
      </c>
      <c r="J167" s="234" t="s">
        <v>464</v>
      </c>
      <c r="K167" s="234">
        <v>6</v>
      </c>
      <c r="L167" s="234" t="s">
        <v>226</v>
      </c>
      <c r="M167" s="234">
        <v>2</v>
      </c>
      <c r="N167" s="234" t="s">
        <v>492</v>
      </c>
      <c r="O167" s="234" t="s">
        <v>1751</v>
      </c>
      <c r="P167" s="234" t="s">
        <v>1750</v>
      </c>
      <c r="Q167" s="234">
        <v>3396000</v>
      </c>
      <c r="R167" s="234">
        <v>273.2088</v>
      </c>
      <c r="S167" s="234">
        <v>285.90699999999998</v>
      </c>
      <c r="T167" s="234">
        <v>379.84300000000002</v>
      </c>
      <c r="U167" s="234">
        <v>1857.6849999999999</v>
      </c>
      <c r="V167" s="234">
        <v>2286.1350000000002</v>
      </c>
      <c r="W167" s="234">
        <v>561.60320000000002</v>
      </c>
      <c r="X167" s="234">
        <v>1206.557</v>
      </c>
      <c r="Y167" s="234">
        <v>1287.1489999999999</v>
      </c>
      <c r="Z167" s="234">
        <v>335.04599999999999</v>
      </c>
      <c r="AA167" s="234">
        <v>1519.2819999999999</v>
      </c>
      <c r="AB167" s="234">
        <v>205.2501</v>
      </c>
      <c r="AC167" s="234">
        <v>867.59389999999996</v>
      </c>
      <c r="AD167" s="234">
        <v>360.3109</v>
      </c>
      <c r="AE167" s="234">
        <v>391.34030000000001</v>
      </c>
      <c r="AF167" s="234">
        <v>41571.86</v>
      </c>
      <c r="AG167" s="234">
        <v>9902.8220000000001</v>
      </c>
      <c r="AH167" s="234">
        <v>54223.040000000001</v>
      </c>
      <c r="AI167" s="234">
        <v>30304.79</v>
      </c>
      <c r="AJ167" s="234">
        <v>17898.32</v>
      </c>
      <c r="AK167" s="234">
        <v>33494.07</v>
      </c>
      <c r="AL167" s="234">
        <v>176495.7</v>
      </c>
      <c r="AM167" s="234">
        <v>21063.61</v>
      </c>
      <c r="AN167" s="234">
        <v>16142.54</v>
      </c>
      <c r="AO167" s="234">
        <v>59211.39</v>
      </c>
      <c r="AP167" s="234">
        <v>63061.22</v>
      </c>
      <c r="AQ167" s="234">
        <v>14222.85</v>
      </c>
      <c r="AR167" s="234">
        <v>22482.5</v>
      </c>
      <c r="AS167" s="234">
        <v>297070.7</v>
      </c>
      <c r="AT167" s="234">
        <v>274940.7</v>
      </c>
      <c r="AU167" s="234">
        <v>350910.7</v>
      </c>
      <c r="AV167" s="234">
        <v>82422.820000000007</v>
      </c>
      <c r="AW167" s="234">
        <v>86769.1</v>
      </c>
      <c r="AX167" s="234">
        <v>9257.5669999999991</v>
      </c>
      <c r="AY167" s="234">
        <v>2286.1350000000002</v>
      </c>
      <c r="AZ167" s="234">
        <v>381782.7</v>
      </c>
      <c r="BA167" s="234">
        <v>18384.82</v>
      </c>
      <c r="BB167" s="234">
        <v>37246</v>
      </c>
      <c r="BC167" s="234">
        <v>33781</v>
      </c>
      <c r="BD167" s="234">
        <v>11013</v>
      </c>
      <c r="BE167" s="234" t="s">
        <v>1753</v>
      </c>
      <c r="BF167" s="234">
        <v>1.2259927797833901</v>
      </c>
      <c r="BG167" s="234">
        <v>3</v>
      </c>
      <c r="BH167" s="234">
        <v>626000</v>
      </c>
      <c r="BI167" s="234">
        <v>0</v>
      </c>
      <c r="BJ167" s="234">
        <v>0</v>
      </c>
      <c r="BK167" s="234">
        <v>1</v>
      </c>
      <c r="BL167" s="234">
        <v>0</v>
      </c>
      <c r="BM167" s="234">
        <v>0</v>
      </c>
      <c r="BN167" s="234">
        <f>IF(ECON_OUTPUT!BE167="Other",1,0)</f>
        <v>1</v>
      </c>
    </row>
    <row r="168" spans="1:66" x14ac:dyDescent="0.25">
      <c r="A168" s="234">
        <v>167</v>
      </c>
      <c r="B168" s="234" t="s">
        <v>1760</v>
      </c>
      <c r="C168" s="234" t="s">
        <v>1325</v>
      </c>
      <c r="D168" s="234" t="s">
        <v>1326</v>
      </c>
      <c r="E168" s="235">
        <v>43264</v>
      </c>
      <c r="F168" s="234" t="s">
        <v>34</v>
      </c>
      <c r="G168" s="234">
        <v>38600000</v>
      </c>
      <c r="H168" s="234">
        <v>35950000</v>
      </c>
      <c r="I168" s="234">
        <v>-6.8652850000000001E-2</v>
      </c>
      <c r="J168" s="234" t="s">
        <v>464</v>
      </c>
      <c r="K168" s="234">
        <v>2</v>
      </c>
      <c r="L168" s="234" t="s">
        <v>25</v>
      </c>
      <c r="M168" s="234">
        <v>2</v>
      </c>
      <c r="N168" s="234" t="s">
        <v>459</v>
      </c>
      <c r="O168" s="234" t="s">
        <v>1751</v>
      </c>
      <c r="P168" s="234" t="s">
        <v>1754</v>
      </c>
      <c r="Q168" s="234">
        <v>43894000</v>
      </c>
      <c r="R168" s="234">
        <v>273.2088</v>
      </c>
      <c r="S168" s="234">
        <v>285.90699999999998</v>
      </c>
      <c r="T168" s="234">
        <v>379.84300000000002</v>
      </c>
      <c r="U168" s="234">
        <v>1857.6849999999999</v>
      </c>
      <c r="V168" s="234">
        <v>2286.1350000000002</v>
      </c>
      <c r="W168" s="234">
        <v>561.60320000000002</v>
      </c>
      <c r="X168" s="234">
        <v>1206.557</v>
      </c>
      <c r="Y168" s="234">
        <v>1287.1489999999999</v>
      </c>
      <c r="Z168" s="234">
        <v>335.04599999999999</v>
      </c>
      <c r="AA168" s="234">
        <v>1519.2819999999999</v>
      </c>
      <c r="AB168" s="234">
        <v>205.2501</v>
      </c>
      <c r="AC168" s="234">
        <v>867.59389999999996</v>
      </c>
      <c r="AD168" s="234">
        <v>360.3109</v>
      </c>
      <c r="AE168" s="234">
        <v>391.34030000000001</v>
      </c>
      <c r="AF168" s="234">
        <v>41571.86</v>
      </c>
      <c r="AG168" s="234">
        <v>9902.8220000000001</v>
      </c>
      <c r="AH168" s="234">
        <v>54223.040000000001</v>
      </c>
      <c r="AI168" s="234">
        <v>30304.79</v>
      </c>
      <c r="AJ168" s="234">
        <v>17898.32</v>
      </c>
      <c r="AK168" s="234">
        <v>33494.07</v>
      </c>
      <c r="AL168" s="234">
        <v>176495.7</v>
      </c>
      <c r="AM168" s="234">
        <v>21063.61</v>
      </c>
      <c r="AN168" s="234">
        <v>16142.54</v>
      </c>
      <c r="AO168" s="234">
        <v>59211.39</v>
      </c>
      <c r="AP168" s="234">
        <v>63061.22</v>
      </c>
      <c r="AQ168" s="234">
        <v>14222.85</v>
      </c>
      <c r="AR168" s="234">
        <v>22482.5</v>
      </c>
      <c r="AS168" s="234">
        <v>297070.7</v>
      </c>
      <c r="AT168" s="234">
        <v>274940.7</v>
      </c>
      <c r="AU168" s="234">
        <v>350910.7</v>
      </c>
      <c r="AV168" s="234">
        <v>82422.820000000007</v>
      </c>
      <c r="AW168" s="234">
        <v>86769.1</v>
      </c>
      <c r="AX168" s="234">
        <v>9257.5669999999991</v>
      </c>
      <c r="AY168" s="234">
        <v>2286.1350000000002</v>
      </c>
      <c r="AZ168" s="234">
        <v>381782.7</v>
      </c>
      <c r="BA168" s="234">
        <v>18384.82</v>
      </c>
      <c r="BB168" s="234">
        <v>37246</v>
      </c>
      <c r="BC168" s="234">
        <v>33781</v>
      </c>
      <c r="BD168" s="234">
        <v>11013</v>
      </c>
      <c r="BE168" s="234" t="s">
        <v>34</v>
      </c>
      <c r="BF168" s="234">
        <v>1.1371502590673599</v>
      </c>
      <c r="BG168" s="234">
        <v>5</v>
      </c>
      <c r="BH168" s="234">
        <v>5294000</v>
      </c>
      <c r="BI168" s="234">
        <v>0</v>
      </c>
      <c r="BJ168" s="234">
        <v>0</v>
      </c>
      <c r="BK168" s="234">
        <v>0</v>
      </c>
      <c r="BL168" s="234">
        <v>0</v>
      </c>
      <c r="BM168" s="234">
        <v>1</v>
      </c>
      <c r="BN168" s="234">
        <f>IF(ECON_OUTPUT!BE168="Other",1,0)</f>
        <v>0</v>
      </c>
    </row>
    <row r="169" spans="1:66" x14ac:dyDescent="0.25">
      <c r="A169" s="234">
        <v>168</v>
      </c>
      <c r="B169" s="234" t="s">
        <v>1759</v>
      </c>
      <c r="C169" s="234" t="s">
        <v>1330</v>
      </c>
      <c r="D169" s="234" t="s">
        <v>1292</v>
      </c>
      <c r="E169" s="235">
        <v>43287</v>
      </c>
      <c r="F169" s="234" t="s">
        <v>1753</v>
      </c>
      <c r="G169" s="234">
        <v>3730000</v>
      </c>
      <c r="H169" s="234">
        <v>4547000</v>
      </c>
      <c r="I169" s="234">
        <v>0.219034853</v>
      </c>
      <c r="J169" s="234" t="s">
        <v>465</v>
      </c>
      <c r="K169" s="234">
        <v>3</v>
      </c>
      <c r="L169" s="234" t="s">
        <v>25</v>
      </c>
      <c r="M169" s="234">
        <v>3</v>
      </c>
      <c r="N169" s="234" t="s">
        <v>458</v>
      </c>
      <c r="O169" s="234" t="s">
        <v>1751</v>
      </c>
      <c r="P169" s="234" t="s">
        <v>1755</v>
      </c>
      <c r="Q169" s="234">
        <v>4649000</v>
      </c>
      <c r="R169" s="234">
        <v>274.4556</v>
      </c>
      <c r="S169" s="234">
        <v>285.20100000000002</v>
      </c>
      <c r="T169" s="234">
        <v>380.31369999999998</v>
      </c>
      <c r="U169" s="234">
        <v>1877.3989999999999</v>
      </c>
      <c r="V169" s="234">
        <v>2293.761</v>
      </c>
      <c r="W169" s="234">
        <v>564.44039999999995</v>
      </c>
      <c r="X169" s="234">
        <v>1213.422</v>
      </c>
      <c r="Y169" s="234">
        <v>1287.501</v>
      </c>
      <c r="Z169" s="234">
        <v>334.45319999999998</v>
      </c>
      <c r="AA169" s="234">
        <v>1523.5619999999999</v>
      </c>
      <c r="AB169" s="234">
        <v>205.75880000000001</v>
      </c>
      <c r="AC169" s="234">
        <v>863.41579999999999</v>
      </c>
      <c r="AD169" s="234">
        <v>362.13979999999998</v>
      </c>
      <c r="AE169" s="234">
        <v>392.26459999999997</v>
      </c>
      <c r="AF169" s="234">
        <v>41905.64</v>
      </c>
      <c r="AG169" s="234">
        <v>9961.3060000000005</v>
      </c>
      <c r="AH169" s="234">
        <v>54796.14</v>
      </c>
      <c r="AI169" s="234">
        <v>30228.62</v>
      </c>
      <c r="AJ169" s="234">
        <v>18074.59</v>
      </c>
      <c r="AK169" s="234">
        <v>33824.660000000003</v>
      </c>
      <c r="AL169" s="234">
        <v>177385.8</v>
      </c>
      <c r="AM169" s="234">
        <v>21260.32</v>
      </c>
      <c r="AN169" s="234">
        <v>16310.68</v>
      </c>
      <c r="AO169" s="234">
        <v>59566.94</v>
      </c>
      <c r="AP169" s="234">
        <v>63022.66</v>
      </c>
      <c r="AQ169" s="234">
        <v>14252.58</v>
      </c>
      <c r="AR169" s="234">
        <v>22753.45</v>
      </c>
      <c r="AS169" s="234">
        <v>298765.8</v>
      </c>
      <c r="AT169" s="234">
        <v>275436.3</v>
      </c>
      <c r="AU169" s="234">
        <v>353314.4</v>
      </c>
      <c r="AV169" s="234">
        <v>83082.34</v>
      </c>
      <c r="AW169" s="234">
        <v>87464.12</v>
      </c>
      <c r="AX169" s="234">
        <v>9289.8709999999992</v>
      </c>
      <c r="AY169" s="234">
        <v>2293.761</v>
      </c>
      <c r="AZ169" s="234">
        <v>384150.2</v>
      </c>
      <c r="BA169" s="234">
        <v>18387.22</v>
      </c>
      <c r="BB169" s="234">
        <v>36000</v>
      </c>
      <c r="BC169" s="234">
        <v>37246</v>
      </c>
      <c r="BD169" s="234">
        <v>11124</v>
      </c>
      <c r="BE169" s="234" t="s">
        <v>1753</v>
      </c>
      <c r="BF169" s="234">
        <v>1.2463806970509399</v>
      </c>
      <c r="BG169" s="234">
        <v>3</v>
      </c>
      <c r="BH169" s="234">
        <v>919000</v>
      </c>
      <c r="BI169" s="234">
        <v>0</v>
      </c>
      <c r="BJ169" s="234">
        <v>0</v>
      </c>
      <c r="BK169" s="234">
        <v>1</v>
      </c>
      <c r="BL169" s="234">
        <v>0</v>
      </c>
      <c r="BM169" s="234">
        <v>0</v>
      </c>
      <c r="BN169" s="234">
        <f>IF(ECON_OUTPUT!BE169="Other",1,0)</f>
        <v>1</v>
      </c>
    </row>
    <row r="170" spans="1:66" x14ac:dyDescent="0.25">
      <c r="A170" s="234">
        <v>169</v>
      </c>
      <c r="B170" s="234" t="s">
        <v>1759</v>
      </c>
      <c r="C170" s="234" t="s">
        <v>1337</v>
      </c>
      <c r="D170" s="234" t="s">
        <v>1338</v>
      </c>
      <c r="E170" s="235">
        <v>43299</v>
      </c>
      <c r="F170" s="234" t="s">
        <v>1753</v>
      </c>
      <c r="G170" s="234">
        <v>34796400</v>
      </c>
      <c r="H170" s="234">
        <v>34483510</v>
      </c>
      <c r="I170" s="234">
        <v>-8.9920220000000006E-3</v>
      </c>
      <c r="J170" s="234" t="s">
        <v>464</v>
      </c>
      <c r="K170" s="234">
        <v>2</v>
      </c>
      <c r="L170" s="234" t="s">
        <v>93</v>
      </c>
      <c r="M170" s="234">
        <v>3</v>
      </c>
      <c r="N170" s="234" t="s">
        <v>458</v>
      </c>
      <c r="O170" s="234" t="s">
        <v>1751</v>
      </c>
      <c r="P170" s="234" t="s">
        <v>1755</v>
      </c>
      <c r="Q170" s="234">
        <v>36459000</v>
      </c>
      <c r="R170" s="234">
        <v>274.4556</v>
      </c>
      <c r="S170" s="234">
        <v>285.20100000000002</v>
      </c>
      <c r="T170" s="234">
        <v>380.31369999999998</v>
      </c>
      <c r="U170" s="234">
        <v>1877.3989999999999</v>
      </c>
      <c r="V170" s="234">
        <v>2293.761</v>
      </c>
      <c r="W170" s="234">
        <v>564.44039999999995</v>
      </c>
      <c r="X170" s="234">
        <v>1213.422</v>
      </c>
      <c r="Y170" s="234">
        <v>1287.501</v>
      </c>
      <c r="Z170" s="234">
        <v>334.45319999999998</v>
      </c>
      <c r="AA170" s="234">
        <v>1523.5619999999999</v>
      </c>
      <c r="AB170" s="234">
        <v>205.75880000000001</v>
      </c>
      <c r="AC170" s="234">
        <v>863.41579999999999</v>
      </c>
      <c r="AD170" s="234">
        <v>362.13979999999998</v>
      </c>
      <c r="AE170" s="234">
        <v>392.26459999999997</v>
      </c>
      <c r="AF170" s="234">
        <v>41905.64</v>
      </c>
      <c r="AG170" s="234">
        <v>9961.3060000000005</v>
      </c>
      <c r="AH170" s="234">
        <v>54796.14</v>
      </c>
      <c r="AI170" s="234">
        <v>30228.62</v>
      </c>
      <c r="AJ170" s="234">
        <v>18074.59</v>
      </c>
      <c r="AK170" s="234">
        <v>33824.660000000003</v>
      </c>
      <c r="AL170" s="234">
        <v>177385.8</v>
      </c>
      <c r="AM170" s="234">
        <v>21260.32</v>
      </c>
      <c r="AN170" s="234">
        <v>16310.68</v>
      </c>
      <c r="AO170" s="234">
        <v>59566.94</v>
      </c>
      <c r="AP170" s="234">
        <v>63022.66</v>
      </c>
      <c r="AQ170" s="234">
        <v>14252.58</v>
      </c>
      <c r="AR170" s="234">
        <v>22753.45</v>
      </c>
      <c r="AS170" s="234">
        <v>298765.8</v>
      </c>
      <c r="AT170" s="234">
        <v>275436.3</v>
      </c>
      <c r="AU170" s="234">
        <v>353314.4</v>
      </c>
      <c r="AV170" s="234">
        <v>83082.34</v>
      </c>
      <c r="AW170" s="234">
        <v>87464.12</v>
      </c>
      <c r="AX170" s="234">
        <v>9289.8709999999992</v>
      </c>
      <c r="AY170" s="234">
        <v>2293.761</v>
      </c>
      <c r="AZ170" s="234">
        <v>384150.2</v>
      </c>
      <c r="BA170" s="234">
        <v>18387.22</v>
      </c>
      <c r="BB170" s="234">
        <v>36000</v>
      </c>
      <c r="BC170" s="234">
        <v>37246</v>
      </c>
      <c r="BD170" s="234">
        <v>11124</v>
      </c>
      <c r="BE170" s="234" t="s">
        <v>1753</v>
      </c>
      <c r="BF170" s="234">
        <v>1.0477808049108499</v>
      </c>
      <c r="BG170" s="234">
        <v>5</v>
      </c>
      <c r="BH170" s="234">
        <v>1662600</v>
      </c>
      <c r="BI170" s="234">
        <v>0</v>
      </c>
      <c r="BJ170" s="234">
        <v>0</v>
      </c>
      <c r="BK170" s="234">
        <v>0</v>
      </c>
      <c r="BL170" s="234">
        <v>0</v>
      </c>
      <c r="BM170" s="234">
        <v>1</v>
      </c>
      <c r="BN170" s="234">
        <f>IF(ECON_OUTPUT!BE170="Other",1,0)</f>
        <v>1</v>
      </c>
    </row>
    <row r="171" spans="1:66" x14ac:dyDescent="0.25">
      <c r="A171" s="234">
        <v>170</v>
      </c>
      <c r="B171" s="234" t="s">
        <v>1759</v>
      </c>
      <c r="C171" s="234" t="s">
        <v>1331</v>
      </c>
      <c r="D171" s="234" t="s">
        <v>1332</v>
      </c>
      <c r="E171" s="235">
        <v>43299</v>
      </c>
      <c r="F171" s="234" t="s">
        <v>34</v>
      </c>
      <c r="G171" s="234">
        <v>3570000</v>
      </c>
      <c r="H171" s="234">
        <v>3861000</v>
      </c>
      <c r="I171" s="234">
        <v>8.1512605000000002E-2</v>
      </c>
      <c r="J171" s="234" t="s">
        <v>464</v>
      </c>
      <c r="K171" s="234">
        <v>6</v>
      </c>
      <c r="L171" s="234" t="s">
        <v>226</v>
      </c>
      <c r="M171" s="234">
        <v>3</v>
      </c>
      <c r="N171" s="234" t="s">
        <v>457</v>
      </c>
      <c r="O171" s="234" t="s">
        <v>1751</v>
      </c>
      <c r="P171" s="234" t="s">
        <v>1754</v>
      </c>
      <c r="Q171" s="234">
        <v>4779000</v>
      </c>
      <c r="R171" s="234">
        <v>274.4556</v>
      </c>
      <c r="S171" s="234">
        <v>285.20100000000002</v>
      </c>
      <c r="T171" s="234">
        <v>380.31369999999998</v>
      </c>
      <c r="U171" s="234">
        <v>1877.3989999999999</v>
      </c>
      <c r="V171" s="234">
        <v>2293.761</v>
      </c>
      <c r="W171" s="234">
        <v>564.44039999999995</v>
      </c>
      <c r="X171" s="234">
        <v>1213.422</v>
      </c>
      <c r="Y171" s="234">
        <v>1287.501</v>
      </c>
      <c r="Z171" s="234">
        <v>334.45319999999998</v>
      </c>
      <c r="AA171" s="234">
        <v>1523.5619999999999</v>
      </c>
      <c r="AB171" s="234">
        <v>205.75880000000001</v>
      </c>
      <c r="AC171" s="234">
        <v>863.41579999999999</v>
      </c>
      <c r="AD171" s="234">
        <v>362.13979999999998</v>
      </c>
      <c r="AE171" s="234">
        <v>392.26459999999997</v>
      </c>
      <c r="AF171" s="234">
        <v>41905.64</v>
      </c>
      <c r="AG171" s="234">
        <v>9961.3060000000005</v>
      </c>
      <c r="AH171" s="234">
        <v>54796.14</v>
      </c>
      <c r="AI171" s="234">
        <v>30228.62</v>
      </c>
      <c r="AJ171" s="234">
        <v>18074.59</v>
      </c>
      <c r="AK171" s="234">
        <v>33824.660000000003</v>
      </c>
      <c r="AL171" s="234">
        <v>177385.8</v>
      </c>
      <c r="AM171" s="234">
        <v>21260.32</v>
      </c>
      <c r="AN171" s="234">
        <v>16310.68</v>
      </c>
      <c r="AO171" s="234">
        <v>59566.94</v>
      </c>
      <c r="AP171" s="234">
        <v>63022.66</v>
      </c>
      <c r="AQ171" s="234">
        <v>14252.58</v>
      </c>
      <c r="AR171" s="234">
        <v>22753.45</v>
      </c>
      <c r="AS171" s="234">
        <v>298765.8</v>
      </c>
      <c r="AT171" s="234">
        <v>275436.3</v>
      </c>
      <c r="AU171" s="234">
        <v>353314.4</v>
      </c>
      <c r="AV171" s="234">
        <v>83082.34</v>
      </c>
      <c r="AW171" s="234">
        <v>87464.12</v>
      </c>
      <c r="AX171" s="234">
        <v>9289.8709999999992</v>
      </c>
      <c r="AY171" s="234">
        <v>2293.761</v>
      </c>
      <c r="AZ171" s="234">
        <v>384150.2</v>
      </c>
      <c r="BA171" s="234">
        <v>18387.22</v>
      </c>
      <c r="BB171" s="234">
        <v>36000</v>
      </c>
      <c r="BC171" s="234">
        <v>37246</v>
      </c>
      <c r="BD171" s="234">
        <v>11124</v>
      </c>
      <c r="BE171" s="234" t="s">
        <v>34</v>
      </c>
      <c r="BF171" s="234">
        <v>1.3386554621848701</v>
      </c>
      <c r="BG171" s="234">
        <v>4</v>
      </c>
      <c r="BH171" s="234">
        <v>1209000</v>
      </c>
      <c r="BI171" s="234">
        <v>0</v>
      </c>
      <c r="BJ171" s="234">
        <v>0</v>
      </c>
      <c r="BK171" s="234">
        <v>0</v>
      </c>
      <c r="BL171" s="234">
        <v>1</v>
      </c>
      <c r="BM171" s="234">
        <v>0</v>
      </c>
      <c r="BN171" s="234">
        <f>IF(ECON_OUTPUT!BE171="Other",1,0)</f>
        <v>0</v>
      </c>
    </row>
    <row r="172" spans="1:66" x14ac:dyDescent="0.25">
      <c r="A172" s="234">
        <v>171</v>
      </c>
      <c r="B172" s="234" t="s">
        <v>1759</v>
      </c>
      <c r="C172" s="234" t="s">
        <v>1354</v>
      </c>
      <c r="D172" s="234" t="s">
        <v>1355</v>
      </c>
      <c r="E172" s="235">
        <v>43311</v>
      </c>
      <c r="F172" s="234" t="s">
        <v>1753</v>
      </c>
      <c r="G172" s="234">
        <v>9350000</v>
      </c>
      <c r="H172" s="234">
        <v>6855365</v>
      </c>
      <c r="I172" s="234">
        <v>-0.26680588199999999</v>
      </c>
      <c r="J172" s="234" t="s">
        <v>464</v>
      </c>
      <c r="K172" s="234">
        <v>3</v>
      </c>
      <c r="L172" s="234" t="s">
        <v>25</v>
      </c>
      <c r="M172" s="234">
        <v>3</v>
      </c>
      <c r="N172" s="234" t="s">
        <v>458</v>
      </c>
      <c r="O172" s="234" t="s">
        <v>1751</v>
      </c>
      <c r="P172" s="234" t="s">
        <v>1755</v>
      </c>
      <c r="Q172" s="234">
        <v>11420920</v>
      </c>
      <c r="R172" s="234">
        <v>274.4556</v>
      </c>
      <c r="S172" s="234">
        <v>285.20100000000002</v>
      </c>
      <c r="T172" s="234">
        <v>380.31369999999998</v>
      </c>
      <c r="U172" s="234">
        <v>1877.3989999999999</v>
      </c>
      <c r="V172" s="234">
        <v>2293.761</v>
      </c>
      <c r="W172" s="234">
        <v>564.44039999999995</v>
      </c>
      <c r="X172" s="234">
        <v>1213.422</v>
      </c>
      <c r="Y172" s="234">
        <v>1287.501</v>
      </c>
      <c r="Z172" s="234">
        <v>334.45319999999998</v>
      </c>
      <c r="AA172" s="234">
        <v>1523.5619999999999</v>
      </c>
      <c r="AB172" s="234">
        <v>205.75880000000001</v>
      </c>
      <c r="AC172" s="234">
        <v>863.41579999999999</v>
      </c>
      <c r="AD172" s="234">
        <v>362.13979999999998</v>
      </c>
      <c r="AE172" s="234">
        <v>392.26459999999997</v>
      </c>
      <c r="AF172" s="234">
        <v>41905.64</v>
      </c>
      <c r="AG172" s="234">
        <v>9961.3060000000005</v>
      </c>
      <c r="AH172" s="234">
        <v>54796.14</v>
      </c>
      <c r="AI172" s="234">
        <v>30228.62</v>
      </c>
      <c r="AJ172" s="234">
        <v>18074.59</v>
      </c>
      <c r="AK172" s="234">
        <v>33824.660000000003</v>
      </c>
      <c r="AL172" s="234">
        <v>177385.8</v>
      </c>
      <c r="AM172" s="234">
        <v>21260.32</v>
      </c>
      <c r="AN172" s="234">
        <v>16310.68</v>
      </c>
      <c r="AO172" s="234">
        <v>59566.94</v>
      </c>
      <c r="AP172" s="234">
        <v>63022.66</v>
      </c>
      <c r="AQ172" s="234">
        <v>14252.58</v>
      </c>
      <c r="AR172" s="234">
        <v>22753.45</v>
      </c>
      <c r="AS172" s="234">
        <v>298765.8</v>
      </c>
      <c r="AT172" s="234">
        <v>275436.3</v>
      </c>
      <c r="AU172" s="234">
        <v>353314.4</v>
      </c>
      <c r="AV172" s="234">
        <v>83082.34</v>
      </c>
      <c r="AW172" s="234">
        <v>87464.12</v>
      </c>
      <c r="AX172" s="234">
        <v>9289.8709999999992</v>
      </c>
      <c r="AY172" s="234">
        <v>2293.761</v>
      </c>
      <c r="AZ172" s="234">
        <v>384150.2</v>
      </c>
      <c r="BA172" s="234">
        <v>18387.22</v>
      </c>
      <c r="BB172" s="234">
        <v>36000</v>
      </c>
      <c r="BC172" s="234">
        <v>37246</v>
      </c>
      <c r="BD172" s="234">
        <v>11124</v>
      </c>
      <c r="BE172" s="234" t="s">
        <v>1753</v>
      </c>
      <c r="BF172" s="234">
        <v>1.22148877005348</v>
      </c>
      <c r="BG172" s="234">
        <v>4</v>
      </c>
      <c r="BH172" s="234">
        <v>2070920</v>
      </c>
      <c r="BI172" s="234">
        <v>0</v>
      </c>
      <c r="BJ172" s="234">
        <v>0</v>
      </c>
      <c r="BK172" s="234">
        <v>0</v>
      </c>
      <c r="BL172" s="234">
        <v>1</v>
      </c>
      <c r="BM172" s="234">
        <v>0</v>
      </c>
      <c r="BN172" s="234">
        <f>IF(ECON_OUTPUT!BE172="Other",1,0)</f>
        <v>1</v>
      </c>
    </row>
    <row r="173" spans="1:66" x14ac:dyDescent="0.25">
      <c r="A173" s="234">
        <v>172</v>
      </c>
      <c r="B173" s="234" t="s">
        <v>1759</v>
      </c>
      <c r="C173" s="234" t="s">
        <v>1339</v>
      </c>
      <c r="D173" s="234" t="s">
        <v>1340</v>
      </c>
      <c r="E173" s="235">
        <v>43314</v>
      </c>
      <c r="F173" s="234" t="s">
        <v>1341</v>
      </c>
      <c r="G173" s="234">
        <v>1980000</v>
      </c>
      <c r="H173" s="234">
        <v>2882170</v>
      </c>
      <c r="I173" s="234">
        <v>0.45564141400000002</v>
      </c>
      <c r="J173" s="234" t="s">
        <v>465</v>
      </c>
      <c r="K173" s="234">
        <v>6</v>
      </c>
      <c r="L173" s="234" t="s">
        <v>25</v>
      </c>
      <c r="M173" s="234">
        <v>3</v>
      </c>
      <c r="N173" s="234" t="s">
        <v>492</v>
      </c>
      <c r="O173" s="234" t="s">
        <v>1751</v>
      </c>
      <c r="P173" s="234" t="s">
        <v>1754</v>
      </c>
      <c r="Q173" s="234">
        <v>2991000</v>
      </c>
      <c r="R173" s="234">
        <v>274.4556</v>
      </c>
      <c r="S173" s="234">
        <v>285.20100000000002</v>
      </c>
      <c r="T173" s="234">
        <v>380.31369999999998</v>
      </c>
      <c r="U173" s="234">
        <v>1877.3989999999999</v>
      </c>
      <c r="V173" s="234">
        <v>2293.761</v>
      </c>
      <c r="W173" s="234">
        <v>564.44039999999995</v>
      </c>
      <c r="X173" s="234">
        <v>1213.422</v>
      </c>
      <c r="Y173" s="234">
        <v>1287.501</v>
      </c>
      <c r="Z173" s="234">
        <v>334.45319999999998</v>
      </c>
      <c r="AA173" s="234">
        <v>1523.5619999999999</v>
      </c>
      <c r="AB173" s="234">
        <v>205.75880000000001</v>
      </c>
      <c r="AC173" s="234">
        <v>863.41579999999999</v>
      </c>
      <c r="AD173" s="234">
        <v>362.13979999999998</v>
      </c>
      <c r="AE173" s="234">
        <v>392.26459999999997</v>
      </c>
      <c r="AF173" s="234">
        <v>41905.64</v>
      </c>
      <c r="AG173" s="234">
        <v>9961.3060000000005</v>
      </c>
      <c r="AH173" s="234">
        <v>54796.14</v>
      </c>
      <c r="AI173" s="234">
        <v>30228.62</v>
      </c>
      <c r="AJ173" s="234">
        <v>18074.59</v>
      </c>
      <c r="AK173" s="234">
        <v>33824.660000000003</v>
      </c>
      <c r="AL173" s="234">
        <v>177385.8</v>
      </c>
      <c r="AM173" s="234">
        <v>21260.32</v>
      </c>
      <c r="AN173" s="234">
        <v>16310.68</v>
      </c>
      <c r="AO173" s="234">
        <v>59566.94</v>
      </c>
      <c r="AP173" s="234">
        <v>63022.66</v>
      </c>
      <c r="AQ173" s="234">
        <v>14252.58</v>
      </c>
      <c r="AR173" s="234">
        <v>22753.45</v>
      </c>
      <c r="AS173" s="234">
        <v>298765.8</v>
      </c>
      <c r="AT173" s="234">
        <v>275436.3</v>
      </c>
      <c r="AU173" s="234">
        <v>353314.4</v>
      </c>
      <c r="AV173" s="234">
        <v>83082.34</v>
      </c>
      <c r="AW173" s="234">
        <v>87464.12</v>
      </c>
      <c r="AX173" s="234">
        <v>9289.8709999999992</v>
      </c>
      <c r="AY173" s="234">
        <v>2293.761</v>
      </c>
      <c r="AZ173" s="234">
        <v>384150.2</v>
      </c>
      <c r="BA173" s="234">
        <v>18387.22</v>
      </c>
      <c r="BB173" s="234">
        <v>36000</v>
      </c>
      <c r="BC173" s="234">
        <v>37246</v>
      </c>
      <c r="BD173" s="234">
        <v>11124</v>
      </c>
      <c r="BE173" s="234" t="s">
        <v>1753</v>
      </c>
      <c r="BF173" s="234">
        <v>1.5106060606060601</v>
      </c>
      <c r="BG173" s="234">
        <v>3</v>
      </c>
      <c r="BH173" s="234">
        <v>1011000</v>
      </c>
      <c r="BI173" s="234">
        <v>0</v>
      </c>
      <c r="BJ173" s="234">
        <v>0</v>
      </c>
      <c r="BK173" s="234">
        <v>1</v>
      </c>
      <c r="BL173" s="234">
        <v>0</v>
      </c>
      <c r="BM173" s="234">
        <v>0</v>
      </c>
      <c r="BN173" s="234">
        <f>IF(ECON_OUTPUT!BE173="Other",1,0)</f>
        <v>1</v>
      </c>
    </row>
    <row r="174" spans="1:66" x14ac:dyDescent="0.25">
      <c r="A174" s="234">
        <v>173</v>
      </c>
      <c r="B174" s="234" t="s">
        <v>1759</v>
      </c>
      <c r="C174" s="234" t="s">
        <v>1343</v>
      </c>
      <c r="D174" s="234" t="s">
        <v>1346</v>
      </c>
      <c r="E174" s="235">
        <v>43319</v>
      </c>
      <c r="F174" s="234" t="s">
        <v>34</v>
      </c>
      <c r="G174" s="234">
        <v>54744000</v>
      </c>
      <c r="H174" s="234">
        <v>34776250</v>
      </c>
      <c r="I174" s="234">
        <v>-0.36474773500000002</v>
      </c>
      <c r="J174" s="234" t="s">
        <v>464</v>
      </c>
      <c r="K174" s="234">
        <v>4</v>
      </c>
      <c r="L174" s="234" t="s">
        <v>93</v>
      </c>
      <c r="M174" s="234">
        <v>3</v>
      </c>
      <c r="N174" s="234" t="s">
        <v>457</v>
      </c>
      <c r="O174" s="234" t="s">
        <v>1751</v>
      </c>
      <c r="P174" s="234" t="s">
        <v>1750</v>
      </c>
      <c r="Q174" s="234">
        <v>48040040</v>
      </c>
      <c r="R174" s="234">
        <v>274.4556</v>
      </c>
      <c r="S174" s="234">
        <v>285.20100000000002</v>
      </c>
      <c r="T174" s="234">
        <v>380.31369999999998</v>
      </c>
      <c r="U174" s="234">
        <v>1877.3989999999999</v>
      </c>
      <c r="V174" s="234">
        <v>2293.761</v>
      </c>
      <c r="W174" s="234">
        <v>564.44039999999995</v>
      </c>
      <c r="X174" s="234">
        <v>1213.422</v>
      </c>
      <c r="Y174" s="234">
        <v>1287.501</v>
      </c>
      <c r="Z174" s="234">
        <v>334.45319999999998</v>
      </c>
      <c r="AA174" s="234">
        <v>1523.5619999999999</v>
      </c>
      <c r="AB174" s="234">
        <v>205.75880000000001</v>
      </c>
      <c r="AC174" s="234">
        <v>863.41579999999999</v>
      </c>
      <c r="AD174" s="234">
        <v>362.13979999999998</v>
      </c>
      <c r="AE174" s="234">
        <v>392.26459999999997</v>
      </c>
      <c r="AF174" s="234">
        <v>41905.64</v>
      </c>
      <c r="AG174" s="234">
        <v>9961.3060000000005</v>
      </c>
      <c r="AH174" s="234">
        <v>54796.14</v>
      </c>
      <c r="AI174" s="234">
        <v>30228.62</v>
      </c>
      <c r="AJ174" s="234">
        <v>18074.59</v>
      </c>
      <c r="AK174" s="234">
        <v>33824.660000000003</v>
      </c>
      <c r="AL174" s="234">
        <v>177385.8</v>
      </c>
      <c r="AM174" s="234">
        <v>21260.32</v>
      </c>
      <c r="AN174" s="234">
        <v>16310.68</v>
      </c>
      <c r="AO174" s="234">
        <v>59566.94</v>
      </c>
      <c r="AP174" s="234">
        <v>63022.66</v>
      </c>
      <c r="AQ174" s="234">
        <v>14252.58</v>
      </c>
      <c r="AR174" s="234">
        <v>22753.45</v>
      </c>
      <c r="AS174" s="234">
        <v>298765.8</v>
      </c>
      <c r="AT174" s="234">
        <v>275436.3</v>
      </c>
      <c r="AU174" s="234">
        <v>353314.4</v>
      </c>
      <c r="AV174" s="234">
        <v>83082.34</v>
      </c>
      <c r="AW174" s="234">
        <v>87464.12</v>
      </c>
      <c r="AX174" s="234">
        <v>9289.8709999999992</v>
      </c>
      <c r="AY174" s="234">
        <v>2293.761</v>
      </c>
      <c r="AZ174" s="234">
        <v>384150.2</v>
      </c>
      <c r="BA174" s="234">
        <v>18387.22</v>
      </c>
      <c r="BB174" s="234">
        <v>36000</v>
      </c>
      <c r="BC174" s="234">
        <v>37246</v>
      </c>
      <c r="BD174" s="234">
        <v>11124</v>
      </c>
      <c r="BE174" s="234" t="s">
        <v>34</v>
      </c>
      <c r="BF174" s="234">
        <v>0.87753982171562195</v>
      </c>
      <c r="BG174" s="234">
        <v>5</v>
      </c>
      <c r="BH174" s="234">
        <v>-6703960</v>
      </c>
      <c r="BI174" s="234">
        <v>0</v>
      </c>
      <c r="BJ174" s="234">
        <v>0</v>
      </c>
      <c r="BK174" s="234">
        <v>0</v>
      </c>
      <c r="BL174" s="234">
        <v>0</v>
      </c>
      <c r="BM174" s="234">
        <v>1</v>
      </c>
      <c r="BN174" s="234">
        <f>IF(ECON_OUTPUT!BE174="Other",1,0)</f>
        <v>0</v>
      </c>
    </row>
    <row r="175" spans="1:66" x14ac:dyDescent="0.25">
      <c r="A175" s="234">
        <v>174</v>
      </c>
      <c r="B175" s="234" t="s">
        <v>1759</v>
      </c>
      <c r="C175" s="234" t="s">
        <v>1347</v>
      </c>
      <c r="D175" s="234" t="s">
        <v>1348</v>
      </c>
      <c r="E175" s="235">
        <v>43326</v>
      </c>
      <c r="F175" s="234" t="s">
        <v>1341</v>
      </c>
      <c r="G175" s="234">
        <v>1300000</v>
      </c>
      <c r="H175" s="234">
        <v>695800</v>
      </c>
      <c r="I175" s="234">
        <v>-0.464769231</v>
      </c>
      <c r="J175" s="234" t="s">
        <v>465</v>
      </c>
      <c r="K175" s="234">
        <v>2</v>
      </c>
      <c r="L175" s="234" t="s">
        <v>226</v>
      </c>
      <c r="M175" s="234">
        <v>3</v>
      </c>
      <c r="N175" s="234" t="s">
        <v>457</v>
      </c>
      <c r="O175" s="234" t="s">
        <v>1751</v>
      </c>
      <c r="P175" s="234" t="s">
        <v>1755</v>
      </c>
      <c r="Q175" s="234">
        <v>1419200</v>
      </c>
      <c r="R175" s="234">
        <v>274.4556</v>
      </c>
      <c r="S175" s="234">
        <v>285.20100000000002</v>
      </c>
      <c r="T175" s="234">
        <v>380.31369999999998</v>
      </c>
      <c r="U175" s="234">
        <v>1877.3989999999999</v>
      </c>
      <c r="V175" s="234">
        <v>2293.761</v>
      </c>
      <c r="W175" s="234">
        <v>564.44039999999995</v>
      </c>
      <c r="X175" s="234">
        <v>1213.422</v>
      </c>
      <c r="Y175" s="234">
        <v>1287.501</v>
      </c>
      <c r="Z175" s="234">
        <v>334.45319999999998</v>
      </c>
      <c r="AA175" s="234">
        <v>1523.5619999999999</v>
      </c>
      <c r="AB175" s="234">
        <v>205.75880000000001</v>
      </c>
      <c r="AC175" s="234">
        <v>863.41579999999999</v>
      </c>
      <c r="AD175" s="234">
        <v>362.13979999999998</v>
      </c>
      <c r="AE175" s="234">
        <v>392.26459999999997</v>
      </c>
      <c r="AF175" s="234">
        <v>41905.64</v>
      </c>
      <c r="AG175" s="234">
        <v>9961.3060000000005</v>
      </c>
      <c r="AH175" s="234">
        <v>54796.14</v>
      </c>
      <c r="AI175" s="234">
        <v>30228.62</v>
      </c>
      <c r="AJ175" s="234">
        <v>18074.59</v>
      </c>
      <c r="AK175" s="234">
        <v>33824.660000000003</v>
      </c>
      <c r="AL175" s="234">
        <v>177385.8</v>
      </c>
      <c r="AM175" s="234">
        <v>21260.32</v>
      </c>
      <c r="AN175" s="234">
        <v>16310.68</v>
      </c>
      <c r="AO175" s="234">
        <v>59566.94</v>
      </c>
      <c r="AP175" s="234">
        <v>63022.66</v>
      </c>
      <c r="AQ175" s="234">
        <v>14252.58</v>
      </c>
      <c r="AR175" s="234">
        <v>22753.45</v>
      </c>
      <c r="AS175" s="234">
        <v>298765.8</v>
      </c>
      <c r="AT175" s="234">
        <v>275436.3</v>
      </c>
      <c r="AU175" s="234">
        <v>353314.4</v>
      </c>
      <c r="AV175" s="234">
        <v>83082.34</v>
      </c>
      <c r="AW175" s="234">
        <v>87464.12</v>
      </c>
      <c r="AX175" s="234">
        <v>9289.8709999999992</v>
      </c>
      <c r="AY175" s="234">
        <v>2293.761</v>
      </c>
      <c r="AZ175" s="234">
        <v>384150.2</v>
      </c>
      <c r="BA175" s="234">
        <v>18387.22</v>
      </c>
      <c r="BB175" s="234">
        <v>36000</v>
      </c>
      <c r="BC175" s="234">
        <v>37246</v>
      </c>
      <c r="BD175" s="234">
        <v>11124</v>
      </c>
      <c r="BE175" s="234" t="s">
        <v>1753</v>
      </c>
      <c r="BF175" s="234">
        <v>1.09169230769231</v>
      </c>
      <c r="BG175" s="234">
        <v>1</v>
      </c>
      <c r="BH175" s="234">
        <v>119200</v>
      </c>
      <c r="BI175" s="234">
        <v>1</v>
      </c>
      <c r="BJ175" s="234">
        <v>0</v>
      </c>
      <c r="BK175" s="234">
        <v>0</v>
      </c>
      <c r="BL175" s="234">
        <v>0</v>
      </c>
      <c r="BM175" s="234">
        <v>0</v>
      </c>
      <c r="BN175" s="234">
        <f>IF(ECON_OUTPUT!BE175="Other",1,0)</f>
        <v>1</v>
      </c>
    </row>
    <row r="176" spans="1:66" x14ac:dyDescent="0.25">
      <c r="A176" s="234">
        <v>175</v>
      </c>
      <c r="B176" s="234" t="s">
        <v>1759</v>
      </c>
      <c r="C176" s="234" t="s">
        <v>1352</v>
      </c>
      <c r="D176" s="234" t="s">
        <v>712</v>
      </c>
      <c r="E176" s="235">
        <v>43340</v>
      </c>
      <c r="F176" s="234" t="s">
        <v>34</v>
      </c>
      <c r="G176" s="234">
        <v>2500000</v>
      </c>
      <c r="H176" s="234">
        <v>2952000</v>
      </c>
      <c r="I176" s="234">
        <v>0.18079999999999999</v>
      </c>
      <c r="J176" s="234" t="s">
        <v>465</v>
      </c>
      <c r="K176" s="234">
        <v>3</v>
      </c>
      <c r="L176" s="234" t="s">
        <v>93</v>
      </c>
      <c r="M176" s="234">
        <v>3</v>
      </c>
      <c r="N176" s="234" t="s">
        <v>457</v>
      </c>
      <c r="O176" s="234" t="s">
        <v>1751</v>
      </c>
      <c r="P176" s="234" t="s">
        <v>1750</v>
      </c>
      <c r="Q176" s="234">
        <v>3234700</v>
      </c>
      <c r="R176" s="234">
        <v>274.4556</v>
      </c>
      <c r="S176" s="234">
        <v>285.20100000000002</v>
      </c>
      <c r="T176" s="234">
        <v>380.31369999999998</v>
      </c>
      <c r="U176" s="234">
        <v>1877.3989999999999</v>
      </c>
      <c r="V176" s="234">
        <v>2293.761</v>
      </c>
      <c r="W176" s="234">
        <v>564.44039999999995</v>
      </c>
      <c r="X176" s="234">
        <v>1213.422</v>
      </c>
      <c r="Y176" s="234">
        <v>1287.501</v>
      </c>
      <c r="Z176" s="234">
        <v>334.45319999999998</v>
      </c>
      <c r="AA176" s="234">
        <v>1523.5619999999999</v>
      </c>
      <c r="AB176" s="234">
        <v>205.75880000000001</v>
      </c>
      <c r="AC176" s="234">
        <v>863.41579999999999</v>
      </c>
      <c r="AD176" s="234">
        <v>362.13979999999998</v>
      </c>
      <c r="AE176" s="234">
        <v>392.26459999999997</v>
      </c>
      <c r="AF176" s="234">
        <v>41905.64</v>
      </c>
      <c r="AG176" s="234">
        <v>9961.3060000000005</v>
      </c>
      <c r="AH176" s="234">
        <v>54796.14</v>
      </c>
      <c r="AI176" s="234">
        <v>30228.62</v>
      </c>
      <c r="AJ176" s="234">
        <v>18074.59</v>
      </c>
      <c r="AK176" s="234">
        <v>33824.660000000003</v>
      </c>
      <c r="AL176" s="234">
        <v>177385.8</v>
      </c>
      <c r="AM176" s="234">
        <v>21260.32</v>
      </c>
      <c r="AN176" s="234">
        <v>16310.68</v>
      </c>
      <c r="AO176" s="234">
        <v>59566.94</v>
      </c>
      <c r="AP176" s="234">
        <v>63022.66</v>
      </c>
      <c r="AQ176" s="234">
        <v>14252.58</v>
      </c>
      <c r="AR176" s="234">
        <v>22753.45</v>
      </c>
      <c r="AS176" s="234">
        <v>298765.8</v>
      </c>
      <c r="AT176" s="234">
        <v>275436.3</v>
      </c>
      <c r="AU176" s="234">
        <v>353314.4</v>
      </c>
      <c r="AV176" s="234">
        <v>83082.34</v>
      </c>
      <c r="AW176" s="234">
        <v>87464.12</v>
      </c>
      <c r="AX176" s="234">
        <v>9289.8709999999992</v>
      </c>
      <c r="AY176" s="234">
        <v>2293.761</v>
      </c>
      <c r="AZ176" s="234">
        <v>384150.2</v>
      </c>
      <c r="BA176" s="234">
        <v>18387.22</v>
      </c>
      <c r="BB176" s="234">
        <v>36000</v>
      </c>
      <c r="BC176" s="234">
        <v>37246</v>
      </c>
      <c r="BD176" s="234">
        <v>11124</v>
      </c>
      <c r="BE176" s="234" t="s">
        <v>34</v>
      </c>
      <c r="BF176" s="234">
        <v>1.2938799999999999</v>
      </c>
      <c r="BG176" s="234">
        <v>3</v>
      </c>
      <c r="BH176" s="234">
        <v>734700</v>
      </c>
      <c r="BI176" s="234">
        <v>0</v>
      </c>
      <c r="BJ176" s="234">
        <v>0</v>
      </c>
      <c r="BK176" s="234">
        <v>1</v>
      </c>
      <c r="BL176" s="234">
        <v>0</v>
      </c>
      <c r="BM176" s="234">
        <v>0</v>
      </c>
      <c r="BN176" s="234">
        <f>IF(ECON_OUTPUT!BE176="Other",1,0)</f>
        <v>0</v>
      </c>
    </row>
    <row r="177" spans="1:66" x14ac:dyDescent="0.25">
      <c r="A177" s="234">
        <v>176</v>
      </c>
      <c r="B177" s="234" t="s">
        <v>1759</v>
      </c>
      <c r="C177" s="234" t="s">
        <v>1358</v>
      </c>
      <c r="D177" s="234" t="s">
        <v>1356</v>
      </c>
      <c r="E177" s="235">
        <v>43350</v>
      </c>
      <c r="F177" s="234" t="s">
        <v>34</v>
      </c>
      <c r="G177" s="234">
        <v>17920000</v>
      </c>
      <c r="H177" s="234">
        <v>21068000</v>
      </c>
      <c r="I177" s="234">
        <v>0.17566964299999999</v>
      </c>
      <c r="J177" s="234" t="s">
        <v>465</v>
      </c>
      <c r="K177" s="234">
        <v>2</v>
      </c>
      <c r="L177" s="234" t="s">
        <v>93</v>
      </c>
      <c r="M177" s="234">
        <v>3</v>
      </c>
      <c r="N177" s="234" t="s">
        <v>458</v>
      </c>
      <c r="O177" s="234" t="s">
        <v>1751</v>
      </c>
      <c r="P177" s="234" t="s">
        <v>1754</v>
      </c>
      <c r="Q177" s="234">
        <v>24477000</v>
      </c>
      <c r="R177" s="234">
        <v>274.4556</v>
      </c>
      <c r="S177" s="234">
        <v>285.20100000000002</v>
      </c>
      <c r="T177" s="234">
        <v>380.31369999999998</v>
      </c>
      <c r="U177" s="234">
        <v>1877.3989999999999</v>
      </c>
      <c r="V177" s="234">
        <v>2293.761</v>
      </c>
      <c r="W177" s="234">
        <v>564.44039999999995</v>
      </c>
      <c r="X177" s="234">
        <v>1213.422</v>
      </c>
      <c r="Y177" s="234">
        <v>1287.501</v>
      </c>
      <c r="Z177" s="234">
        <v>334.45319999999998</v>
      </c>
      <c r="AA177" s="234">
        <v>1523.5619999999999</v>
      </c>
      <c r="AB177" s="234">
        <v>205.75880000000001</v>
      </c>
      <c r="AC177" s="234">
        <v>863.41579999999999</v>
      </c>
      <c r="AD177" s="234">
        <v>362.13979999999998</v>
      </c>
      <c r="AE177" s="234">
        <v>392.26459999999997</v>
      </c>
      <c r="AF177" s="234">
        <v>41905.64</v>
      </c>
      <c r="AG177" s="234">
        <v>9961.3060000000005</v>
      </c>
      <c r="AH177" s="234">
        <v>54796.14</v>
      </c>
      <c r="AI177" s="234">
        <v>30228.62</v>
      </c>
      <c r="AJ177" s="234">
        <v>18074.59</v>
      </c>
      <c r="AK177" s="234">
        <v>33824.660000000003</v>
      </c>
      <c r="AL177" s="234">
        <v>177385.8</v>
      </c>
      <c r="AM177" s="234">
        <v>21260.32</v>
      </c>
      <c r="AN177" s="234">
        <v>16310.68</v>
      </c>
      <c r="AO177" s="234">
        <v>59566.94</v>
      </c>
      <c r="AP177" s="234">
        <v>63022.66</v>
      </c>
      <c r="AQ177" s="234">
        <v>14252.58</v>
      </c>
      <c r="AR177" s="234">
        <v>22753.45</v>
      </c>
      <c r="AS177" s="234">
        <v>298765.8</v>
      </c>
      <c r="AT177" s="234">
        <v>275436.3</v>
      </c>
      <c r="AU177" s="234">
        <v>353314.4</v>
      </c>
      <c r="AV177" s="234">
        <v>83082.34</v>
      </c>
      <c r="AW177" s="234">
        <v>87464.12</v>
      </c>
      <c r="AX177" s="234">
        <v>9289.8709999999992</v>
      </c>
      <c r="AY177" s="234">
        <v>2293.761</v>
      </c>
      <c r="AZ177" s="234">
        <v>384150.2</v>
      </c>
      <c r="BA177" s="234">
        <v>18387.22</v>
      </c>
      <c r="BB177" s="234">
        <v>36000</v>
      </c>
      <c r="BC177" s="234">
        <v>37246</v>
      </c>
      <c r="BD177" s="234">
        <v>11124</v>
      </c>
      <c r="BE177" s="234" t="s">
        <v>34</v>
      </c>
      <c r="BF177" s="234">
        <v>1.36590401785714</v>
      </c>
      <c r="BG177" s="234">
        <v>5</v>
      </c>
      <c r="BH177" s="234">
        <v>6557000</v>
      </c>
      <c r="BI177" s="234">
        <v>0</v>
      </c>
      <c r="BJ177" s="234">
        <v>0</v>
      </c>
      <c r="BK177" s="234">
        <v>0</v>
      </c>
      <c r="BL177" s="234">
        <v>0</v>
      </c>
      <c r="BM177" s="234">
        <v>1</v>
      </c>
      <c r="BN177" s="234">
        <f>IF(ECON_OUTPUT!BE177="Other",1,0)</f>
        <v>0</v>
      </c>
    </row>
    <row r="178" spans="1:66" x14ac:dyDescent="0.25">
      <c r="A178" s="234">
        <v>177</v>
      </c>
      <c r="B178" s="234" t="s">
        <v>1759</v>
      </c>
      <c r="C178" s="234" t="s">
        <v>1399</v>
      </c>
      <c r="D178" s="234" t="s">
        <v>1400</v>
      </c>
      <c r="E178" s="235">
        <v>43356</v>
      </c>
      <c r="F178" s="234" t="s">
        <v>34</v>
      </c>
      <c r="G178" s="234">
        <v>5960000</v>
      </c>
      <c r="H178" s="234">
        <v>6956000</v>
      </c>
      <c r="I178" s="234">
        <v>0.16711409399999999</v>
      </c>
      <c r="J178" s="234" t="s">
        <v>465</v>
      </c>
      <c r="K178" s="234">
        <v>4</v>
      </c>
      <c r="L178" s="234" t="s">
        <v>25</v>
      </c>
      <c r="M178" s="234">
        <v>3</v>
      </c>
      <c r="N178" s="234" t="s">
        <v>459</v>
      </c>
      <c r="O178" s="234" t="s">
        <v>1751</v>
      </c>
      <c r="P178" s="234" t="s">
        <v>1754</v>
      </c>
      <c r="Q178" s="234">
        <v>8447200</v>
      </c>
      <c r="R178" s="234">
        <v>274.4556</v>
      </c>
      <c r="S178" s="234">
        <v>285.20100000000002</v>
      </c>
      <c r="T178" s="234">
        <v>380.31369999999998</v>
      </c>
      <c r="U178" s="234">
        <v>1877.3989999999999</v>
      </c>
      <c r="V178" s="234">
        <v>2293.761</v>
      </c>
      <c r="W178" s="234">
        <v>564.44039999999995</v>
      </c>
      <c r="X178" s="234">
        <v>1213.422</v>
      </c>
      <c r="Y178" s="234">
        <v>1287.501</v>
      </c>
      <c r="Z178" s="234">
        <v>334.45319999999998</v>
      </c>
      <c r="AA178" s="234">
        <v>1523.5619999999999</v>
      </c>
      <c r="AB178" s="234">
        <v>205.75880000000001</v>
      </c>
      <c r="AC178" s="234">
        <v>863.41579999999999</v>
      </c>
      <c r="AD178" s="234">
        <v>362.13979999999998</v>
      </c>
      <c r="AE178" s="234">
        <v>392.26459999999997</v>
      </c>
      <c r="AF178" s="234">
        <v>41905.64</v>
      </c>
      <c r="AG178" s="234">
        <v>9961.3060000000005</v>
      </c>
      <c r="AH178" s="234">
        <v>54796.14</v>
      </c>
      <c r="AI178" s="234">
        <v>30228.62</v>
      </c>
      <c r="AJ178" s="234">
        <v>18074.59</v>
      </c>
      <c r="AK178" s="234">
        <v>33824.660000000003</v>
      </c>
      <c r="AL178" s="234">
        <v>177385.8</v>
      </c>
      <c r="AM178" s="234">
        <v>21260.32</v>
      </c>
      <c r="AN178" s="234">
        <v>16310.68</v>
      </c>
      <c r="AO178" s="234">
        <v>59566.94</v>
      </c>
      <c r="AP178" s="234">
        <v>63022.66</v>
      </c>
      <c r="AQ178" s="234">
        <v>14252.58</v>
      </c>
      <c r="AR178" s="234">
        <v>22753.45</v>
      </c>
      <c r="AS178" s="234">
        <v>298765.8</v>
      </c>
      <c r="AT178" s="234">
        <v>275436.3</v>
      </c>
      <c r="AU178" s="234">
        <v>353314.4</v>
      </c>
      <c r="AV178" s="234">
        <v>83082.34</v>
      </c>
      <c r="AW178" s="234">
        <v>87464.12</v>
      </c>
      <c r="AX178" s="234">
        <v>9289.8709999999992</v>
      </c>
      <c r="AY178" s="234">
        <v>2293.761</v>
      </c>
      <c r="AZ178" s="234">
        <v>384150.2</v>
      </c>
      <c r="BA178" s="234">
        <v>18387.22</v>
      </c>
      <c r="BB178" s="234">
        <v>36000</v>
      </c>
      <c r="BC178" s="234">
        <v>37246</v>
      </c>
      <c r="BD178" s="234">
        <v>11124</v>
      </c>
      <c r="BE178" s="234" t="s">
        <v>34</v>
      </c>
      <c r="BF178" s="234">
        <v>1.41731543624161</v>
      </c>
      <c r="BG178" s="234">
        <v>4</v>
      </c>
      <c r="BH178" s="234">
        <v>2487200</v>
      </c>
      <c r="BI178" s="234">
        <v>0</v>
      </c>
      <c r="BJ178" s="234">
        <v>0</v>
      </c>
      <c r="BK178" s="234">
        <v>0</v>
      </c>
      <c r="BL178" s="234">
        <v>1</v>
      </c>
      <c r="BM178" s="234">
        <v>0</v>
      </c>
      <c r="BN178" s="234">
        <f>IF(ECON_OUTPUT!BE178="Other",1,0)</f>
        <v>0</v>
      </c>
    </row>
    <row r="179" spans="1:66" x14ac:dyDescent="0.25">
      <c r="A179" s="234">
        <v>178</v>
      </c>
      <c r="B179" s="234" t="s">
        <v>1759</v>
      </c>
      <c r="C179" s="234" t="s">
        <v>1402</v>
      </c>
      <c r="D179" s="234" t="s">
        <v>1403</v>
      </c>
      <c r="E179" s="235">
        <v>43363</v>
      </c>
      <c r="F179" s="234" t="s">
        <v>1341</v>
      </c>
      <c r="G179" s="234">
        <v>1700000</v>
      </c>
      <c r="H179" s="234">
        <v>1560315</v>
      </c>
      <c r="I179" s="234">
        <v>-8.2167646999999996E-2</v>
      </c>
      <c r="J179" s="234" t="s">
        <v>464</v>
      </c>
      <c r="K179" s="234">
        <v>2</v>
      </c>
      <c r="L179" s="234" t="s">
        <v>25</v>
      </c>
      <c r="M179" s="234">
        <v>3</v>
      </c>
      <c r="N179" s="234" t="s">
        <v>459</v>
      </c>
      <c r="O179" s="234" t="s">
        <v>1751</v>
      </c>
      <c r="P179" s="234" t="s">
        <v>1754</v>
      </c>
      <c r="Q179" s="234">
        <v>3851000</v>
      </c>
      <c r="R179" s="234">
        <v>274.4556</v>
      </c>
      <c r="S179" s="234">
        <v>285.20100000000002</v>
      </c>
      <c r="T179" s="234">
        <v>380.31369999999998</v>
      </c>
      <c r="U179" s="234">
        <v>1877.3989999999999</v>
      </c>
      <c r="V179" s="234">
        <v>2293.761</v>
      </c>
      <c r="W179" s="234">
        <v>564.44039999999995</v>
      </c>
      <c r="X179" s="234">
        <v>1213.422</v>
      </c>
      <c r="Y179" s="234">
        <v>1287.501</v>
      </c>
      <c r="Z179" s="234">
        <v>334.45319999999998</v>
      </c>
      <c r="AA179" s="234">
        <v>1523.5619999999999</v>
      </c>
      <c r="AB179" s="234">
        <v>205.75880000000001</v>
      </c>
      <c r="AC179" s="234">
        <v>863.41579999999999</v>
      </c>
      <c r="AD179" s="234">
        <v>362.13979999999998</v>
      </c>
      <c r="AE179" s="234">
        <v>392.26459999999997</v>
      </c>
      <c r="AF179" s="234">
        <v>41905.64</v>
      </c>
      <c r="AG179" s="234">
        <v>9961.3060000000005</v>
      </c>
      <c r="AH179" s="234">
        <v>54796.14</v>
      </c>
      <c r="AI179" s="234">
        <v>30228.62</v>
      </c>
      <c r="AJ179" s="234">
        <v>18074.59</v>
      </c>
      <c r="AK179" s="234">
        <v>33824.660000000003</v>
      </c>
      <c r="AL179" s="234">
        <v>177385.8</v>
      </c>
      <c r="AM179" s="234">
        <v>21260.32</v>
      </c>
      <c r="AN179" s="234">
        <v>16310.68</v>
      </c>
      <c r="AO179" s="234">
        <v>59566.94</v>
      </c>
      <c r="AP179" s="234">
        <v>63022.66</v>
      </c>
      <c r="AQ179" s="234">
        <v>14252.58</v>
      </c>
      <c r="AR179" s="234">
        <v>22753.45</v>
      </c>
      <c r="AS179" s="234">
        <v>298765.8</v>
      </c>
      <c r="AT179" s="234">
        <v>275436.3</v>
      </c>
      <c r="AU179" s="234">
        <v>353314.4</v>
      </c>
      <c r="AV179" s="234">
        <v>83082.34</v>
      </c>
      <c r="AW179" s="234">
        <v>87464.12</v>
      </c>
      <c r="AX179" s="234">
        <v>9289.8709999999992</v>
      </c>
      <c r="AY179" s="234">
        <v>2293.761</v>
      </c>
      <c r="AZ179" s="234">
        <v>384150.2</v>
      </c>
      <c r="BA179" s="234">
        <v>18387.22</v>
      </c>
      <c r="BB179" s="234">
        <v>36000</v>
      </c>
      <c r="BC179" s="234">
        <v>37246</v>
      </c>
      <c r="BD179" s="234">
        <v>11124</v>
      </c>
      <c r="BE179" s="234" t="s">
        <v>1753</v>
      </c>
      <c r="BF179" s="234">
        <v>2.26529411764706</v>
      </c>
      <c r="BG179" s="234">
        <v>3</v>
      </c>
      <c r="BH179" s="234">
        <v>2151000</v>
      </c>
      <c r="BI179" s="234">
        <v>0</v>
      </c>
      <c r="BJ179" s="234">
        <v>0</v>
      </c>
      <c r="BK179" s="234">
        <v>1</v>
      </c>
      <c r="BL179" s="234">
        <v>0</v>
      </c>
      <c r="BM179" s="234">
        <v>0</v>
      </c>
      <c r="BN179" s="234">
        <f>IF(ECON_OUTPUT!BE179="Other",1,0)</f>
        <v>1</v>
      </c>
    </row>
    <row r="180" spans="1:66" x14ac:dyDescent="0.25">
      <c r="A180" s="234">
        <v>179</v>
      </c>
      <c r="B180" s="234" t="s">
        <v>1759</v>
      </c>
      <c r="C180" s="234" t="s">
        <v>1407</v>
      </c>
      <c r="D180" s="234" t="s">
        <v>1315</v>
      </c>
      <c r="E180" s="235">
        <v>43368</v>
      </c>
      <c r="F180" s="234" t="s">
        <v>34</v>
      </c>
      <c r="G180" s="234">
        <v>64356250</v>
      </c>
      <c r="H180" s="234">
        <v>51485000</v>
      </c>
      <c r="I180" s="234">
        <v>-0.2</v>
      </c>
      <c r="J180" s="234" t="s">
        <v>464</v>
      </c>
      <c r="K180" s="234">
        <v>8</v>
      </c>
      <c r="L180" s="234" t="s">
        <v>25</v>
      </c>
      <c r="M180" s="234">
        <v>3</v>
      </c>
      <c r="N180" s="234" t="s">
        <v>457</v>
      </c>
      <c r="O180" s="234" t="s">
        <v>1751</v>
      </c>
      <c r="P180" s="234" t="s">
        <v>1750</v>
      </c>
      <c r="Q180" s="234">
        <v>70400000</v>
      </c>
      <c r="R180" s="234">
        <v>274.4556</v>
      </c>
      <c r="S180" s="234">
        <v>285.20100000000002</v>
      </c>
      <c r="T180" s="234">
        <v>380.31369999999998</v>
      </c>
      <c r="U180" s="234">
        <v>1877.3989999999999</v>
      </c>
      <c r="V180" s="234">
        <v>2293.761</v>
      </c>
      <c r="W180" s="234">
        <v>564.44039999999995</v>
      </c>
      <c r="X180" s="234">
        <v>1213.422</v>
      </c>
      <c r="Y180" s="234">
        <v>1287.501</v>
      </c>
      <c r="Z180" s="234">
        <v>334.45319999999998</v>
      </c>
      <c r="AA180" s="234">
        <v>1523.5619999999999</v>
      </c>
      <c r="AB180" s="234">
        <v>205.75880000000001</v>
      </c>
      <c r="AC180" s="234">
        <v>863.41579999999999</v>
      </c>
      <c r="AD180" s="234">
        <v>362.13979999999998</v>
      </c>
      <c r="AE180" s="234">
        <v>392.26459999999997</v>
      </c>
      <c r="AF180" s="234">
        <v>41905.64</v>
      </c>
      <c r="AG180" s="234">
        <v>9961.3060000000005</v>
      </c>
      <c r="AH180" s="234">
        <v>54796.14</v>
      </c>
      <c r="AI180" s="234">
        <v>30228.62</v>
      </c>
      <c r="AJ180" s="234">
        <v>18074.59</v>
      </c>
      <c r="AK180" s="234">
        <v>33824.660000000003</v>
      </c>
      <c r="AL180" s="234">
        <v>177385.8</v>
      </c>
      <c r="AM180" s="234">
        <v>21260.32</v>
      </c>
      <c r="AN180" s="234">
        <v>16310.68</v>
      </c>
      <c r="AO180" s="234">
        <v>59566.94</v>
      </c>
      <c r="AP180" s="234">
        <v>63022.66</v>
      </c>
      <c r="AQ180" s="234">
        <v>14252.58</v>
      </c>
      <c r="AR180" s="234">
        <v>22753.45</v>
      </c>
      <c r="AS180" s="234">
        <v>298765.8</v>
      </c>
      <c r="AT180" s="234">
        <v>275436.3</v>
      </c>
      <c r="AU180" s="234">
        <v>353314.4</v>
      </c>
      <c r="AV180" s="234">
        <v>83082.34</v>
      </c>
      <c r="AW180" s="234">
        <v>87464.12</v>
      </c>
      <c r="AX180" s="234">
        <v>9289.8709999999992</v>
      </c>
      <c r="AY180" s="234">
        <v>2293.761</v>
      </c>
      <c r="AZ180" s="234">
        <v>384150.2</v>
      </c>
      <c r="BA180" s="234">
        <v>18387.22</v>
      </c>
      <c r="BB180" s="234">
        <v>36000</v>
      </c>
      <c r="BC180" s="234">
        <v>37246</v>
      </c>
      <c r="BD180" s="234">
        <v>11124</v>
      </c>
      <c r="BE180" s="234" t="s">
        <v>34</v>
      </c>
      <c r="BF180" s="234">
        <v>1.0939108478197499</v>
      </c>
      <c r="BG180" s="234">
        <v>5</v>
      </c>
      <c r="BH180" s="234">
        <v>6043750</v>
      </c>
      <c r="BI180" s="234">
        <v>0</v>
      </c>
      <c r="BJ180" s="234">
        <v>0</v>
      </c>
      <c r="BK180" s="234">
        <v>0</v>
      </c>
      <c r="BL180" s="234">
        <v>0</v>
      </c>
      <c r="BM180" s="234">
        <v>1</v>
      </c>
      <c r="BN180" s="234">
        <f>IF(ECON_OUTPUT!BE180="Other",1,0)</f>
        <v>0</v>
      </c>
    </row>
    <row r="181" spans="1:66" x14ac:dyDescent="0.25">
      <c r="A181" s="234">
        <v>180</v>
      </c>
      <c r="B181" s="234" t="s">
        <v>1759</v>
      </c>
      <c r="C181" s="234" t="s">
        <v>1405</v>
      </c>
      <c r="D181" s="234" t="s">
        <v>1406</v>
      </c>
      <c r="E181" s="235">
        <v>43368</v>
      </c>
      <c r="F181" s="234" t="s">
        <v>1341</v>
      </c>
      <c r="G181" s="234">
        <v>760000</v>
      </c>
      <c r="H181" s="234">
        <v>994150</v>
      </c>
      <c r="I181" s="234">
        <v>0.308092105</v>
      </c>
      <c r="J181" s="234" t="s">
        <v>465</v>
      </c>
      <c r="K181" s="234">
        <v>3</v>
      </c>
      <c r="L181" s="234" t="s">
        <v>25</v>
      </c>
      <c r="M181" s="234">
        <v>3</v>
      </c>
      <c r="N181" s="234" t="s">
        <v>458</v>
      </c>
      <c r="O181" s="234" t="s">
        <v>1751</v>
      </c>
      <c r="P181" s="234" t="s">
        <v>1754</v>
      </c>
      <c r="Q181" s="234">
        <v>1449000</v>
      </c>
      <c r="R181" s="234">
        <v>274.4556</v>
      </c>
      <c r="S181" s="234">
        <v>285.20100000000002</v>
      </c>
      <c r="T181" s="234">
        <v>380.31369999999998</v>
      </c>
      <c r="U181" s="234">
        <v>1877.3989999999999</v>
      </c>
      <c r="V181" s="234">
        <v>2293.761</v>
      </c>
      <c r="W181" s="234">
        <v>564.44039999999995</v>
      </c>
      <c r="X181" s="234">
        <v>1213.422</v>
      </c>
      <c r="Y181" s="234">
        <v>1287.501</v>
      </c>
      <c r="Z181" s="234">
        <v>334.45319999999998</v>
      </c>
      <c r="AA181" s="234">
        <v>1523.5619999999999</v>
      </c>
      <c r="AB181" s="234">
        <v>205.75880000000001</v>
      </c>
      <c r="AC181" s="234">
        <v>863.41579999999999</v>
      </c>
      <c r="AD181" s="234">
        <v>362.13979999999998</v>
      </c>
      <c r="AE181" s="234">
        <v>392.26459999999997</v>
      </c>
      <c r="AF181" s="234">
        <v>41905.64</v>
      </c>
      <c r="AG181" s="234">
        <v>9961.3060000000005</v>
      </c>
      <c r="AH181" s="234">
        <v>54796.14</v>
      </c>
      <c r="AI181" s="234">
        <v>30228.62</v>
      </c>
      <c r="AJ181" s="234">
        <v>18074.59</v>
      </c>
      <c r="AK181" s="234">
        <v>33824.660000000003</v>
      </c>
      <c r="AL181" s="234">
        <v>177385.8</v>
      </c>
      <c r="AM181" s="234">
        <v>21260.32</v>
      </c>
      <c r="AN181" s="234">
        <v>16310.68</v>
      </c>
      <c r="AO181" s="234">
        <v>59566.94</v>
      </c>
      <c r="AP181" s="234">
        <v>63022.66</v>
      </c>
      <c r="AQ181" s="234">
        <v>14252.58</v>
      </c>
      <c r="AR181" s="234">
        <v>22753.45</v>
      </c>
      <c r="AS181" s="234">
        <v>298765.8</v>
      </c>
      <c r="AT181" s="234">
        <v>275436.3</v>
      </c>
      <c r="AU181" s="234">
        <v>353314.4</v>
      </c>
      <c r="AV181" s="234">
        <v>83082.34</v>
      </c>
      <c r="AW181" s="234">
        <v>87464.12</v>
      </c>
      <c r="AX181" s="234">
        <v>9289.8709999999992</v>
      </c>
      <c r="AY181" s="234">
        <v>2293.761</v>
      </c>
      <c r="AZ181" s="234">
        <v>384150.2</v>
      </c>
      <c r="BA181" s="234">
        <v>18387.22</v>
      </c>
      <c r="BB181" s="234">
        <v>36000</v>
      </c>
      <c r="BC181" s="234">
        <v>37246</v>
      </c>
      <c r="BD181" s="234">
        <v>11124</v>
      </c>
      <c r="BE181" s="234" t="s">
        <v>1753</v>
      </c>
      <c r="BF181" s="234">
        <v>1.90657894736842</v>
      </c>
      <c r="BG181" s="234">
        <v>2</v>
      </c>
      <c r="BH181" s="234">
        <v>689000</v>
      </c>
      <c r="BI181" s="234">
        <v>0</v>
      </c>
      <c r="BJ181" s="234">
        <v>1</v>
      </c>
      <c r="BK181" s="234">
        <v>0</v>
      </c>
      <c r="BL181" s="234">
        <v>0</v>
      </c>
      <c r="BM181" s="234">
        <v>0</v>
      </c>
      <c r="BN181" s="234">
        <f>IF(ECON_OUTPUT!BE181="Other",1,0)</f>
        <v>1</v>
      </c>
    </row>
    <row r="182" spans="1:66" x14ac:dyDescent="0.25">
      <c r="A182" s="234">
        <v>181</v>
      </c>
      <c r="B182" s="234" t="s">
        <v>1758</v>
      </c>
      <c r="C182" s="234" t="s">
        <v>1411</v>
      </c>
      <c r="D182" s="234" t="s">
        <v>1412</v>
      </c>
      <c r="E182" s="235">
        <v>43376</v>
      </c>
      <c r="F182" s="234" t="s">
        <v>34</v>
      </c>
      <c r="G182" s="234">
        <v>21700000</v>
      </c>
      <c r="H182" s="234">
        <v>15765000</v>
      </c>
      <c r="I182" s="234">
        <v>-0.27350230399999997</v>
      </c>
      <c r="J182" s="234" t="s">
        <v>464</v>
      </c>
      <c r="K182" s="234">
        <v>5</v>
      </c>
      <c r="L182" s="234" t="s">
        <v>25</v>
      </c>
      <c r="M182" s="234">
        <v>4</v>
      </c>
      <c r="N182" s="234" t="s">
        <v>459</v>
      </c>
      <c r="O182" s="234" t="s">
        <v>1751</v>
      </c>
      <c r="P182" s="234" t="s">
        <v>1754</v>
      </c>
      <c r="Q182" s="234">
        <v>18669580</v>
      </c>
      <c r="R182" s="234">
        <v>275.13900000000001</v>
      </c>
      <c r="S182" s="234">
        <v>281.86419999999998</v>
      </c>
      <c r="T182" s="234">
        <v>382.64359999999999</v>
      </c>
      <c r="U182" s="234">
        <v>1890.489</v>
      </c>
      <c r="V182" s="234">
        <v>2298.7139999999999</v>
      </c>
      <c r="W182" s="234">
        <v>561.88670000000002</v>
      </c>
      <c r="X182" s="234">
        <v>1215.963</v>
      </c>
      <c r="Y182" s="234">
        <v>1289.338</v>
      </c>
      <c r="Z182" s="234">
        <v>335.70740000000001</v>
      </c>
      <c r="AA182" s="234">
        <v>1531.904</v>
      </c>
      <c r="AB182" s="234">
        <v>204.92359999999999</v>
      </c>
      <c r="AC182" s="234">
        <v>867.03300000000002</v>
      </c>
      <c r="AD182" s="234">
        <v>365.48610000000002</v>
      </c>
      <c r="AE182" s="234">
        <v>390.54079999999999</v>
      </c>
      <c r="AF182" s="234">
        <v>42534.86</v>
      </c>
      <c r="AG182" s="234">
        <v>9950.1810000000005</v>
      </c>
      <c r="AH182" s="234">
        <v>55185.31</v>
      </c>
      <c r="AI182" s="234">
        <v>30216.46</v>
      </c>
      <c r="AJ182" s="234">
        <v>18178</v>
      </c>
      <c r="AK182" s="234">
        <v>33886.06</v>
      </c>
      <c r="AL182" s="234">
        <v>178338.4</v>
      </c>
      <c r="AM182" s="234">
        <v>21359.68</v>
      </c>
      <c r="AN182" s="234">
        <v>16389.48</v>
      </c>
      <c r="AO182" s="234">
        <v>59990.239999999998</v>
      </c>
      <c r="AP182" s="234">
        <v>63162.84</v>
      </c>
      <c r="AQ182" s="234">
        <v>14347.17</v>
      </c>
      <c r="AR182" s="234">
        <v>22901.03</v>
      </c>
      <c r="AS182" s="234">
        <v>303687.2</v>
      </c>
      <c r="AT182" s="234">
        <v>278957.8</v>
      </c>
      <c r="AU182" s="234">
        <v>358573.3</v>
      </c>
      <c r="AV182" s="234">
        <v>83716.12</v>
      </c>
      <c r="AW182" s="234">
        <v>88505.45</v>
      </c>
      <c r="AX182" s="234">
        <v>9317.7780000000002</v>
      </c>
      <c r="AY182" s="234">
        <v>2298.7139999999999</v>
      </c>
      <c r="AZ182" s="234">
        <v>386283.9</v>
      </c>
      <c r="BA182" s="234">
        <v>18395.669999999998</v>
      </c>
      <c r="BB182" s="234">
        <v>30542</v>
      </c>
      <c r="BC182" s="234">
        <v>36000</v>
      </c>
      <c r="BD182" s="234">
        <v>11184</v>
      </c>
      <c r="BE182" s="234" t="s">
        <v>34</v>
      </c>
      <c r="BF182" s="234">
        <v>0.86034930875575999</v>
      </c>
      <c r="BG182" s="234">
        <v>5</v>
      </c>
      <c r="BH182" s="234">
        <v>-3030420</v>
      </c>
      <c r="BI182" s="234">
        <v>0</v>
      </c>
      <c r="BJ182" s="234">
        <v>0</v>
      </c>
      <c r="BK182" s="234">
        <v>0</v>
      </c>
      <c r="BL182" s="234">
        <v>0</v>
      </c>
      <c r="BM182" s="234">
        <v>1</v>
      </c>
      <c r="BN182" s="234">
        <f>IF(ECON_OUTPUT!BE182="Other",1,0)</f>
        <v>0</v>
      </c>
    </row>
    <row r="183" spans="1:66" x14ac:dyDescent="0.25">
      <c r="A183" s="234">
        <v>182</v>
      </c>
      <c r="B183" s="234" t="s">
        <v>1758</v>
      </c>
      <c r="C183" s="234" t="s">
        <v>1420</v>
      </c>
      <c r="D183" s="234" t="s">
        <v>1421</v>
      </c>
      <c r="E183" s="235">
        <v>43382</v>
      </c>
      <c r="F183" s="234" t="s">
        <v>34</v>
      </c>
      <c r="G183" s="234">
        <v>1130000</v>
      </c>
      <c r="H183" s="234">
        <v>1383700</v>
      </c>
      <c r="I183" s="234">
        <v>0.22451327400000001</v>
      </c>
      <c r="J183" s="234" t="s">
        <v>465</v>
      </c>
      <c r="K183" s="234">
        <v>4</v>
      </c>
      <c r="L183" s="234" t="s">
        <v>25</v>
      </c>
      <c r="M183" s="234">
        <v>4</v>
      </c>
      <c r="N183" s="234" t="s">
        <v>457</v>
      </c>
      <c r="O183" s="234" t="s">
        <v>1751</v>
      </c>
      <c r="P183" s="234" t="s">
        <v>1750</v>
      </c>
      <c r="Q183" s="234">
        <v>1529500</v>
      </c>
      <c r="R183" s="234">
        <v>275.13900000000001</v>
      </c>
      <c r="S183" s="234">
        <v>281.86419999999998</v>
      </c>
      <c r="T183" s="234">
        <v>382.64359999999999</v>
      </c>
      <c r="U183" s="234">
        <v>1890.489</v>
      </c>
      <c r="V183" s="234">
        <v>2298.7139999999999</v>
      </c>
      <c r="W183" s="234">
        <v>561.88670000000002</v>
      </c>
      <c r="X183" s="234">
        <v>1215.963</v>
      </c>
      <c r="Y183" s="234">
        <v>1289.338</v>
      </c>
      <c r="Z183" s="234">
        <v>335.70740000000001</v>
      </c>
      <c r="AA183" s="234">
        <v>1531.904</v>
      </c>
      <c r="AB183" s="234">
        <v>204.92359999999999</v>
      </c>
      <c r="AC183" s="234">
        <v>867.03300000000002</v>
      </c>
      <c r="AD183" s="234">
        <v>365.48610000000002</v>
      </c>
      <c r="AE183" s="234">
        <v>390.54079999999999</v>
      </c>
      <c r="AF183" s="234">
        <v>42534.86</v>
      </c>
      <c r="AG183" s="234">
        <v>9950.1810000000005</v>
      </c>
      <c r="AH183" s="234">
        <v>55185.31</v>
      </c>
      <c r="AI183" s="234">
        <v>30216.46</v>
      </c>
      <c r="AJ183" s="234">
        <v>18178</v>
      </c>
      <c r="AK183" s="234">
        <v>33886.06</v>
      </c>
      <c r="AL183" s="234">
        <v>178338.4</v>
      </c>
      <c r="AM183" s="234">
        <v>21359.68</v>
      </c>
      <c r="AN183" s="234">
        <v>16389.48</v>
      </c>
      <c r="AO183" s="234">
        <v>59990.239999999998</v>
      </c>
      <c r="AP183" s="234">
        <v>63162.84</v>
      </c>
      <c r="AQ183" s="234">
        <v>14347.17</v>
      </c>
      <c r="AR183" s="234">
        <v>22901.03</v>
      </c>
      <c r="AS183" s="234">
        <v>303687.2</v>
      </c>
      <c r="AT183" s="234">
        <v>278957.8</v>
      </c>
      <c r="AU183" s="234">
        <v>358573.3</v>
      </c>
      <c r="AV183" s="234">
        <v>83716.12</v>
      </c>
      <c r="AW183" s="234">
        <v>88505.45</v>
      </c>
      <c r="AX183" s="234">
        <v>9317.7780000000002</v>
      </c>
      <c r="AY183" s="234">
        <v>2298.7139999999999</v>
      </c>
      <c r="AZ183" s="234">
        <v>386283.9</v>
      </c>
      <c r="BA183" s="234">
        <v>18395.669999999998</v>
      </c>
      <c r="BB183" s="234">
        <v>30542</v>
      </c>
      <c r="BC183" s="234">
        <v>36000</v>
      </c>
      <c r="BD183" s="234">
        <v>11184</v>
      </c>
      <c r="BE183" s="234" t="s">
        <v>34</v>
      </c>
      <c r="BF183" s="234">
        <v>1.35353982300885</v>
      </c>
      <c r="BG183" s="234">
        <v>2</v>
      </c>
      <c r="BH183" s="234">
        <v>399500</v>
      </c>
      <c r="BI183" s="234">
        <v>0</v>
      </c>
      <c r="BJ183" s="234">
        <v>1</v>
      </c>
      <c r="BK183" s="234">
        <v>0</v>
      </c>
      <c r="BL183" s="234">
        <v>0</v>
      </c>
      <c r="BM183" s="234">
        <v>0</v>
      </c>
      <c r="BN183" s="234">
        <f>IF(ECON_OUTPUT!BE183="Other",1,0)</f>
        <v>0</v>
      </c>
    </row>
    <row r="184" spans="1:66" x14ac:dyDescent="0.25">
      <c r="A184" s="234">
        <v>183</v>
      </c>
      <c r="B184" s="234" t="s">
        <v>1758</v>
      </c>
      <c r="C184" s="234" t="s">
        <v>1424</v>
      </c>
      <c r="D184" s="234" t="s">
        <v>1426</v>
      </c>
      <c r="E184" s="235">
        <v>43389</v>
      </c>
      <c r="F184" s="234" t="s">
        <v>34</v>
      </c>
      <c r="G184" s="234">
        <v>3800000</v>
      </c>
      <c r="H184" s="234">
        <v>3781700</v>
      </c>
      <c r="I184" s="234">
        <v>-4.815789E-3</v>
      </c>
      <c r="J184" s="234" t="s">
        <v>464</v>
      </c>
      <c r="K184" s="234">
        <v>8</v>
      </c>
      <c r="L184" s="234" t="s">
        <v>93</v>
      </c>
      <c r="M184" s="234">
        <v>4</v>
      </c>
      <c r="N184" s="234" t="s">
        <v>458</v>
      </c>
      <c r="O184" s="234" t="s">
        <v>1751</v>
      </c>
      <c r="P184" s="234" t="s">
        <v>1750</v>
      </c>
      <c r="Q184" s="234">
        <v>4026180</v>
      </c>
      <c r="R184" s="234">
        <v>275.13900000000001</v>
      </c>
      <c r="S184" s="234">
        <v>281.86419999999998</v>
      </c>
      <c r="T184" s="234">
        <v>382.64359999999999</v>
      </c>
      <c r="U184" s="234">
        <v>1890.489</v>
      </c>
      <c r="V184" s="234">
        <v>2298.7139999999999</v>
      </c>
      <c r="W184" s="234">
        <v>561.88670000000002</v>
      </c>
      <c r="X184" s="234">
        <v>1215.963</v>
      </c>
      <c r="Y184" s="234">
        <v>1289.338</v>
      </c>
      <c r="Z184" s="234">
        <v>335.70740000000001</v>
      </c>
      <c r="AA184" s="234">
        <v>1531.904</v>
      </c>
      <c r="AB184" s="234">
        <v>204.92359999999999</v>
      </c>
      <c r="AC184" s="234">
        <v>867.03300000000002</v>
      </c>
      <c r="AD184" s="234">
        <v>365.48610000000002</v>
      </c>
      <c r="AE184" s="234">
        <v>390.54079999999999</v>
      </c>
      <c r="AF184" s="234">
        <v>42534.86</v>
      </c>
      <c r="AG184" s="234">
        <v>9950.1810000000005</v>
      </c>
      <c r="AH184" s="234">
        <v>55185.31</v>
      </c>
      <c r="AI184" s="234">
        <v>30216.46</v>
      </c>
      <c r="AJ184" s="234">
        <v>18178</v>
      </c>
      <c r="AK184" s="234">
        <v>33886.06</v>
      </c>
      <c r="AL184" s="234">
        <v>178338.4</v>
      </c>
      <c r="AM184" s="234">
        <v>21359.68</v>
      </c>
      <c r="AN184" s="234">
        <v>16389.48</v>
      </c>
      <c r="AO184" s="234">
        <v>59990.239999999998</v>
      </c>
      <c r="AP184" s="234">
        <v>63162.84</v>
      </c>
      <c r="AQ184" s="234">
        <v>14347.17</v>
      </c>
      <c r="AR184" s="234">
        <v>22901.03</v>
      </c>
      <c r="AS184" s="234">
        <v>303687.2</v>
      </c>
      <c r="AT184" s="234">
        <v>278957.8</v>
      </c>
      <c r="AU184" s="234">
        <v>358573.3</v>
      </c>
      <c r="AV184" s="234">
        <v>83716.12</v>
      </c>
      <c r="AW184" s="234">
        <v>88505.45</v>
      </c>
      <c r="AX184" s="234">
        <v>9317.7780000000002</v>
      </c>
      <c r="AY184" s="234">
        <v>2298.7139999999999</v>
      </c>
      <c r="AZ184" s="234">
        <v>386283.9</v>
      </c>
      <c r="BA184" s="234">
        <v>18395.669999999998</v>
      </c>
      <c r="BB184" s="234">
        <v>30542</v>
      </c>
      <c r="BC184" s="234">
        <v>36000</v>
      </c>
      <c r="BD184" s="234">
        <v>11184</v>
      </c>
      <c r="BE184" s="234" t="s">
        <v>34</v>
      </c>
      <c r="BF184" s="234">
        <v>1.0595210526315799</v>
      </c>
      <c r="BG184" s="234">
        <v>3</v>
      </c>
      <c r="BH184" s="234">
        <v>226180</v>
      </c>
      <c r="BI184" s="234">
        <v>0</v>
      </c>
      <c r="BJ184" s="234">
        <v>0</v>
      </c>
      <c r="BK184" s="234">
        <v>1</v>
      </c>
      <c r="BL184" s="234">
        <v>0</v>
      </c>
      <c r="BM184" s="234">
        <v>0</v>
      </c>
      <c r="BN184" s="234">
        <f>IF(ECON_OUTPUT!BE184="Other",1,0)</f>
        <v>0</v>
      </c>
    </row>
    <row r="185" spans="1:66" x14ac:dyDescent="0.25">
      <c r="A185" s="234">
        <v>184</v>
      </c>
      <c r="B185" s="234" t="s">
        <v>1758</v>
      </c>
      <c r="C185" s="234" t="s">
        <v>1428</v>
      </c>
      <c r="D185" s="234" t="s">
        <v>1429</v>
      </c>
      <c r="E185" s="235">
        <v>43391</v>
      </c>
      <c r="F185" s="234" t="s">
        <v>34</v>
      </c>
      <c r="G185" s="234">
        <v>7950000</v>
      </c>
      <c r="H185" s="234">
        <v>6875775</v>
      </c>
      <c r="I185" s="234">
        <v>-0.13512264199999999</v>
      </c>
      <c r="J185" s="234" t="s">
        <v>464</v>
      </c>
      <c r="K185" s="234">
        <v>2</v>
      </c>
      <c r="L185" s="234" t="s">
        <v>93</v>
      </c>
      <c r="M185" s="234">
        <v>4</v>
      </c>
      <c r="N185" s="234" t="s">
        <v>457</v>
      </c>
      <c r="O185" s="234" t="s">
        <v>1751</v>
      </c>
      <c r="P185" s="234" t="s">
        <v>1755</v>
      </c>
      <c r="Q185" s="234">
        <v>8027025</v>
      </c>
      <c r="R185" s="234">
        <v>275.13900000000001</v>
      </c>
      <c r="S185" s="234">
        <v>281.86419999999998</v>
      </c>
      <c r="T185" s="234">
        <v>382.64359999999999</v>
      </c>
      <c r="U185" s="234">
        <v>1890.489</v>
      </c>
      <c r="V185" s="234">
        <v>2298.7139999999999</v>
      </c>
      <c r="W185" s="234">
        <v>561.88670000000002</v>
      </c>
      <c r="X185" s="234">
        <v>1215.963</v>
      </c>
      <c r="Y185" s="234">
        <v>1289.338</v>
      </c>
      <c r="Z185" s="234">
        <v>335.70740000000001</v>
      </c>
      <c r="AA185" s="234">
        <v>1531.904</v>
      </c>
      <c r="AB185" s="234">
        <v>204.92359999999999</v>
      </c>
      <c r="AC185" s="234">
        <v>867.03300000000002</v>
      </c>
      <c r="AD185" s="234">
        <v>365.48610000000002</v>
      </c>
      <c r="AE185" s="234">
        <v>390.54079999999999</v>
      </c>
      <c r="AF185" s="234">
        <v>42534.86</v>
      </c>
      <c r="AG185" s="234">
        <v>9950.1810000000005</v>
      </c>
      <c r="AH185" s="234">
        <v>55185.31</v>
      </c>
      <c r="AI185" s="234">
        <v>30216.46</v>
      </c>
      <c r="AJ185" s="234">
        <v>18178</v>
      </c>
      <c r="AK185" s="234">
        <v>33886.06</v>
      </c>
      <c r="AL185" s="234">
        <v>178338.4</v>
      </c>
      <c r="AM185" s="234">
        <v>21359.68</v>
      </c>
      <c r="AN185" s="234">
        <v>16389.48</v>
      </c>
      <c r="AO185" s="234">
        <v>59990.239999999998</v>
      </c>
      <c r="AP185" s="234">
        <v>63162.84</v>
      </c>
      <c r="AQ185" s="234">
        <v>14347.17</v>
      </c>
      <c r="AR185" s="234">
        <v>22901.03</v>
      </c>
      <c r="AS185" s="234">
        <v>303687.2</v>
      </c>
      <c r="AT185" s="234">
        <v>278957.8</v>
      </c>
      <c r="AU185" s="234">
        <v>358573.3</v>
      </c>
      <c r="AV185" s="234">
        <v>83716.12</v>
      </c>
      <c r="AW185" s="234">
        <v>88505.45</v>
      </c>
      <c r="AX185" s="234">
        <v>9317.7780000000002</v>
      </c>
      <c r="AY185" s="234">
        <v>2298.7139999999999</v>
      </c>
      <c r="AZ185" s="234">
        <v>386283.9</v>
      </c>
      <c r="BA185" s="234">
        <v>18395.669999999998</v>
      </c>
      <c r="BB185" s="234">
        <v>30542</v>
      </c>
      <c r="BC185" s="234">
        <v>36000</v>
      </c>
      <c r="BD185" s="234">
        <v>11184</v>
      </c>
      <c r="BE185" s="234" t="s">
        <v>34</v>
      </c>
      <c r="BF185" s="234">
        <v>1.0096886792452799</v>
      </c>
      <c r="BG185" s="234">
        <v>4</v>
      </c>
      <c r="BH185" s="234">
        <v>77025</v>
      </c>
      <c r="BI185" s="234">
        <v>0</v>
      </c>
      <c r="BJ185" s="234">
        <v>0</v>
      </c>
      <c r="BK185" s="234">
        <v>0</v>
      </c>
      <c r="BL185" s="234">
        <v>1</v>
      </c>
      <c r="BM185" s="234">
        <v>0</v>
      </c>
      <c r="BN185" s="234">
        <f>IF(ECON_OUTPUT!BE185="Other",1,0)</f>
        <v>0</v>
      </c>
    </row>
    <row r="186" spans="1:66" x14ac:dyDescent="0.25">
      <c r="A186" s="234">
        <v>185</v>
      </c>
      <c r="B186" s="234" t="s">
        <v>1758</v>
      </c>
      <c r="C186" s="234" t="s">
        <v>1432</v>
      </c>
      <c r="D186" s="234" t="s">
        <v>1433</v>
      </c>
      <c r="E186" s="235">
        <v>43397</v>
      </c>
      <c r="F186" s="234" t="s">
        <v>34</v>
      </c>
      <c r="G186" s="234">
        <v>2971000</v>
      </c>
      <c r="H186" s="234">
        <v>2384000</v>
      </c>
      <c r="I186" s="234">
        <v>-0.197576574</v>
      </c>
      <c r="J186" s="234" t="s">
        <v>464</v>
      </c>
      <c r="K186" s="234">
        <v>2</v>
      </c>
      <c r="L186" s="234" t="s">
        <v>25</v>
      </c>
      <c r="M186" s="234">
        <v>4</v>
      </c>
      <c r="N186" s="234" t="s">
        <v>459</v>
      </c>
      <c r="O186" s="234" t="s">
        <v>1751</v>
      </c>
      <c r="P186" s="234" t="s">
        <v>1750</v>
      </c>
      <c r="Q186" s="234">
        <v>4199000</v>
      </c>
      <c r="R186" s="234">
        <v>275.13900000000001</v>
      </c>
      <c r="S186" s="234">
        <v>281.86419999999998</v>
      </c>
      <c r="T186" s="234">
        <v>382.64359999999999</v>
      </c>
      <c r="U186" s="234">
        <v>1890.489</v>
      </c>
      <c r="V186" s="234">
        <v>2298.7139999999999</v>
      </c>
      <c r="W186" s="234">
        <v>561.88670000000002</v>
      </c>
      <c r="X186" s="234">
        <v>1215.963</v>
      </c>
      <c r="Y186" s="234">
        <v>1289.338</v>
      </c>
      <c r="Z186" s="234">
        <v>335.70740000000001</v>
      </c>
      <c r="AA186" s="234">
        <v>1531.904</v>
      </c>
      <c r="AB186" s="234">
        <v>204.92359999999999</v>
      </c>
      <c r="AC186" s="234">
        <v>867.03300000000002</v>
      </c>
      <c r="AD186" s="234">
        <v>365.48610000000002</v>
      </c>
      <c r="AE186" s="234">
        <v>390.54079999999999</v>
      </c>
      <c r="AF186" s="234">
        <v>42534.86</v>
      </c>
      <c r="AG186" s="234">
        <v>9950.1810000000005</v>
      </c>
      <c r="AH186" s="234">
        <v>55185.31</v>
      </c>
      <c r="AI186" s="234">
        <v>30216.46</v>
      </c>
      <c r="AJ186" s="234">
        <v>18178</v>
      </c>
      <c r="AK186" s="234">
        <v>33886.06</v>
      </c>
      <c r="AL186" s="234">
        <v>178338.4</v>
      </c>
      <c r="AM186" s="234">
        <v>21359.68</v>
      </c>
      <c r="AN186" s="234">
        <v>16389.48</v>
      </c>
      <c r="AO186" s="234">
        <v>59990.239999999998</v>
      </c>
      <c r="AP186" s="234">
        <v>63162.84</v>
      </c>
      <c r="AQ186" s="234">
        <v>14347.17</v>
      </c>
      <c r="AR186" s="234">
        <v>22901.03</v>
      </c>
      <c r="AS186" s="234">
        <v>303687.2</v>
      </c>
      <c r="AT186" s="234">
        <v>278957.8</v>
      </c>
      <c r="AU186" s="234">
        <v>358573.3</v>
      </c>
      <c r="AV186" s="234">
        <v>83716.12</v>
      </c>
      <c r="AW186" s="234">
        <v>88505.45</v>
      </c>
      <c r="AX186" s="234">
        <v>9317.7780000000002</v>
      </c>
      <c r="AY186" s="234">
        <v>2298.7139999999999</v>
      </c>
      <c r="AZ186" s="234">
        <v>386283.9</v>
      </c>
      <c r="BA186" s="234">
        <v>18395.669999999998</v>
      </c>
      <c r="BB186" s="234">
        <v>30542</v>
      </c>
      <c r="BC186" s="234">
        <v>36000</v>
      </c>
      <c r="BD186" s="234">
        <v>11184</v>
      </c>
      <c r="BE186" s="234" t="s">
        <v>34</v>
      </c>
      <c r="BF186" s="234">
        <v>1.41332884550656</v>
      </c>
      <c r="BG186" s="234">
        <v>3</v>
      </c>
      <c r="BH186" s="234">
        <v>1228000</v>
      </c>
      <c r="BI186" s="234">
        <v>0</v>
      </c>
      <c r="BJ186" s="234">
        <v>0</v>
      </c>
      <c r="BK186" s="234">
        <v>1</v>
      </c>
      <c r="BL186" s="234">
        <v>0</v>
      </c>
      <c r="BM186" s="234">
        <v>0</v>
      </c>
      <c r="BN186" s="234">
        <f>IF(ECON_OUTPUT!BE186="Other",1,0)</f>
        <v>0</v>
      </c>
    </row>
    <row r="187" spans="1:66" x14ac:dyDescent="0.25">
      <c r="A187" s="234">
        <v>186</v>
      </c>
      <c r="B187" s="234" t="s">
        <v>1758</v>
      </c>
      <c r="C187" s="234" t="s">
        <v>1437</v>
      </c>
      <c r="D187" s="234" t="s">
        <v>1438</v>
      </c>
      <c r="E187" s="235">
        <v>43404</v>
      </c>
      <c r="F187" s="234" t="s">
        <v>34</v>
      </c>
      <c r="G187" s="234">
        <v>6500000</v>
      </c>
      <c r="H187" s="234">
        <v>4149491</v>
      </c>
      <c r="I187" s="234">
        <v>-0.361616769</v>
      </c>
      <c r="J187" s="234" t="s">
        <v>465</v>
      </c>
      <c r="K187" s="234">
        <v>8</v>
      </c>
      <c r="L187" s="234" t="s">
        <v>25</v>
      </c>
      <c r="M187" s="234">
        <v>4</v>
      </c>
      <c r="N187" s="234" t="s">
        <v>459</v>
      </c>
      <c r="O187" s="234" t="s">
        <v>1751</v>
      </c>
      <c r="P187" s="234" t="s">
        <v>1750</v>
      </c>
      <c r="Q187" s="234">
        <v>4860440</v>
      </c>
      <c r="R187" s="234">
        <v>275.13900000000001</v>
      </c>
      <c r="S187" s="234">
        <v>281.86419999999998</v>
      </c>
      <c r="T187" s="234">
        <v>382.64359999999999</v>
      </c>
      <c r="U187" s="234">
        <v>1890.489</v>
      </c>
      <c r="V187" s="234">
        <v>2298.7139999999999</v>
      </c>
      <c r="W187" s="234">
        <v>561.88670000000002</v>
      </c>
      <c r="X187" s="234">
        <v>1215.963</v>
      </c>
      <c r="Y187" s="234">
        <v>1289.338</v>
      </c>
      <c r="Z187" s="234">
        <v>335.70740000000001</v>
      </c>
      <c r="AA187" s="234">
        <v>1531.904</v>
      </c>
      <c r="AB187" s="234">
        <v>204.92359999999999</v>
      </c>
      <c r="AC187" s="234">
        <v>867.03300000000002</v>
      </c>
      <c r="AD187" s="234">
        <v>365.48610000000002</v>
      </c>
      <c r="AE187" s="234">
        <v>390.54079999999999</v>
      </c>
      <c r="AF187" s="234">
        <v>42534.86</v>
      </c>
      <c r="AG187" s="234">
        <v>9950.1810000000005</v>
      </c>
      <c r="AH187" s="234">
        <v>55185.31</v>
      </c>
      <c r="AI187" s="234">
        <v>30216.46</v>
      </c>
      <c r="AJ187" s="234">
        <v>18178</v>
      </c>
      <c r="AK187" s="234">
        <v>33886.06</v>
      </c>
      <c r="AL187" s="234">
        <v>178338.4</v>
      </c>
      <c r="AM187" s="234">
        <v>21359.68</v>
      </c>
      <c r="AN187" s="234">
        <v>16389.48</v>
      </c>
      <c r="AO187" s="234">
        <v>59990.239999999998</v>
      </c>
      <c r="AP187" s="234">
        <v>63162.84</v>
      </c>
      <c r="AQ187" s="234">
        <v>14347.17</v>
      </c>
      <c r="AR187" s="234">
        <v>22901.03</v>
      </c>
      <c r="AS187" s="234">
        <v>303687.2</v>
      </c>
      <c r="AT187" s="234">
        <v>278957.8</v>
      </c>
      <c r="AU187" s="234">
        <v>358573.3</v>
      </c>
      <c r="AV187" s="234">
        <v>83716.12</v>
      </c>
      <c r="AW187" s="234">
        <v>88505.45</v>
      </c>
      <c r="AX187" s="234">
        <v>9317.7780000000002</v>
      </c>
      <c r="AY187" s="234">
        <v>2298.7139999999999</v>
      </c>
      <c r="AZ187" s="234">
        <v>386283.9</v>
      </c>
      <c r="BA187" s="234">
        <v>18395.669999999998</v>
      </c>
      <c r="BB187" s="234">
        <v>30542</v>
      </c>
      <c r="BC187" s="234">
        <v>36000</v>
      </c>
      <c r="BD187" s="234">
        <v>11184</v>
      </c>
      <c r="BE187" s="234" t="s">
        <v>34</v>
      </c>
      <c r="BF187" s="234">
        <v>0.74775999999999998</v>
      </c>
      <c r="BG187" s="234">
        <v>4</v>
      </c>
      <c r="BH187" s="234">
        <v>-1639560</v>
      </c>
      <c r="BI187" s="234">
        <v>0</v>
      </c>
      <c r="BJ187" s="234">
        <v>0</v>
      </c>
      <c r="BK187" s="234">
        <v>0</v>
      </c>
      <c r="BL187" s="234">
        <v>1</v>
      </c>
      <c r="BM187" s="234">
        <v>0</v>
      </c>
      <c r="BN187" s="234">
        <f>IF(ECON_OUTPUT!BE187="Other",1,0)</f>
        <v>0</v>
      </c>
    </row>
    <row r="188" spans="1:66" x14ac:dyDescent="0.25">
      <c r="A188" s="234">
        <v>187</v>
      </c>
      <c r="B188" s="234" t="s">
        <v>1758</v>
      </c>
      <c r="C188" s="234" t="s">
        <v>1441</v>
      </c>
      <c r="D188" s="234" t="s">
        <v>1442</v>
      </c>
      <c r="E188" s="235">
        <v>43405</v>
      </c>
      <c r="F188" s="234" t="s">
        <v>34</v>
      </c>
      <c r="G188" s="234">
        <v>9650000</v>
      </c>
      <c r="H188" s="234">
        <v>9200000</v>
      </c>
      <c r="I188" s="234">
        <v>-4.6632123999999997E-2</v>
      </c>
      <c r="J188" s="234" t="s">
        <v>464</v>
      </c>
      <c r="K188" s="234">
        <v>1</v>
      </c>
      <c r="L188" s="234" t="s">
        <v>25</v>
      </c>
      <c r="M188" s="234">
        <v>4</v>
      </c>
      <c r="N188" s="234" t="s">
        <v>459</v>
      </c>
      <c r="O188" s="234" t="s">
        <v>1751</v>
      </c>
      <c r="P188" s="234" t="s">
        <v>1754</v>
      </c>
      <c r="Q188" s="234">
        <v>9200000</v>
      </c>
      <c r="R188" s="234">
        <v>275.13900000000001</v>
      </c>
      <c r="S188" s="234">
        <v>281.86419999999998</v>
      </c>
      <c r="T188" s="234">
        <v>382.64359999999999</v>
      </c>
      <c r="U188" s="234">
        <v>1890.489</v>
      </c>
      <c r="V188" s="234">
        <v>2298.7139999999999</v>
      </c>
      <c r="W188" s="234">
        <v>561.88670000000002</v>
      </c>
      <c r="X188" s="234">
        <v>1215.963</v>
      </c>
      <c r="Y188" s="234">
        <v>1289.338</v>
      </c>
      <c r="Z188" s="234">
        <v>335.70740000000001</v>
      </c>
      <c r="AA188" s="234">
        <v>1531.904</v>
      </c>
      <c r="AB188" s="234">
        <v>204.92359999999999</v>
      </c>
      <c r="AC188" s="234">
        <v>867.03300000000002</v>
      </c>
      <c r="AD188" s="234">
        <v>365.48610000000002</v>
      </c>
      <c r="AE188" s="234">
        <v>390.54079999999999</v>
      </c>
      <c r="AF188" s="234">
        <v>42534.86</v>
      </c>
      <c r="AG188" s="234">
        <v>9950.1810000000005</v>
      </c>
      <c r="AH188" s="234">
        <v>55185.31</v>
      </c>
      <c r="AI188" s="234">
        <v>30216.46</v>
      </c>
      <c r="AJ188" s="234">
        <v>18178</v>
      </c>
      <c r="AK188" s="234">
        <v>33886.06</v>
      </c>
      <c r="AL188" s="234">
        <v>178338.4</v>
      </c>
      <c r="AM188" s="234">
        <v>21359.68</v>
      </c>
      <c r="AN188" s="234">
        <v>16389.48</v>
      </c>
      <c r="AO188" s="234">
        <v>59990.239999999998</v>
      </c>
      <c r="AP188" s="234">
        <v>63162.84</v>
      </c>
      <c r="AQ188" s="234">
        <v>14347.17</v>
      </c>
      <c r="AR188" s="234">
        <v>22901.03</v>
      </c>
      <c r="AS188" s="234">
        <v>303687.2</v>
      </c>
      <c r="AT188" s="234">
        <v>278957.8</v>
      </c>
      <c r="AU188" s="234">
        <v>358573.3</v>
      </c>
      <c r="AV188" s="234">
        <v>83716.12</v>
      </c>
      <c r="AW188" s="234">
        <v>88505.45</v>
      </c>
      <c r="AX188" s="234">
        <v>9317.7780000000002</v>
      </c>
      <c r="AY188" s="234">
        <v>2298.7139999999999</v>
      </c>
      <c r="AZ188" s="234">
        <v>386283.9</v>
      </c>
      <c r="BA188" s="234">
        <v>18395.669999999998</v>
      </c>
      <c r="BB188" s="234">
        <v>30542</v>
      </c>
      <c r="BC188" s="234">
        <v>36000</v>
      </c>
      <c r="BD188" s="234">
        <v>11184</v>
      </c>
      <c r="BE188" s="234" t="s">
        <v>34</v>
      </c>
      <c r="BF188" s="234">
        <v>0.95336787564766801</v>
      </c>
      <c r="BG188" s="234">
        <v>4</v>
      </c>
      <c r="BH188" s="234">
        <v>-450000</v>
      </c>
      <c r="BI188" s="234">
        <v>0</v>
      </c>
      <c r="BJ188" s="234">
        <v>0</v>
      </c>
      <c r="BK188" s="234">
        <v>0</v>
      </c>
      <c r="BL188" s="234">
        <v>1</v>
      </c>
      <c r="BM188" s="234">
        <v>0</v>
      </c>
      <c r="BN188" s="234">
        <f>IF(ECON_OUTPUT!BE188="Other",1,0)</f>
        <v>0</v>
      </c>
    </row>
    <row r="189" spans="1:66" x14ac:dyDescent="0.25">
      <c r="A189" s="234">
        <v>188</v>
      </c>
      <c r="B189" s="234" t="s">
        <v>1758</v>
      </c>
      <c r="C189" s="234" t="s">
        <v>1443</v>
      </c>
      <c r="D189" s="234" t="s">
        <v>1444</v>
      </c>
      <c r="E189" s="235">
        <v>43410</v>
      </c>
      <c r="F189" s="234" t="s">
        <v>1341</v>
      </c>
      <c r="G189" s="234">
        <v>2215000</v>
      </c>
      <c r="H189" s="234">
        <v>1984098</v>
      </c>
      <c r="I189" s="234">
        <v>-0.104244695</v>
      </c>
      <c r="J189" s="234" t="s">
        <v>464</v>
      </c>
      <c r="K189" s="234">
        <v>4</v>
      </c>
      <c r="L189" s="234" t="s">
        <v>93</v>
      </c>
      <c r="M189" s="234">
        <v>4</v>
      </c>
      <c r="N189" s="234" t="s">
        <v>457</v>
      </c>
      <c r="O189" s="234" t="s">
        <v>1751</v>
      </c>
      <c r="P189" s="234" t="s">
        <v>1754</v>
      </c>
      <c r="Q189" s="234">
        <v>2311622</v>
      </c>
      <c r="R189" s="234">
        <v>275.13900000000001</v>
      </c>
      <c r="S189" s="234">
        <v>281.86419999999998</v>
      </c>
      <c r="T189" s="234">
        <v>382.64359999999999</v>
      </c>
      <c r="U189" s="234">
        <v>1890.489</v>
      </c>
      <c r="V189" s="234">
        <v>2298.7139999999999</v>
      </c>
      <c r="W189" s="234">
        <v>561.88670000000002</v>
      </c>
      <c r="X189" s="234">
        <v>1215.963</v>
      </c>
      <c r="Y189" s="234">
        <v>1289.338</v>
      </c>
      <c r="Z189" s="234">
        <v>335.70740000000001</v>
      </c>
      <c r="AA189" s="234">
        <v>1531.904</v>
      </c>
      <c r="AB189" s="234">
        <v>204.92359999999999</v>
      </c>
      <c r="AC189" s="234">
        <v>867.03300000000002</v>
      </c>
      <c r="AD189" s="234">
        <v>365.48610000000002</v>
      </c>
      <c r="AE189" s="234">
        <v>390.54079999999999</v>
      </c>
      <c r="AF189" s="234">
        <v>42534.86</v>
      </c>
      <c r="AG189" s="234">
        <v>9950.1810000000005</v>
      </c>
      <c r="AH189" s="234">
        <v>55185.31</v>
      </c>
      <c r="AI189" s="234">
        <v>30216.46</v>
      </c>
      <c r="AJ189" s="234">
        <v>18178</v>
      </c>
      <c r="AK189" s="234">
        <v>33886.06</v>
      </c>
      <c r="AL189" s="234">
        <v>178338.4</v>
      </c>
      <c r="AM189" s="234">
        <v>21359.68</v>
      </c>
      <c r="AN189" s="234">
        <v>16389.48</v>
      </c>
      <c r="AO189" s="234">
        <v>59990.239999999998</v>
      </c>
      <c r="AP189" s="234">
        <v>63162.84</v>
      </c>
      <c r="AQ189" s="234">
        <v>14347.17</v>
      </c>
      <c r="AR189" s="234">
        <v>22901.03</v>
      </c>
      <c r="AS189" s="234">
        <v>303687.2</v>
      </c>
      <c r="AT189" s="234">
        <v>278957.8</v>
      </c>
      <c r="AU189" s="234">
        <v>358573.3</v>
      </c>
      <c r="AV189" s="234">
        <v>83716.12</v>
      </c>
      <c r="AW189" s="234">
        <v>88505.45</v>
      </c>
      <c r="AX189" s="234">
        <v>9317.7780000000002</v>
      </c>
      <c r="AY189" s="234">
        <v>2298.7139999999999</v>
      </c>
      <c r="AZ189" s="234">
        <v>386283.9</v>
      </c>
      <c r="BA189" s="234">
        <v>18395.669999999998</v>
      </c>
      <c r="BB189" s="234">
        <v>30542</v>
      </c>
      <c r="BC189" s="234">
        <v>36000</v>
      </c>
      <c r="BD189" s="234">
        <v>11184</v>
      </c>
      <c r="BE189" s="234" t="s">
        <v>1753</v>
      </c>
      <c r="BF189" s="234">
        <v>1.0436216704288901</v>
      </c>
      <c r="BG189" s="234">
        <v>2</v>
      </c>
      <c r="BH189" s="234">
        <v>96622</v>
      </c>
      <c r="BI189" s="234">
        <v>0</v>
      </c>
      <c r="BJ189" s="234">
        <v>1</v>
      </c>
      <c r="BK189" s="234">
        <v>0</v>
      </c>
      <c r="BL189" s="234">
        <v>0</v>
      </c>
      <c r="BM189" s="234">
        <v>0</v>
      </c>
      <c r="BN189" s="234">
        <f>IF(ECON_OUTPUT!BE189="Other",1,0)</f>
        <v>1</v>
      </c>
    </row>
    <row r="190" spans="1:66" x14ac:dyDescent="0.25">
      <c r="A190" s="234">
        <v>189</v>
      </c>
      <c r="B190" s="234" t="s">
        <v>1758</v>
      </c>
      <c r="C190" s="234" t="s">
        <v>1453</v>
      </c>
      <c r="D190" s="234" t="s">
        <v>1454</v>
      </c>
      <c r="E190" s="235">
        <v>43412</v>
      </c>
      <c r="F190" s="234" t="s">
        <v>34</v>
      </c>
      <c r="G190" s="234">
        <v>784000</v>
      </c>
      <c r="H190" s="234">
        <v>968530</v>
      </c>
      <c r="I190" s="234">
        <v>0.23536989799999999</v>
      </c>
      <c r="J190" s="234" t="s">
        <v>465</v>
      </c>
      <c r="K190" s="234">
        <v>3</v>
      </c>
      <c r="L190" s="234" t="s">
        <v>93</v>
      </c>
      <c r="M190" s="234">
        <v>4</v>
      </c>
      <c r="N190" s="234" t="s">
        <v>458</v>
      </c>
      <c r="O190" s="234" t="s">
        <v>1751</v>
      </c>
      <c r="P190" s="234" t="s">
        <v>1750</v>
      </c>
      <c r="Q190" s="234">
        <v>970600</v>
      </c>
      <c r="R190" s="234">
        <v>275.13900000000001</v>
      </c>
      <c r="S190" s="234">
        <v>281.86419999999998</v>
      </c>
      <c r="T190" s="234">
        <v>382.64359999999999</v>
      </c>
      <c r="U190" s="234">
        <v>1890.489</v>
      </c>
      <c r="V190" s="234">
        <v>2298.7139999999999</v>
      </c>
      <c r="W190" s="234">
        <v>561.88670000000002</v>
      </c>
      <c r="X190" s="234">
        <v>1215.963</v>
      </c>
      <c r="Y190" s="234">
        <v>1289.338</v>
      </c>
      <c r="Z190" s="234">
        <v>335.70740000000001</v>
      </c>
      <c r="AA190" s="234">
        <v>1531.904</v>
      </c>
      <c r="AB190" s="234">
        <v>204.92359999999999</v>
      </c>
      <c r="AC190" s="234">
        <v>867.03300000000002</v>
      </c>
      <c r="AD190" s="234">
        <v>365.48610000000002</v>
      </c>
      <c r="AE190" s="234">
        <v>390.54079999999999</v>
      </c>
      <c r="AF190" s="234">
        <v>42534.86</v>
      </c>
      <c r="AG190" s="234">
        <v>9950.1810000000005</v>
      </c>
      <c r="AH190" s="234">
        <v>55185.31</v>
      </c>
      <c r="AI190" s="234">
        <v>30216.46</v>
      </c>
      <c r="AJ190" s="234">
        <v>18178</v>
      </c>
      <c r="AK190" s="234">
        <v>33886.06</v>
      </c>
      <c r="AL190" s="234">
        <v>178338.4</v>
      </c>
      <c r="AM190" s="234">
        <v>21359.68</v>
      </c>
      <c r="AN190" s="234">
        <v>16389.48</v>
      </c>
      <c r="AO190" s="234">
        <v>59990.239999999998</v>
      </c>
      <c r="AP190" s="234">
        <v>63162.84</v>
      </c>
      <c r="AQ190" s="234">
        <v>14347.17</v>
      </c>
      <c r="AR190" s="234">
        <v>22901.03</v>
      </c>
      <c r="AS190" s="234">
        <v>303687.2</v>
      </c>
      <c r="AT190" s="234">
        <v>278957.8</v>
      </c>
      <c r="AU190" s="234">
        <v>358573.3</v>
      </c>
      <c r="AV190" s="234">
        <v>83716.12</v>
      </c>
      <c r="AW190" s="234">
        <v>88505.45</v>
      </c>
      <c r="AX190" s="234">
        <v>9317.7780000000002</v>
      </c>
      <c r="AY190" s="234">
        <v>2298.7139999999999</v>
      </c>
      <c r="AZ190" s="234">
        <v>386283.9</v>
      </c>
      <c r="BA190" s="234">
        <v>18395.669999999998</v>
      </c>
      <c r="BB190" s="234">
        <v>30542</v>
      </c>
      <c r="BC190" s="234">
        <v>36000</v>
      </c>
      <c r="BD190" s="234">
        <v>11184</v>
      </c>
      <c r="BE190" s="234" t="s">
        <v>34</v>
      </c>
      <c r="BF190" s="234">
        <v>1.2380102040816301</v>
      </c>
      <c r="BG190" s="234">
        <v>1</v>
      </c>
      <c r="BH190" s="234">
        <v>186600</v>
      </c>
      <c r="BI190" s="234">
        <v>1</v>
      </c>
      <c r="BJ190" s="234">
        <v>0</v>
      </c>
      <c r="BK190" s="234">
        <v>0</v>
      </c>
      <c r="BL190" s="234">
        <v>0</v>
      </c>
      <c r="BM190" s="234">
        <v>0</v>
      </c>
      <c r="BN190" s="234">
        <f>IF(ECON_OUTPUT!BE190="Other",1,0)</f>
        <v>0</v>
      </c>
    </row>
    <row r="191" spans="1:66" x14ac:dyDescent="0.25">
      <c r="A191" s="234">
        <v>190</v>
      </c>
      <c r="B191" s="234" t="s">
        <v>1758</v>
      </c>
      <c r="C191" s="234" t="s">
        <v>1449</v>
      </c>
      <c r="D191" s="234" t="s">
        <v>1450</v>
      </c>
      <c r="E191" s="235">
        <v>43412</v>
      </c>
      <c r="F191" s="234" t="s">
        <v>34</v>
      </c>
      <c r="G191" s="234">
        <v>9720000</v>
      </c>
      <c r="H191" s="234">
        <v>7666000</v>
      </c>
      <c r="I191" s="234">
        <v>-0.21131687199999999</v>
      </c>
      <c r="J191" s="234" t="s">
        <v>465</v>
      </c>
      <c r="K191" s="234">
        <v>4</v>
      </c>
      <c r="L191" s="234" t="s">
        <v>226</v>
      </c>
      <c r="M191" s="234">
        <v>4</v>
      </c>
      <c r="N191" s="234" t="s">
        <v>459</v>
      </c>
      <c r="O191" s="234" t="s">
        <v>1751</v>
      </c>
      <c r="P191" s="234" t="s">
        <v>1754</v>
      </c>
      <c r="Q191" s="234">
        <v>8195000</v>
      </c>
      <c r="R191" s="234">
        <v>275.13900000000001</v>
      </c>
      <c r="S191" s="234">
        <v>281.86419999999998</v>
      </c>
      <c r="T191" s="234">
        <v>382.64359999999999</v>
      </c>
      <c r="U191" s="234">
        <v>1890.489</v>
      </c>
      <c r="V191" s="234">
        <v>2298.7139999999999</v>
      </c>
      <c r="W191" s="234">
        <v>561.88670000000002</v>
      </c>
      <c r="X191" s="234">
        <v>1215.963</v>
      </c>
      <c r="Y191" s="234">
        <v>1289.338</v>
      </c>
      <c r="Z191" s="234">
        <v>335.70740000000001</v>
      </c>
      <c r="AA191" s="234">
        <v>1531.904</v>
      </c>
      <c r="AB191" s="234">
        <v>204.92359999999999</v>
      </c>
      <c r="AC191" s="234">
        <v>867.03300000000002</v>
      </c>
      <c r="AD191" s="234">
        <v>365.48610000000002</v>
      </c>
      <c r="AE191" s="234">
        <v>390.54079999999999</v>
      </c>
      <c r="AF191" s="234">
        <v>42534.86</v>
      </c>
      <c r="AG191" s="234">
        <v>9950.1810000000005</v>
      </c>
      <c r="AH191" s="234">
        <v>55185.31</v>
      </c>
      <c r="AI191" s="234">
        <v>30216.46</v>
      </c>
      <c r="AJ191" s="234">
        <v>18178</v>
      </c>
      <c r="AK191" s="234">
        <v>33886.06</v>
      </c>
      <c r="AL191" s="234">
        <v>178338.4</v>
      </c>
      <c r="AM191" s="234">
        <v>21359.68</v>
      </c>
      <c r="AN191" s="234">
        <v>16389.48</v>
      </c>
      <c r="AO191" s="234">
        <v>59990.239999999998</v>
      </c>
      <c r="AP191" s="234">
        <v>63162.84</v>
      </c>
      <c r="AQ191" s="234">
        <v>14347.17</v>
      </c>
      <c r="AR191" s="234">
        <v>22901.03</v>
      </c>
      <c r="AS191" s="234">
        <v>303687.2</v>
      </c>
      <c r="AT191" s="234">
        <v>278957.8</v>
      </c>
      <c r="AU191" s="234">
        <v>358573.3</v>
      </c>
      <c r="AV191" s="234">
        <v>83716.12</v>
      </c>
      <c r="AW191" s="234">
        <v>88505.45</v>
      </c>
      <c r="AX191" s="234">
        <v>9317.7780000000002</v>
      </c>
      <c r="AY191" s="234">
        <v>2298.7139999999999</v>
      </c>
      <c r="AZ191" s="234">
        <v>386283.9</v>
      </c>
      <c r="BA191" s="234">
        <v>18395.669999999998</v>
      </c>
      <c r="BB191" s="234">
        <v>30542</v>
      </c>
      <c r="BC191" s="234">
        <v>36000</v>
      </c>
      <c r="BD191" s="234">
        <v>11184</v>
      </c>
      <c r="BE191" s="234" t="s">
        <v>34</v>
      </c>
      <c r="BF191" s="234">
        <v>0.843106995884774</v>
      </c>
      <c r="BG191" s="234">
        <v>4</v>
      </c>
      <c r="BH191" s="234">
        <v>-1525000</v>
      </c>
      <c r="BI191" s="234">
        <v>0</v>
      </c>
      <c r="BJ191" s="234">
        <v>0</v>
      </c>
      <c r="BK191" s="234">
        <v>0</v>
      </c>
      <c r="BL191" s="234">
        <v>1</v>
      </c>
      <c r="BM191" s="234">
        <v>0</v>
      </c>
      <c r="BN191" s="234">
        <f>IF(ECON_OUTPUT!BE191="Other",1,0)</f>
        <v>0</v>
      </c>
    </row>
    <row r="192" spans="1:66" x14ac:dyDescent="0.25">
      <c r="A192" s="234">
        <v>191</v>
      </c>
      <c r="B192" s="234" t="s">
        <v>1758</v>
      </c>
      <c r="C192" s="234" t="s">
        <v>1455</v>
      </c>
      <c r="D192" s="234" t="s">
        <v>1456</v>
      </c>
      <c r="E192" s="235">
        <v>43413</v>
      </c>
      <c r="F192" s="234" t="s">
        <v>34</v>
      </c>
      <c r="G192" s="234">
        <v>186355200</v>
      </c>
      <c r="H192" s="234">
        <v>152100000</v>
      </c>
      <c r="I192" s="234">
        <v>-0.18381671099999999</v>
      </c>
      <c r="J192" s="234" t="s">
        <v>465</v>
      </c>
      <c r="K192" s="234">
        <v>3</v>
      </c>
      <c r="L192" s="234" t="s">
        <v>93</v>
      </c>
      <c r="M192" s="234">
        <v>4</v>
      </c>
      <c r="N192" s="234" t="s">
        <v>458</v>
      </c>
      <c r="O192" s="234" t="s">
        <v>1751</v>
      </c>
      <c r="P192" s="234" t="s">
        <v>1755</v>
      </c>
      <c r="Q192" s="234">
        <v>155330252</v>
      </c>
      <c r="R192" s="234">
        <v>275.13900000000001</v>
      </c>
      <c r="S192" s="234">
        <v>281.86419999999998</v>
      </c>
      <c r="T192" s="234">
        <v>382.64359999999999</v>
      </c>
      <c r="U192" s="234">
        <v>1890.489</v>
      </c>
      <c r="V192" s="234">
        <v>2298.7139999999999</v>
      </c>
      <c r="W192" s="234">
        <v>561.88670000000002</v>
      </c>
      <c r="X192" s="234">
        <v>1215.963</v>
      </c>
      <c r="Y192" s="234">
        <v>1289.338</v>
      </c>
      <c r="Z192" s="234">
        <v>335.70740000000001</v>
      </c>
      <c r="AA192" s="234">
        <v>1531.904</v>
      </c>
      <c r="AB192" s="234">
        <v>204.92359999999999</v>
      </c>
      <c r="AC192" s="234">
        <v>867.03300000000002</v>
      </c>
      <c r="AD192" s="234">
        <v>365.48610000000002</v>
      </c>
      <c r="AE192" s="234">
        <v>390.54079999999999</v>
      </c>
      <c r="AF192" s="234">
        <v>42534.86</v>
      </c>
      <c r="AG192" s="234">
        <v>9950.1810000000005</v>
      </c>
      <c r="AH192" s="234">
        <v>55185.31</v>
      </c>
      <c r="AI192" s="234">
        <v>30216.46</v>
      </c>
      <c r="AJ192" s="234">
        <v>18178</v>
      </c>
      <c r="AK192" s="234">
        <v>33886.06</v>
      </c>
      <c r="AL192" s="234">
        <v>178338.4</v>
      </c>
      <c r="AM192" s="234">
        <v>21359.68</v>
      </c>
      <c r="AN192" s="234">
        <v>16389.48</v>
      </c>
      <c r="AO192" s="234">
        <v>59990.239999999998</v>
      </c>
      <c r="AP192" s="234">
        <v>63162.84</v>
      </c>
      <c r="AQ192" s="234">
        <v>14347.17</v>
      </c>
      <c r="AR192" s="234">
        <v>22901.03</v>
      </c>
      <c r="AS192" s="234">
        <v>303687.2</v>
      </c>
      <c r="AT192" s="234">
        <v>278957.8</v>
      </c>
      <c r="AU192" s="234">
        <v>358573.3</v>
      </c>
      <c r="AV192" s="234">
        <v>83716.12</v>
      </c>
      <c r="AW192" s="234">
        <v>88505.45</v>
      </c>
      <c r="AX192" s="234">
        <v>9317.7780000000002</v>
      </c>
      <c r="AY192" s="234">
        <v>2298.7139999999999</v>
      </c>
      <c r="AZ192" s="234">
        <v>386283.9</v>
      </c>
      <c r="BA192" s="234">
        <v>18395.669999999998</v>
      </c>
      <c r="BB192" s="234">
        <v>30542</v>
      </c>
      <c r="BC192" s="234">
        <v>36000</v>
      </c>
      <c r="BD192" s="234">
        <v>11184</v>
      </c>
      <c r="BE192" s="234" t="s">
        <v>34</v>
      </c>
      <c r="BF192" s="234">
        <v>0.833517132873137</v>
      </c>
      <c r="BG192" s="234">
        <v>5</v>
      </c>
      <c r="BH192" s="234">
        <v>-31024948</v>
      </c>
      <c r="BI192" s="234">
        <v>0</v>
      </c>
      <c r="BJ192" s="234">
        <v>0</v>
      </c>
      <c r="BK192" s="234">
        <v>0</v>
      </c>
      <c r="BL192" s="234">
        <v>0</v>
      </c>
      <c r="BM192" s="234">
        <v>1</v>
      </c>
      <c r="BN192" s="234">
        <f>IF(ECON_OUTPUT!BE192="Other",1,0)</f>
        <v>0</v>
      </c>
    </row>
    <row r="193" spans="1:66" x14ac:dyDescent="0.25">
      <c r="A193" s="234">
        <v>192</v>
      </c>
      <c r="B193" s="234" t="s">
        <v>1758</v>
      </c>
      <c r="C193" s="234" t="s">
        <v>1459</v>
      </c>
      <c r="D193" s="234" t="s">
        <v>1460</v>
      </c>
      <c r="E193" s="235">
        <v>43419</v>
      </c>
      <c r="F193" s="234" t="s">
        <v>34</v>
      </c>
      <c r="G193" s="234">
        <v>12570000</v>
      </c>
      <c r="H193" s="234">
        <v>9714000</v>
      </c>
      <c r="I193" s="234">
        <v>-0.22720763699999999</v>
      </c>
      <c r="J193" s="234" t="s">
        <v>465</v>
      </c>
      <c r="K193" s="234">
        <v>4</v>
      </c>
      <c r="L193" s="234" t="s">
        <v>25</v>
      </c>
      <c r="M193" s="234">
        <v>4</v>
      </c>
      <c r="N193" s="234" t="s">
        <v>458</v>
      </c>
      <c r="O193" s="234" t="s">
        <v>1751</v>
      </c>
      <c r="P193" s="234" t="s">
        <v>1750</v>
      </c>
      <c r="Q193" s="234">
        <v>9820000</v>
      </c>
      <c r="R193" s="234">
        <v>275.13900000000001</v>
      </c>
      <c r="S193" s="234">
        <v>281.86419999999998</v>
      </c>
      <c r="T193" s="234">
        <v>382.64359999999999</v>
      </c>
      <c r="U193" s="234">
        <v>1890.489</v>
      </c>
      <c r="V193" s="234">
        <v>2298.7139999999999</v>
      </c>
      <c r="W193" s="234">
        <v>561.88670000000002</v>
      </c>
      <c r="X193" s="234">
        <v>1215.963</v>
      </c>
      <c r="Y193" s="234">
        <v>1289.338</v>
      </c>
      <c r="Z193" s="234">
        <v>335.70740000000001</v>
      </c>
      <c r="AA193" s="234">
        <v>1531.904</v>
      </c>
      <c r="AB193" s="234">
        <v>204.92359999999999</v>
      </c>
      <c r="AC193" s="234">
        <v>867.03300000000002</v>
      </c>
      <c r="AD193" s="234">
        <v>365.48610000000002</v>
      </c>
      <c r="AE193" s="234">
        <v>390.54079999999999</v>
      </c>
      <c r="AF193" s="234">
        <v>42534.86</v>
      </c>
      <c r="AG193" s="234">
        <v>9950.1810000000005</v>
      </c>
      <c r="AH193" s="234">
        <v>55185.31</v>
      </c>
      <c r="AI193" s="234">
        <v>30216.46</v>
      </c>
      <c r="AJ193" s="234">
        <v>18178</v>
      </c>
      <c r="AK193" s="234">
        <v>33886.06</v>
      </c>
      <c r="AL193" s="234">
        <v>178338.4</v>
      </c>
      <c r="AM193" s="234">
        <v>21359.68</v>
      </c>
      <c r="AN193" s="234">
        <v>16389.48</v>
      </c>
      <c r="AO193" s="234">
        <v>59990.239999999998</v>
      </c>
      <c r="AP193" s="234">
        <v>63162.84</v>
      </c>
      <c r="AQ193" s="234">
        <v>14347.17</v>
      </c>
      <c r="AR193" s="234">
        <v>22901.03</v>
      </c>
      <c r="AS193" s="234">
        <v>303687.2</v>
      </c>
      <c r="AT193" s="234">
        <v>278957.8</v>
      </c>
      <c r="AU193" s="234">
        <v>358573.3</v>
      </c>
      <c r="AV193" s="234">
        <v>83716.12</v>
      </c>
      <c r="AW193" s="234">
        <v>88505.45</v>
      </c>
      <c r="AX193" s="234">
        <v>9317.7780000000002</v>
      </c>
      <c r="AY193" s="234">
        <v>2298.7139999999999</v>
      </c>
      <c r="AZ193" s="234">
        <v>386283.9</v>
      </c>
      <c r="BA193" s="234">
        <v>18395.669999999998</v>
      </c>
      <c r="BB193" s="234">
        <v>30542</v>
      </c>
      <c r="BC193" s="234">
        <v>36000</v>
      </c>
      <c r="BD193" s="234">
        <v>11184</v>
      </c>
      <c r="BE193" s="234" t="s">
        <v>34</v>
      </c>
      <c r="BF193" s="234">
        <v>0.78122513922036596</v>
      </c>
      <c r="BG193" s="234">
        <v>4</v>
      </c>
      <c r="BH193" s="234">
        <v>-2750000</v>
      </c>
      <c r="BI193" s="234">
        <v>0</v>
      </c>
      <c r="BJ193" s="234">
        <v>0</v>
      </c>
      <c r="BK193" s="234">
        <v>0</v>
      </c>
      <c r="BL193" s="234">
        <v>1</v>
      </c>
      <c r="BM193" s="234">
        <v>0</v>
      </c>
      <c r="BN193" s="234">
        <f>IF(ECON_OUTPUT!BE193="Other",1,0)</f>
        <v>0</v>
      </c>
    </row>
    <row r="194" spans="1:66" x14ac:dyDescent="0.25">
      <c r="A194" s="234">
        <v>193</v>
      </c>
      <c r="B194" s="234" t="s">
        <v>1758</v>
      </c>
      <c r="C194" s="234" t="s">
        <v>1462</v>
      </c>
      <c r="D194" s="234" t="s">
        <v>1464</v>
      </c>
      <c r="E194" s="235">
        <v>43433</v>
      </c>
      <c r="F194" s="234" t="s">
        <v>1341</v>
      </c>
      <c r="G194" s="234">
        <v>287000</v>
      </c>
      <c r="H194" s="234">
        <v>369034</v>
      </c>
      <c r="I194" s="234">
        <v>0.28583275299999999</v>
      </c>
      <c r="J194" s="234" t="s">
        <v>465</v>
      </c>
      <c r="K194" s="234">
        <v>5</v>
      </c>
      <c r="L194" s="234" t="s">
        <v>93</v>
      </c>
      <c r="M194" s="234">
        <v>4</v>
      </c>
      <c r="N194" s="234" t="s">
        <v>458</v>
      </c>
      <c r="O194" s="234" t="s">
        <v>1751</v>
      </c>
      <c r="P194" s="234" t="s">
        <v>1750</v>
      </c>
      <c r="Q194" s="234">
        <v>398950</v>
      </c>
      <c r="R194" s="234">
        <v>275.13900000000001</v>
      </c>
      <c r="S194" s="234">
        <v>281.86419999999998</v>
      </c>
      <c r="T194" s="234">
        <v>382.64359999999999</v>
      </c>
      <c r="U194" s="234">
        <v>1890.489</v>
      </c>
      <c r="V194" s="234">
        <v>2298.7139999999999</v>
      </c>
      <c r="W194" s="234">
        <v>561.88670000000002</v>
      </c>
      <c r="X194" s="234">
        <v>1215.963</v>
      </c>
      <c r="Y194" s="234">
        <v>1289.338</v>
      </c>
      <c r="Z194" s="234">
        <v>335.70740000000001</v>
      </c>
      <c r="AA194" s="234">
        <v>1531.904</v>
      </c>
      <c r="AB194" s="234">
        <v>204.92359999999999</v>
      </c>
      <c r="AC194" s="234">
        <v>867.03300000000002</v>
      </c>
      <c r="AD194" s="234">
        <v>365.48610000000002</v>
      </c>
      <c r="AE194" s="234">
        <v>390.54079999999999</v>
      </c>
      <c r="AF194" s="234">
        <v>42534.86</v>
      </c>
      <c r="AG194" s="234">
        <v>9950.1810000000005</v>
      </c>
      <c r="AH194" s="234">
        <v>55185.31</v>
      </c>
      <c r="AI194" s="234">
        <v>30216.46</v>
      </c>
      <c r="AJ194" s="234">
        <v>18178</v>
      </c>
      <c r="AK194" s="234">
        <v>33886.06</v>
      </c>
      <c r="AL194" s="234">
        <v>178338.4</v>
      </c>
      <c r="AM194" s="234">
        <v>21359.68</v>
      </c>
      <c r="AN194" s="234">
        <v>16389.48</v>
      </c>
      <c r="AO194" s="234">
        <v>59990.239999999998</v>
      </c>
      <c r="AP194" s="234">
        <v>63162.84</v>
      </c>
      <c r="AQ194" s="234">
        <v>14347.17</v>
      </c>
      <c r="AR194" s="234">
        <v>22901.03</v>
      </c>
      <c r="AS194" s="234">
        <v>303687.2</v>
      </c>
      <c r="AT194" s="234">
        <v>278957.8</v>
      </c>
      <c r="AU194" s="234">
        <v>358573.3</v>
      </c>
      <c r="AV194" s="234">
        <v>83716.12</v>
      </c>
      <c r="AW194" s="234">
        <v>88505.45</v>
      </c>
      <c r="AX194" s="234">
        <v>9317.7780000000002</v>
      </c>
      <c r="AY194" s="234">
        <v>2298.7139999999999</v>
      </c>
      <c r="AZ194" s="234">
        <v>386283.9</v>
      </c>
      <c r="BA194" s="234">
        <v>18395.669999999998</v>
      </c>
      <c r="BB194" s="234">
        <v>30542</v>
      </c>
      <c r="BC194" s="234">
        <v>36000</v>
      </c>
      <c r="BD194" s="234">
        <v>11184</v>
      </c>
      <c r="BE194" s="234" t="s">
        <v>1753</v>
      </c>
      <c r="BF194" s="234">
        <v>1.3900696864111499</v>
      </c>
      <c r="BG194" s="234">
        <v>1</v>
      </c>
      <c r="BH194" s="234">
        <v>111950</v>
      </c>
      <c r="BI194" s="234">
        <v>1</v>
      </c>
      <c r="BJ194" s="234">
        <v>0</v>
      </c>
      <c r="BK194" s="234">
        <v>0</v>
      </c>
      <c r="BL194" s="234">
        <v>0</v>
      </c>
      <c r="BM194" s="234">
        <v>0</v>
      </c>
      <c r="BN194" s="234">
        <f>IF(ECON_OUTPUT!BE194="Other",1,0)</f>
        <v>1</v>
      </c>
    </row>
    <row r="195" spans="1:66" x14ac:dyDescent="0.25">
      <c r="A195" s="234">
        <v>194</v>
      </c>
      <c r="B195" s="234" t="s">
        <v>1758</v>
      </c>
      <c r="C195" s="234" t="s">
        <v>1468</v>
      </c>
      <c r="D195" s="234" t="s">
        <v>1469</v>
      </c>
      <c r="E195" s="235">
        <v>43438</v>
      </c>
      <c r="F195" s="234" t="s">
        <v>34</v>
      </c>
      <c r="G195" s="234">
        <v>122920000</v>
      </c>
      <c r="H195" s="234">
        <v>119769038</v>
      </c>
      <c r="I195" s="234">
        <v>-2.5634250000000001E-2</v>
      </c>
      <c r="J195" s="234" t="s">
        <v>464</v>
      </c>
      <c r="K195" s="234">
        <v>2</v>
      </c>
      <c r="L195" s="234" t="s">
        <v>25</v>
      </c>
      <c r="M195" s="234">
        <v>4</v>
      </c>
      <c r="N195" s="234" t="s">
        <v>458</v>
      </c>
      <c r="O195" s="234" t="s">
        <v>1751</v>
      </c>
      <c r="P195" s="234" t="s">
        <v>1750</v>
      </c>
      <c r="Q195" s="234">
        <v>124507320</v>
      </c>
      <c r="R195" s="234">
        <v>275.13900000000001</v>
      </c>
      <c r="S195" s="234">
        <v>281.86419999999998</v>
      </c>
      <c r="T195" s="234">
        <v>382.64359999999999</v>
      </c>
      <c r="U195" s="234">
        <v>1890.489</v>
      </c>
      <c r="V195" s="234">
        <v>2298.7139999999999</v>
      </c>
      <c r="W195" s="234">
        <v>561.88670000000002</v>
      </c>
      <c r="X195" s="234">
        <v>1215.963</v>
      </c>
      <c r="Y195" s="234">
        <v>1289.338</v>
      </c>
      <c r="Z195" s="234">
        <v>335.70740000000001</v>
      </c>
      <c r="AA195" s="234">
        <v>1531.904</v>
      </c>
      <c r="AB195" s="234">
        <v>204.92359999999999</v>
      </c>
      <c r="AC195" s="234">
        <v>867.03300000000002</v>
      </c>
      <c r="AD195" s="234">
        <v>365.48610000000002</v>
      </c>
      <c r="AE195" s="234">
        <v>390.54079999999999</v>
      </c>
      <c r="AF195" s="234">
        <v>42534.86</v>
      </c>
      <c r="AG195" s="234">
        <v>9950.1810000000005</v>
      </c>
      <c r="AH195" s="234">
        <v>55185.31</v>
      </c>
      <c r="AI195" s="234">
        <v>30216.46</v>
      </c>
      <c r="AJ195" s="234">
        <v>18178</v>
      </c>
      <c r="AK195" s="234">
        <v>33886.06</v>
      </c>
      <c r="AL195" s="234">
        <v>178338.4</v>
      </c>
      <c r="AM195" s="234">
        <v>21359.68</v>
      </c>
      <c r="AN195" s="234">
        <v>16389.48</v>
      </c>
      <c r="AO195" s="234">
        <v>59990.239999999998</v>
      </c>
      <c r="AP195" s="234">
        <v>63162.84</v>
      </c>
      <c r="AQ195" s="234">
        <v>14347.17</v>
      </c>
      <c r="AR195" s="234">
        <v>22901.03</v>
      </c>
      <c r="AS195" s="234">
        <v>303687.2</v>
      </c>
      <c r="AT195" s="234">
        <v>278957.8</v>
      </c>
      <c r="AU195" s="234">
        <v>358573.3</v>
      </c>
      <c r="AV195" s="234">
        <v>83716.12</v>
      </c>
      <c r="AW195" s="234">
        <v>88505.45</v>
      </c>
      <c r="AX195" s="234">
        <v>9317.7780000000002</v>
      </c>
      <c r="AY195" s="234">
        <v>2298.7139999999999</v>
      </c>
      <c r="AZ195" s="234">
        <v>386283.9</v>
      </c>
      <c r="BA195" s="234">
        <v>18395.669999999998</v>
      </c>
      <c r="BB195" s="234">
        <v>30542</v>
      </c>
      <c r="BC195" s="234">
        <v>36000</v>
      </c>
      <c r="BD195" s="234">
        <v>11184</v>
      </c>
      <c r="BE195" s="234" t="s">
        <v>34</v>
      </c>
      <c r="BF195" s="234">
        <v>1.0129134396355399</v>
      </c>
      <c r="BG195" s="234">
        <v>5</v>
      </c>
      <c r="BH195" s="234">
        <v>1587320</v>
      </c>
      <c r="BI195" s="234">
        <v>0</v>
      </c>
      <c r="BJ195" s="234">
        <v>0</v>
      </c>
      <c r="BK195" s="234">
        <v>0</v>
      </c>
      <c r="BL195" s="234">
        <v>0</v>
      </c>
      <c r="BM195" s="234">
        <v>1</v>
      </c>
      <c r="BN195" s="234">
        <f>IF(ECON_OUTPUT!BE195="Other",1,0)</f>
        <v>0</v>
      </c>
    </row>
    <row r="196" spans="1:66" x14ac:dyDescent="0.25">
      <c r="A196" s="234">
        <v>195</v>
      </c>
      <c r="B196" s="234" t="s">
        <v>1758</v>
      </c>
      <c r="C196" s="234" t="s">
        <v>1465</v>
      </c>
      <c r="D196" s="234" t="s">
        <v>1466</v>
      </c>
      <c r="E196" s="235">
        <v>43438</v>
      </c>
      <c r="F196" s="234" t="s">
        <v>1341</v>
      </c>
      <c r="G196" s="234">
        <v>448000</v>
      </c>
      <c r="H196" s="234">
        <v>432222</v>
      </c>
      <c r="I196" s="234">
        <v>-3.521875E-2</v>
      </c>
      <c r="J196" s="234" t="s">
        <v>464</v>
      </c>
      <c r="K196" s="234">
        <v>6</v>
      </c>
      <c r="L196" s="234" t="s">
        <v>93</v>
      </c>
      <c r="M196" s="234">
        <v>4</v>
      </c>
      <c r="N196" s="234" t="s">
        <v>458</v>
      </c>
      <c r="O196" s="234" t="s">
        <v>1751</v>
      </c>
      <c r="P196" s="234" t="s">
        <v>1750</v>
      </c>
      <c r="Q196" s="234">
        <v>512625</v>
      </c>
      <c r="R196" s="234">
        <v>275.13900000000001</v>
      </c>
      <c r="S196" s="234">
        <v>281.86419999999998</v>
      </c>
      <c r="T196" s="234">
        <v>382.64359999999999</v>
      </c>
      <c r="U196" s="234">
        <v>1890.489</v>
      </c>
      <c r="V196" s="234">
        <v>2298.7139999999999</v>
      </c>
      <c r="W196" s="234">
        <v>561.88670000000002</v>
      </c>
      <c r="X196" s="234">
        <v>1215.963</v>
      </c>
      <c r="Y196" s="234">
        <v>1289.338</v>
      </c>
      <c r="Z196" s="234">
        <v>335.70740000000001</v>
      </c>
      <c r="AA196" s="234">
        <v>1531.904</v>
      </c>
      <c r="AB196" s="234">
        <v>204.92359999999999</v>
      </c>
      <c r="AC196" s="234">
        <v>867.03300000000002</v>
      </c>
      <c r="AD196" s="234">
        <v>365.48610000000002</v>
      </c>
      <c r="AE196" s="234">
        <v>390.54079999999999</v>
      </c>
      <c r="AF196" s="234">
        <v>42534.86</v>
      </c>
      <c r="AG196" s="234">
        <v>9950.1810000000005</v>
      </c>
      <c r="AH196" s="234">
        <v>55185.31</v>
      </c>
      <c r="AI196" s="234">
        <v>30216.46</v>
      </c>
      <c r="AJ196" s="234">
        <v>18178</v>
      </c>
      <c r="AK196" s="234">
        <v>33886.06</v>
      </c>
      <c r="AL196" s="234">
        <v>178338.4</v>
      </c>
      <c r="AM196" s="234">
        <v>21359.68</v>
      </c>
      <c r="AN196" s="234">
        <v>16389.48</v>
      </c>
      <c r="AO196" s="234">
        <v>59990.239999999998</v>
      </c>
      <c r="AP196" s="234">
        <v>63162.84</v>
      </c>
      <c r="AQ196" s="234">
        <v>14347.17</v>
      </c>
      <c r="AR196" s="234">
        <v>22901.03</v>
      </c>
      <c r="AS196" s="234">
        <v>303687.2</v>
      </c>
      <c r="AT196" s="234">
        <v>278957.8</v>
      </c>
      <c r="AU196" s="234">
        <v>358573.3</v>
      </c>
      <c r="AV196" s="234">
        <v>83716.12</v>
      </c>
      <c r="AW196" s="234">
        <v>88505.45</v>
      </c>
      <c r="AX196" s="234">
        <v>9317.7780000000002</v>
      </c>
      <c r="AY196" s="234">
        <v>2298.7139999999999</v>
      </c>
      <c r="AZ196" s="234">
        <v>386283.9</v>
      </c>
      <c r="BA196" s="234">
        <v>18395.669999999998</v>
      </c>
      <c r="BB196" s="234">
        <v>30542</v>
      </c>
      <c r="BC196" s="234">
        <v>36000</v>
      </c>
      <c r="BD196" s="234">
        <v>11184</v>
      </c>
      <c r="BE196" s="234" t="s">
        <v>1753</v>
      </c>
      <c r="BF196" s="234">
        <v>1.1442522321428601</v>
      </c>
      <c r="BG196" s="234">
        <v>1</v>
      </c>
      <c r="BH196" s="234">
        <v>64625</v>
      </c>
      <c r="BI196" s="234">
        <v>1</v>
      </c>
      <c r="BJ196" s="234">
        <v>0</v>
      </c>
      <c r="BK196" s="234">
        <v>0</v>
      </c>
      <c r="BL196" s="234">
        <v>0</v>
      </c>
      <c r="BM196" s="234">
        <v>0</v>
      </c>
      <c r="BN196" s="234">
        <f>IF(ECON_OUTPUT!BE196="Other",1,0)</f>
        <v>1</v>
      </c>
    </row>
    <row r="197" spans="1:66" x14ac:dyDescent="0.25">
      <c r="A197" s="234">
        <v>196</v>
      </c>
      <c r="B197" s="234" t="s">
        <v>1758</v>
      </c>
      <c r="C197" s="234" t="s">
        <v>1470</v>
      </c>
      <c r="D197" s="234" t="s">
        <v>1471</v>
      </c>
      <c r="E197" s="235">
        <v>43440</v>
      </c>
      <c r="F197" s="234" t="s">
        <v>1341</v>
      </c>
      <c r="G197" s="234">
        <v>1500000</v>
      </c>
      <c r="H197" s="234">
        <v>2546000</v>
      </c>
      <c r="I197" s="234">
        <v>0.697333333</v>
      </c>
      <c r="J197" s="234" t="s">
        <v>465</v>
      </c>
      <c r="K197" s="234">
        <v>3</v>
      </c>
      <c r="L197" s="234" t="s">
        <v>25</v>
      </c>
      <c r="M197" s="234">
        <v>4</v>
      </c>
      <c r="N197" s="234" t="s">
        <v>459</v>
      </c>
      <c r="O197" s="234" t="s">
        <v>1751</v>
      </c>
      <c r="P197" s="234" t="s">
        <v>1754</v>
      </c>
      <c r="Q197" s="234">
        <v>4300000</v>
      </c>
      <c r="R197" s="234">
        <v>275.13900000000001</v>
      </c>
      <c r="S197" s="234">
        <v>281.86419999999998</v>
      </c>
      <c r="T197" s="234">
        <v>382.64359999999999</v>
      </c>
      <c r="U197" s="234">
        <v>1890.489</v>
      </c>
      <c r="V197" s="234">
        <v>2298.7139999999999</v>
      </c>
      <c r="W197" s="234">
        <v>561.88670000000002</v>
      </c>
      <c r="X197" s="234">
        <v>1215.963</v>
      </c>
      <c r="Y197" s="234">
        <v>1289.338</v>
      </c>
      <c r="Z197" s="234">
        <v>335.70740000000001</v>
      </c>
      <c r="AA197" s="234">
        <v>1531.904</v>
      </c>
      <c r="AB197" s="234">
        <v>204.92359999999999</v>
      </c>
      <c r="AC197" s="234">
        <v>867.03300000000002</v>
      </c>
      <c r="AD197" s="234">
        <v>365.48610000000002</v>
      </c>
      <c r="AE197" s="234">
        <v>390.54079999999999</v>
      </c>
      <c r="AF197" s="234">
        <v>42534.86</v>
      </c>
      <c r="AG197" s="234">
        <v>9950.1810000000005</v>
      </c>
      <c r="AH197" s="234">
        <v>55185.31</v>
      </c>
      <c r="AI197" s="234">
        <v>30216.46</v>
      </c>
      <c r="AJ197" s="234">
        <v>18178</v>
      </c>
      <c r="AK197" s="234">
        <v>33886.06</v>
      </c>
      <c r="AL197" s="234">
        <v>178338.4</v>
      </c>
      <c r="AM197" s="234">
        <v>21359.68</v>
      </c>
      <c r="AN197" s="234">
        <v>16389.48</v>
      </c>
      <c r="AO197" s="234">
        <v>59990.239999999998</v>
      </c>
      <c r="AP197" s="234">
        <v>63162.84</v>
      </c>
      <c r="AQ197" s="234">
        <v>14347.17</v>
      </c>
      <c r="AR197" s="234">
        <v>22901.03</v>
      </c>
      <c r="AS197" s="234">
        <v>303687.2</v>
      </c>
      <c r="AT197" s="234">
        <v>278957.8</v>
      </c>
      <c r="AU197" s="234">
        <v>358573.3</v>
      </c>
      <c r="AV197" s="234">
        <v>83716.12</v>
      </c>
      <c r="AW197" s="234">
        <v>88505.45</v>
      </c>
      <c r="AX197" s="234">
        <v>9317.7780000000002</v>
      </c>
      <c r="AY197" s="234">
        <v>2298.7139999999999</v>
      </c>
      <c r="AZ197" s="234">
        <v>386283.9</v>
      </c>
      <c r="BA197" s="234">
        <v>18395.669999999998</v>
      </c>
      <c r="BB197" s="234">
        <v>30542</v>
      </c>
      <c r="BC197" s="234">
        <v>36000</v>
      </c>
      <c r="BD197" s="234">
        <v>11184</v>
      </c>
      <c r="BE197" s="234" t="s">
        <v>1753</v>
      </c>
      <c r="BF197" s="234">
        <v>2.8666666666666698</v>
      </c>
      <c r="BG197" s="234">
        <v>3</v>
      </c>
      <c r="BH197" s="234">
        <v>2800000</v>
      </c>
      <c r="BI197" s="234">
        <v>0</v>
      </c>
      <c r="BJ197" s="234">
        <v>0</v>
      </c>
      <c r="BK197" s="234">
        <v>1</v>
      </c>
      <c r="BL197" s="234">
        <v>0</v>
      </c>
      <c r="BM197" s="234">
        <v>0</v>
      </c>
      <c r="BN197" s="234">
        <f>IF(ECON_OUTPUT!BE197="Other",1,0)</f>
        <v>1</v>
      </c>
    </row>
    <row r="198" spans="1:66" x14ac:dyDescent="0.25">
      <c r="A198" s="234">
        <v>197</v>
      </c>
      <c r="B198" s="234" t="s">
        <v>1758</v>
      </c>
      <c r="C198" s="234" t="s">
        <v>1474</v>
      </c>
      <c r="D198" s="234" t="s">
        <v>1475</v>
      </c>
      <c r="E198" s="235">
        <v>43441</v>
      </c>
      <c r="F198" s="234" t="s">
        <v>34</v>
      </c>
      <c r="G198" s="234">
        <v>5000000</v>
      </c>
      <c r="H198" s="234">
        <v>4380000</v>
      </c>
      <c r="I198" s="234">
        <v>-0.124</v>
      </c>
      <c r="J198" s="234" t="s">
        <v>464</v>
      </c>
      <c r="K198" s="234">
        <v>4</v>
      </c>
      <c r="L198" s="234" t="s">
        <v>25</v>
      </c>
      <c r="M198" s="234">
        <v>4</v>
      </c>
      <c r="N198" s="234" t="s">
        <v>459</v>
      </c>
      <c r="O198" s="234" t="s">
        <v>1751</v>
      </c>
      <c r="P198" s="234" t="s">
        <v>1755</v>
      </c>
      <c r="Q198" s="234">
        <v>5145491</v>
      </c>
      <c r="R198" s="234">
        <v>275.13900000000001</v>
      </c>
      <c r="S198" s="234">
        <v>281.86419999999998</v>
      </c>
      <c r="T198" s="234">
        <v>382.64359999999999</v>
      </c>
      <c r="U198" s="234">
        <v>1890.489</v>
      </c>
      <c r="V198" s="234">
        <v>2298.7139999999999</v>
      </c>
      <c r="W198" s="234">
        <v>561.88670000000002</v>
      </c>
      <c r="X198" s="234">
        <v>1215.963</v>
      </c>
      <c r="Y198" s="234">
        <v>1289.338</v>
      </c>
      <c r="Z198" s="234">
        <v>335.70740000000001</v>
      </c>
      <c r="AA198" s="234">
        <v>1531.904</v>
      </c>
      <c r="AB198" s="234">
        <v>204.92359999999999</v>
      </c>
      <c r="AC198" s="234">
        <v>867.03300000000002</v>
      </c>
      <c r="AD198" s="234">
        <v>365.48610000000002</v>
      </c>
      <c r="AE198" s="234">
        <v>390.54079999999999</v>
      </c>
      <c r="AF198" s="234">
        <v>42534.86</v>
      </c>
      <c r="AG198" s="234">
        <v>9950.1810000000005</v>
      </c>
      <c r="AH198" s="234">
        <v>55185.31</v>
      </c>
      <c r="AI198" s="234">
        <v>30216.46</v>
      </c>
      <c r="AJ198" s="234">
        <v>18178</v>
      </c>
      <c r="AK198" s="234">
        <v>33886.06</v>
      </c>
      <c r="AL198" s="234">
        <v>178338.4</v>
      </c>
      <c r="AM198" s="234">
        <v>21359.68</v>
      </c>
      <c r="AN198" s="234">
        <v>16389.48</v>
      </c>
      <c r="AO198" s="234">
        <v>59990.239999999998</v>
      </c>
      <c r="AP198" s="234">
        <v>63162.84</v>
      </c>
      <c r="AQ198" s="234">
        <v>14347.17</v>
      </c>
      <c r="AR198" s="234">
        <v>22901.03</v>
      </c>
      <c r="AS198" s="234">
        <v>303687.2</v>
      </c>
      <c r="AT198" s="234">
        <v>278957.8</v>
      </c>
      <c r="AU198" s="234">
        <v>358573.3</v>
      </c>
      <c r="AV198" s="234">
        <v>83716.12</v>
      </c>
      <c r="AW198" s="234">
        <v>88505.45</v>
      </c>
      <c r="AX198" s="234">
        <v>9317.7780000000002</v>
      </c>
      <c r="AY198" s="234">
        <v>2298.7139999999999</v>
      </c>
      <c r="AZ198" s="234">
        <v>386283.9</v>
      </c>
      <c r="BA198" s="234">
        <v>18395.669999999998</v>
      </c>
      <c r="BB198" s="234">
        <v>30542</v>
      </c>
      <c r="BC198" s="234">
        <v>36000</v>
      </c>
      <c r="BD198" s="234">
        <v>11184</v>
      </c>
      <c r="BE198" s="234" t="s">
        <v>34</v>
      </c>
      <c r="BF198" s="234">
        <v>1.0290982</v>
      </c>
      <c r="BG198" s="234">
        <v>4</v>
      </c>
      <c r="BH198" s="234">
        <v>145491</v>
      </c>
      <c r="BI198" s="234">
        <v>0</v>
      </c>
      <c r="BJ198" s="234">
        <v>0</v>
      </c>
      <c r="BK198" s="234">
        <v>0</v>
      </c>
      <c r="BL198" s="234">
        <v>1</v>
      </c>
      <c r="BM198" s="234">
        <v>0</v>
      </c>
      <c r="BN198" s="234">
        <f>IF(ECON_OUTPUT!BE198="Other",1,0)</f>
        <v>0</v>
      </c>
    </row>
    <row r="199" spans="1:66" x14ac:dyDescent="0.25">
      <c r="A199" s="234">
        <v>198</v>
      </c>
      <c r="B199" s="234" t="s">
        <v>1758</v>
      </c>
      <c r="C199" s="234" t="s">
        <v>1476</v>
      </c>
      <c r="D199" s="234" t="s">
        <v>1477</v>
      </c>
      <c r="E199" s="235">
        <v>43452</v>
      </c>
      <c r="F199" s="234" t="s">
        <v>34</v>
      </c>
      <c r="G199" s="234">
        <v>10250000</v>
      </c>
      <c r="H199" s="234">
        <v>8275000</v>
      </c>
      <c r="I199" s="234">
        <v>-0.192682927</v>
      </c>
      <c r="J199" s="234" t="s">
        <v>465</v>
      </c>
      <c r="K199" s="234">
        <v>3</v>
      </c>
      <c r="L199" s="234" t="s">
        <v>25</v>
      </c>
      <c r="M199" s="234">
        <v>4</v>
      </c>
      <c r="N199" s="234" t="s">
        <v>458</v>
      </c>
      <c r="O199" s="234" t="s">
        <v>1751</v>
      </c>
      <c r="P199" s="234" t="s">
        <v>1755</v>
      </c>
      <c r="Q199" s="234">
        <v>9111636</v>
      </c>
      <c r="R199" s="234">
        <v>275.13900000000001</v>
      </c>
      <c r="S199" s="234">
        <v>281.86419999999998</v>
      </c>
      <c r="T199" s="234">
        <v>382.64359999999999</v>
      </c>
      <c r="U199" s="234">
        <v>1890.489</v>
      </c>
      <c r="V199" s="234">
        <v>2298.7139999999999</v>
      </c>
      <c r="W199" s="234">
        <v>561.88670000000002</v>
      </c>
      <c r="X199" s="234">
        <v>1215.963</v>
      </c>
      <c r="Y199" s="234">
        <v>1289.338</v>
      </c>
      <c r="Z199" s="234">
        <v>335.70740000000001</v>
      </c>
      <c r="AA199" s="234">
        <v>1531.904</v>
      </c>
      <c r="AB199" s="234">
        <v>204.92359999999999</v>
      </c>
      <c r="AC199" s="234">
        <v>867.03300000000002</v>
      </c>
      <c r="AD199" s="234">
        <v>365.48610000000002</v>
      </c>
      <c r="AE199" s="234">
        <v>390.54079999999999</v>
      </c>
      <c r="AF199" s="234">
        <v>42534.86</v>
      </c>
      <c r="AG199" s="234">
        <v>9950.1810000000005</v>
      </c>
      <c r="AH199" s="234">
        <v>55185.31</v>
      </c>
      <c r="AI199" s="234">
        <v>30216.46</v>
      </c>
      <c r="AJ199" s="234">
        <v>18178</v>
      </c>
      <c r="AK199" s="234">
        <v>33886.06</v>
      </c>
      <c r="AL199" s="234">
        <v>178338.4</v>
      </c>
      <c r="AM199" s="234">
        <v>21359.68</v>
      </c>
      <c r="AN199" s="234">
        <v>16389.48</v>
      </c>
      <c r="AO199" s="234">
        <v>59990.239999999998</v>
      </c>
      <c r="AP199" s="234">
        <v>63162.84</v>
      </c>
      <c r="AQ199" s="234">
        <v>14347.17</v>
      </c>
      <c r="AR199" s="234">
        <v>22901.03</v>
      </c>
      <c r="AS199" s="234">
        <v>303687.2</v>
      </c>
      <c r="AT199" s="234">
        <v>278957.8</v>
      </c>
      <c r="AU199" s="234">
        <v>358573.3</v>
      </c>
      <c r="AV199" s="234">
        <v>83716.12</v>
      </c>
      <c r="AW199" s="234">
        <v>88505.45</v>
      </c>
      <c r="AX199" s="234">
        <v>9317.7780000000002</v>
      </c>
      <c r="AY199" s="234">
        <v>2298.7139999999999</v>
      </c>
      <c r="AZ199" s="234">
        <v>386283.9</v>
      </c>
      <c r="BA199" s="234">
        <v>18395.669999999998</v>
      </c>
      <c r="BB199" s="234">
        <v>30542</v>
      </c>
      <c r="BC199" s="234">
        <v>36000</v>
      </c>
      <c r="BD199" s="234">
        <v>11184</v>
      </c>
      <c r="BE199" s="234" t="s">
        <v>34</v>
      </c>
      <c r="BF199" s="234">
        <v>0.88894009756097603</v>
      </c>
      <c r="BG199" s="234">
        <v>4</v>
      </c>
      <c r="BH199" s="234">
        <v>-1138364</v>
      </c>
      <c r="BI199" s="234">
        <v>0</v>
      </c>
      <c r="BJ199" s="234">
        <v>0</v>
      </c>
      <c r="BK199" s="234">
        <v>0</v>
      </c>
      <c r="BL199" s="234">
        <v>1</v>
      </c>
      <c r="BM199" s="234">
        <v>0</v>
      </c>
      <c r="BN199" s="234">
        <f>IF(ECON_OUTPUT!BE199="Other",1,0)</f>
        <v>0</v>
      </c>
    </row>
    <row r="200" spans="1:66" x14ac:dyDescent="0.25">
      <c r="A200" s="234">
        <v>199</v>
      </c>
      <c r="B200" s="234" t="s">
        <v>1757</v>
      </c>
      <c r="C200" s="234" t="s">
        <v>1478</v>
      </c>
      <c r="D200" s="234" t="s">
        <v>1479</v>
      </c>
      <c r="E200" s="235">
        <v>43468</v>
      </c>
      <c r="F200" s="234" t="s">
        <v>1341</v>
      </c>
      <c r="G200" s="234">
        <v>426000</v>
      </c>
      <c r="H200" s="234">
        <v>745850</v>
      </c>
      <c r="I200" s="234">
        <v>0.75082159599999998</v>
      </c>
      <c r="J200" s="234" t="s">
        <v>465</v>
      </c>
      <c r="K200" s="234">
        <v>2</v>
      </c>
      <c r="L200" s="234" t="s">
        <v>25</v>
      </c>
      <c r="M200" s="234">
        <v>1</v>
      </c>
      <c r="N200" s="234" t="s">
        <v>458</v>
      </c>
      <c r="O200" s="234" t="s">
        <v>1751</v>
      </c>
      <c r="P200" s="234" t="s">
        <v>1754</v>
      </c>
      <c r="Q200" s="234">
        <v>745850</v>
      </c>
      <c r="R200" s="234">
        <v>275.84100000000001</v>
      </c>
      <c r="S200" s="234">
        <v>281.26589999999999</v>
      </c>
      <c r="T200" s="234">
        <v>385.47460000000001</v>
      </c>
      <c r="U200" s="234">
        <v>1901.442</v>
      </c>
      <c r="V200" s="234">
        <v>2305.9520000000002</v>
      </c>
      <c r="W200" s="234">
        <v>561.96169999999995</v>
      </c>
      <c r="X200" s="234">
        <v>1212.8910000000001</v>
      </c>
      <c r="Y200" s="234">
        <v>1297.42</v>
      </c>
      <c r="Z200" s="234">
        <v>335.31849999999997</v>
      </c>
      <c r="AA200" s="234">
        <v>1538.028</v>
      </c>
      <c r="AB200" s="234">
        <v>205.96199999999999</v>
      </c>
      <c r="AC200" s="234">
        <v>869.6318</v>
      </c>
      <c r="AD200" s="234">
        <v>367.63369999999998</v>
      </c>
      <c r="AE200" s="234">
        <v>391.99290000000002</v>
      </c>
      <c r="AF200" s="234">
        <v>42907.62</v>
      </c>
      <c r="AG200" s="234">
        <v>9980.8629999999994</v>
      </c>
      <c r="AH200" s="234">
        <v>55148.99</v>
      </c>
      <c r="AI200" s="234">
        <v>30022.03</v>
      </c>
      <c r="AJ200" s="234">
        <v>18178.72</v>
      </c>
      <c r="AK200" s="234">
        <v>33802.28</v>
      </c>
      <c r="AL200" s="234">
        <v>178254.1</v>
      </c>
      <c r="AM200" s="234">
        <v>21350.07</v>
      </c>
      <c r="AN200" s="234">
        <v>16456.830000000002</v>
      </c>
      <c r="AO200" s="234">
        <v>60050.47</v>
      </c>
      <c r="AP200" s="234">
        <v>63054.66</v>
      </c>
      <c r="AQ200" s="234">
        <v>14430.38</v>
      </c>
      <c r="AR200" s="234">
        <v>22906.32</v>
      </c>
      <c r="AS200" s="234">
        <v>304413.90000000002</v>
      </c>
      <c r="AT200" s="234">
        <v>278904.5</v>
      </c>
      <c r="AU200" s="234">
        <v>360158.4</v>
      </c>
      <c r="AV200" s="234">
        <v>83726.27</v>
      </c>
      <c r="AW200" s="234">
        <v>88354.95</v>
      </c>
      <c r="AX200" s="234">
        <v>9349.0210000000006</v>
      </c>
      <c r="AY200" s="234">
        <v>2305.9520000000002</v>
      </c>
      <c r="AZ200" s="234">
        <v>386470.9</v>
      </c>
      <c r="BA200" s="234">
        <v>18405.14</v>
      </c>
      <c r="BB200" s="234">
        <v>28822</v>
      </c>
      <c r="BC200" s="234">
        <v>30542</v>
      </c>
      <c r="BD200" s="234">
        <v>11213</v>
      </c>
      <c r="BE200" s="234" t="s">
        <v>1753</v>
      </c>
      <c r="BF200" s="234">
        <v>1.75082159624413</v>
      </c>
      <c r="BG200" s="234">
        <v>1</v>
      </c>
      <c r="BH200" s="234">
        <v>319850</v>
      </c>
      <c r="BI200" s="234">
        <v>1</v>
      </c>
      <c r="BJ200" s="234">
        <v>0</v>
      </c>
      <c r="BK200" s="234">
        <v>0</v>
      </c>
      <c r="BL200" s="234">
        <v>0</v>
      </c>
      <c r="BM200" s="234">
        <v>0</v>
      </c>
      <c r="BN200" s="234">
        <f>IF(ECON_OUTPUT!BE200="Other",1,0)</f>
        <v>1</v>
      </c>
    </row>
    <row r="201" spans="1:66" x14ac:dyDescent="0.25">
      <c r="A201" s="234">
        <v>200</v>
      </c>
      <c r="B201" s="234" t="s">
        <v>1757</v>
      </c>
      <c r="C201" s="234" t="s">
        <v>1554</v>
      </c>
      <c r="D201" s="234" t="s">
        <v>1555</v>
      </c>
      <c r="E201" s="235">
        <v>43475</v>
      </c>
      <c r="F201" s="234" t="s">
        <v>34</v>
      </c>
      <c r="G201" s="234">
        <v>4500000</v>
      </c>
      <c r="H201" s="234">
        <v>4863085</v>
      </c>
      <c r="I201" s="234">
        <v>8.0685556000000005E-2</v>
      </c>
      <c r="J201" s="234" t="s">
        <v>464</v>
      </c>
      <c r="K201" s="234">
        <v>6</v>
      </c>
      <c r="L201" s="234" t="s">
        <v>93</v>
      </c>
      <c r="M201" s="234">
        <v>1</v>
      </c>
      <c r="N201" s="234" t="s">
        <v>458</v>
      </c>
      <c r="O201" s="234" t="s">
        <v>1751</v>
      </c>
      <c r="P201" s="234" t="s">
        <v>1750</v>
      </c>
      <c r="Q201" s="234">
        <v>6192655</v>
      </c>
      <c r="R201" s="234">
        <v>275.84100000000001</v>
      </c>
      <c r="S201" s="234">
        <v>281.26589999999999</v>
      </c>
      <c r="T201" s="234">
        <v>385.47460000000001</v>
      </c>
      <c r="U201" s="234">
        <v>1901.442</v>
      </c>
      <c r="V201" s="234">
        <v>2305.9520000000002</v>
      </c>
      <c r="W201" s="234">
        <v>561.96169999999995</v>
      </c>
      <c r="X201" s="234">
        <v>1212.8910000000001</v>
      </c>
      <c r="Y201" s="234">
        <v>1297.42</v>
      </c>
      <c r="Z201" s="234">
        <v>335.31849999999997</v>
      </c>
      <c r="AA201" s="234">
        <v>1538.028</v>
      </c>
      <c r="AB201" s="234">
        <v>205.96199999999999</v>
      </c>
      <c r="AC201" s="234">
        <v>869.6318</v>
      </c>
      <c r="AD201" s="234">
        <v>367.63369999999998</v>
      </c>
      <c r="AE201" s="234">
        <v>391.99290000000002</v>
      </c>
      <c r="AF201" s="234">
        <v>42907.62</v>
      </c>
      <c r="AG201" s="234">
        <v>9980.8629999999994</v>
      </c>
      <c r="AH201" s="234">
        <v>55148.99</v>
      </c>
      <c r="AI201" s="234">
        <v>30022.03</v>
      </c>
      <c r="AJ201" s="234">
        <v>18178.72</v>
      </c>
      <c r="AK201" s="234">
        <v>33802.28</v>
      </c>
      <c r="AL201" s="234">
        <v>178254.1</v>
      </c>
      <c r="AM201" s="234">
        <v>21350.07</v>
      </c>
      <c r="AN201" s="234">
        <v>16456.830000000002</v>
      </c>
      <c r="AO201" s="234">
        <v>60050.47</v>
      </c>
      <c r="AP201" s="234">
        <v>63054.66</v>
      </c>
      <c r="AQ201" s="234">
        <v>14430.38</v>
      </c>
      <c r="AR201" s="234">
        <v>22906.32</v>
      </c>
      <c r="AS201" s="234">
        <v>304413.90000000002</v>
      </c>
      <c r="AT201" s="234">
        <v>278904.5</v>
      </c>
      <c r="AU201" s="234">
        <v>360158.4</v>
      </c>
      <c r="AV201" s="234">
        <v>83726.27</v>
      </c>
      <c r="AW201" s="234">
        <v>88354.95</v>
      </c>
      <c r="AX201" s="234">
        <v>9349.0210000000006</v>
      </c>
      <c r="AY201" s="234">
        <v>2305.9520000000002</v>
      </c>
      <c r="AZ201" s="234">
        <v>386470.9</v>
      </c>
      <c r="BA201" s="234">
        <v>18405.14</v>
      </c>
      <c r="BB201" s="234">
        <v>28822</v>
      </c>
      <c r="BC201" s="234">
        <v>30542</v>
      </c>
      <c r="BD201" s="234">
        <v>11213</v>
      </c>
      <c r="BE201" s="234" t="s">
        <v>34</v>
      </c>
      <c r="BF201" s="234">
        <v>1.37614555555556</v>
      </c>
      <c r="BG201" s="234">
        <v>4</v>
      </c>
      <c r="BH201" s="234">
        <v>1692655</v>
      </c>
      <c r="BI201" s="234">
        <v>0</v>
      </c>
      <c r="BJ201" s="234">
        <v>0</v>
      </c>
      <c r="BK201" s="234">
        <v>0</v>
      </c>
      <c r="BL201" s="234">
        <v>1</v>
      </c>
      <c r="BM201" s="234">
        <v>0</v>
      </c>
      <c r="BN201" s="234">
        <f>IF(ECON_OUTPUT!BE201="Other",1,0)</f>
        <v>0</v>
      </c>
    </row>
    <row r="202" spans="1:66" x14ac:dyDescent="0.25">
      <c r="A202" s="234">
        <v>201</v>
      </c>
      <c r="B202" s="234" t="s">
        <v>1757</v>
      </c>
      <c r="C202" s="234" t="s">
        <v>1559</v>
      </c>
      <c r="D202" s="234" t="s">
        <v>1560</v>
      </c>
      <c r="E202" s="235">
        <v>43488</v>
      </c>
      <c r="F202" s="234" t="s">
        <v>34</v>
      </c>
      <c r="G202" s="234">
        <v>28219450</v>
      </c>
      <c r="H202" s="234">
        <v>27620150</v>
      </c>
      <c r="I202" s="234">
        <v>-2.1237124999999999E-2</v>
      </c>
      <c r="J202" s="234" t="s">
        <v>464</v>
      </c>
      <c r="K202" s="234">
        <v>6</v>
      </c>
      <c r="L202" s="234" t="s">
        <v>226</v>
      </c>
      <c r="M202" s="234">
        <v>1</v>
      </c>
      <c r="N202" s="234" t="s">
        <v>457</v>
      </c>
      <c r="O202" s="234" t="s">
        <v>1751</v>
      </c>
      <c r="P202" s="234" t="s">
        <v>1750</v>
      </c>
      <c r="Q202" s="234">
        <v>31594000</v>
      </c>
      <c r="R202" s="234">
        <v>275.84100000000001</v>
      </c>
      <c r="S202" s="234">
        <v>281.26589999999999</v>
      </c>
      <c r="T202" s="234">
        <v>385.47460000000001</v>
      </c>
      <c r="U202" s="234">
        <v>1901.442</v>
      </c>
      <c r="V202" s="234">
        <v>2305.9520000000002</v>
      </c>
      <c r="W202" s="234">
        <v>561.96169999999995</v>
      </c>
      <c r="X202" s="234">
        <v>1212.8910000000001</v>
      </c>
      <c r="Y202" s="234">
        <v>1297.42</v>
      </c>
      <c r="Z202" s="234">
        <v>335.31849999999997</v>
      </c>
      <c r="AA202" s="234">
        <v>1538.028</v>
      </c>
      <c r="AB202" s="234">
        <v>205.96199999999999</v>
      </c>
      <c r="AC202" s="234">
        <v>869.6318</v>
      </c>
      <c r="AD202" s="234">
        <v>367.63369999999998</v>
      </c>
      <c r="AE202" s="234">
        <v>391.99290000000002</v>
      </c>
      <c r="AF202" s="234">
        <v>42907.62</v>
      </c>
      <c r="AG202" s="234">
        <v>9980.8629999999994</v>
      </c>
      <c r="AH202" s="234">
        <v>55148.99</v>
      </c>
      <c r="AI202" s="234">
        <v>30022.03</v>
      </c>
      <c r="AJ202" s="234">
        <v>18178.72</v>
      </c>
      <c r="AK202" s="234">
        <v>33802.28</v>
      </c>
      <c r="AL202" s="234">
        <v>178254.1</v>
      </c>
      <c r="AM202" s="234">
        <v>21350.07</v>
      </c>
      <c r="AN202" s="234">
        <v>16456.830000000002</v>
      </c>
      <c r="AO202" s="234">
        <v>60050.47</v>
      </c>
      <c r="AP202" s="234">
        <v>63054.66</v>
      </c>
      <c r="AQ202" s="234">
        <v>14430.38</v>
      </c>
      <c r="AR202" s="234">
        <v>22906.32</v>
      </c>
      <c r="AS202" s="234">
        <v>304413.90000000002</v>
      </c>
      <c r="AT202" s="234">
        <v>278904.5</v>
      </c>
      <c r="AU202" s="234">
        <v>360158.4</v>
      </c>
      <c r="AV202" s="234">
        <v>83726.27</v>
      </c>
      <c r="AW202" s="234">
        <v>88354.95</v>
      </c>
      <c r="AX202" s="234">
        <v>9349.0210000000006</v>
      </c>
      <c r="AY202" s="234">
        <v>2305.9520000000002</v>
      </c>
      <c r="AZ202" s="234">
        <v>386470.9</v>
      </c>
      <c r="BA202" s="234">
        <v>18405.14</v>
      </c>
      <c r="BB202" s="234">
        <v>28822</v>
      </c>
      <c r="BC202" s="234">
        <v>30542</v>
      </c>
      <c r="BD202" s="234">
        <v>11213</v>
      </c>
      <c r="BE202" s="234" t="s">
        <v>34</v>
      </c>
      <c r="BF202" s="234">
        <v>1.1195824156742999</v>
      </c>
      <c r="BG202" s="234">
        <v>5</v>
      </c>
      <c r="BH202" s="234">
        <v>3374550</v>
      </c>
      <c r="BI202" s="234">
        <v>0</v>
      </c>
      <c r="BJ202" s="234">
        <v>0</v>
      </c>
      <c r="BK202" s="234">
        <v>0</v>
      </c>
      <c r="BL202" s="234">
        <v>0</v>
      </c>
      <c r="BM202" s="234">
        <v>1</v>
      </c>
      <c r="BN202" s="234">
        <f>IF(ECON_OUTPUT!BE202="Other",1,0)</f>
        <v>0</v>
      </c>
    </row>
    <row r="203" spans="1:66" x14ac:dyDescent="0.25">
      <c r="A203" s="234">
        <v>202</v>
      </c>
      <c r="B203" s="234" t="s">
        <v>1757</v>
      </c>
      <c r="C203" s="234" t="s">
        <v>1562</v>
      </c>
      <c r="D203" s="234" t="s">
        <v>1563</v>
      </c>
      <c r="E203" s="235">
        <v>43489</v>
      </c>
      <c r="F203" s="234" t="s">
        <v>34</v>
      </c>
      <c r="G203" s="234">
        <v>23450000</v>
      </c>
      <c r="H203" s="234">
        <v>25644000</v>
      </c>
      <c r="I203" s="234">
        <v>9.3560768000000002E-2</v>
      </c>
      <c r="J203" s="234" t="s">
        <v>464</v>
      </c>
      <c r="K203" s="234">
        <v>2</v>
      </c>
      <c r="L203" s="234" t="s">
        <v>25</v>
      </c>
      <c r="M203" s="234">
        <v>1</v>
      </c>
      <c r="N203" s="234" t="s">
        <v>458</v>
      </c>
      <c r="O203" s="234" t="s">
        <v>1751</v>
      </c>
      <c r="P203" s="234" t="s">
        <v>1755</v>
      </c>
      <c r="Q203" s="234">
        <v>30867117</v>
      </c>
      <c r="R203" s="234">
        <v>275.84100000000001</v>
      </c>
      <c r="S203" s="234">
        <v>281.26589999999999</v>
      </c>
      <c r="T203" s="234">
        <v>385.47460000000001</v>
      </c>
      <c r="U203" s="234">
        <v>1901.442</v>
      </c>
      <c r="V203" s="234">
        <v>2305.9520000000002</v>
      </c>
      <c r="W203" s="234">
        <v>561.96169999999995</v>
      </c>
      <c r="X203" s="234">
        <v>1212.8910000000001</v>
      </c>
      <c r="Y203" s="234">
        <v>1297.42</v>
      </c>
      <c r="Z203" s="234">
        <v>335.31849999999997</v>
      </c>
      <c r="AA203" s="234">
        <v>1538.028</v>
      </c>
      <c r="AB203" s="234">
        <v>205.96199999999999</v>
      </c>
      <c r="AC203" s="234">
        <v>869.6318</v>
      </c>
      <c r="AD203" s="234">
        <v>367.63369999999998</v>
      </c>
      <c r="AE203" s="234">
        <v>391.99290000000002</v>
      </c>
      <c r="AF203" s="234">
        <v>42907.62</v>
      </c>
      <c r="AG203" s="234">
        <v>9980.8629999999994</v>
      </c>
      <c r="AH203" s="234">
        <v>55148.99</v>
      </c>
      <c r="AI203" s="234">
        <v>30022.03</v>
      </c>
      <c r="AJ203" s="234">
        <v>18178.72</v>
      </c>
      <c r="AK203" s="234">
        <v>33802.28</v>
      </c>
      <c r="AL203" s="234">
        <v>178254.1</v>
      </c>
      <c r="AM203" s="234">
        <v>21350.07</v>
      </c>
      <c r="AN203" s="234">
        <v>16456.830000000002</v>
      </c>
      <c r="AO203" s="234">
        <v>60050.47</v>
      </c>
      <c r="AP203" s="234">
        <v>63054.66</v>
      </c>
      <c r="AQ203" s="234">
        <v>14430.38</v>
      </c>
      <c r="AR203" s="234">
        <v>22906.32</v>
      </c>
      <c r="AS203" s="234">
        <v>304413.90000000002</v>
      </c>
      <c r="AT203" s="234">
        <v>278904.5</v>
      </c>
      <c r="AU203" s="234">
        <v>360158.4</v>
      </c>
      <c r="AV203" s="234">
        <v>83726.27</v>
      </c>
      <c r="AW203" s="234">
        <v>88354.95</v>
      </c>
      <c r="AX203" s="234">
        <v>9349.0210000000006</v>
      </c>
      <c r="AY203" s="234">
        <v>2305.9520000000002</v>
      </c>
      <c r="AZ203" s="234">
        <v>386470.9</v>
      </c>
      <c r="BA203" s="234">
        <v>18405.14</v>
      </c>
      <c r="BB203" s="234">
        <v>28822</v>
      </c>
      <c r="BC203" s="234">
        <v>30542</v>
      </c>
      <c r="BD203" s="234">
        <v>11213</v>
      </c>
      <c r="BE203" s="234" t="s">
        <v>34</v>
      </c>
      <c r="BF203" s="234">
        <v>1.3162949680170599</v>
      </c>
      <c r="BG203" s="234">
        <v>5</v>
      </c>
      <c r="BH203" s="234">
        <v>7417117</v>
      </c>
      <c r="BI203" s="234">
        <v>0</v>
      </c>
      <c r="BJ203" s="234">
        <v>0</v>
      </c>
      <c r="BK203" s="234">
        <v>0</v>
      </c>
      <c r="BL203" s="234">
        <v>0</v>
      </c>
      <c r="BM203" s="234">
        <v>1</v>
      </c>
      <c r="BN203" s="234">
        <f>IF(ECON_OUTPUT!BE203="Other",1,0)</f>
        <v>0</v>
      </c>
    </row>
    <row r="204" spans="1:66" x14ac:dyDescent="0.25">
      <c r="A204" s="234">
        <v>203</v>
      </c>
      <c r="B204" s="234" t="s">
        <v>1757</v>
      </c>
      <c r="C204" s="234" t="s">
        <v>1564</v>
      </c>
      <c r="D204" s="234" t="s">
        <v>1566</v>
      </c>
      <c r="E204" s="235">
        <v>43496</v>
      </c>
      <c r="F204" s="234" t="s">
        <v>34</v>
      </c>
      <c r="G204" s="234">
        <v>92495500</v>
      </c>
      <c r="H204" s="234">
        <v>63348000</v>
      </c>
      <c r="I204" s="234">
        <v>-0.31512343799999998</v>
      </c>
      <c r="J204" s="234" t="s">
        <v>465</v>
      </c>
      <c r="K204" s="234">
        <v>3</v>
      </c>
      <c r="L204" s="234" t="s">
        <v>226</v>
      </c>
      <c r="M204" s="234">
        <v>1</v>
      </c>
      <c r="N204" s="234" t="s">
        <v>457</v>
      </c>
      <c r="O204" s="234" t="s">
        <v>1751</v>
      </c>
      <c r="P204" s="234" t="s">
        <v>1750</v>
      </c>
      <c r="Q204" s="234">
        <v>70399000</v>
      </c>
      <c r="R204" s="234">
        <v>275.84100000000001</v>
      </c>
      <c r="S204" s="234">
        <v>281.26589999999999</v>
      </c>
      <c r="T204" s="234">
        <v>385.47460000000001</v>
      </c>
      <c r="U204" s="234">
        <v>1901.442</v>
      </c>
      <c r="V204" s="234">
        <v>2305.9520000000002</v>
      </c>
      <c r="W204" s="234">
        <v>561.96169999999995</v>
      </c>
      <c r="X204" s="234">
        <v>1212.8910000000001</v>
      </c>
      <c r="Y204" s="234">
        <v>1297.42</v>
      </c>
      <c r="Z204" s="234">
        <v>335.31849999999997</v>
      </c>
      <c r="AA204" s="234">
        <v>1538.028</v>
      </c>
      <c r="AB204" s="234">
        <v>205.96199999999999</v>
      </c>
      <c r="AC204" s="234">
        <v>869.6318</v>
      </c>
      <c r="AD204" s="234">
        <v>367.63369999999998</v>
      </c>
      <c r="AE204" s="234">
        <v>391.99290000000002</v>
      </c>
      <c r="AF204" s="234">
        <v>42907.62</v>
      </c>
      <c r="AG204" s="234">
        <v>9980.8629999999994</v>
      </c>
      <c r="AH204" s="234">
        <v>55148.99</v>
      </c>
      <c r="AI204" s="234">
        <v>30022.03</v>
      </c>
      <c r="AJ204" s="234">
        <v>18178.72</v>
      </c>
      <c r="AK204" s="234">
        <v>33802.28</v>
      </c>
      <c r="AL204" s="234">
        <v>178254.1</v>
      </c>
      <c r="AM204" s="234">
        <v>21350.07</v>
      </c>
      <c r="AN204" s="234">
        <v>16456.830000000002</v>
      </c>
      <c r="AO204" s="234">
        <v>60050.47</v>
      </c>
      <c r="AP204" s="234">
        <v>63054.66</v>
      </c>
      <c r="AQ204" s="234">
        <v>14430.38</v>
      </c>
      <c r="AR204" s="234">
        <v>22906.32</v>
      </c>
      <c r="AS204" s="234">
        <v>304413.90000000002</v>
      </c>
      <c r="AT204" s="234">
        <v>278904.5</v>
      </c>
      <c r="AU204" s="234">
        <v>360158.4</v>
      </c>
      <c r="AV204" s="234">
        <v>83726.27</v>
      </c>
      <c r="AW204" s="234">
        <v>88354.95</v>
      </c>
      <c r="AX204" s="234">
        <v>9349.0210000000006</v>
      </c>
      <c r="AY204" s="234">
        <v>2305.9520000000002</v>
      </c>
      <c r="AZ204" s="234">
        <v>386470.9</v>
      </c>
      <c r="BA204" s="234">
        <v>18405.14</v>
      </c>
      <c r="BB204" s="234">
        <v>28822</v>
      </c>
      <c r="BC204" s="234">
        <v>30542</v>
      </c>
      <c r="BD204" s="234">
        <v>11213</v>
      </c>
      <c r="BE204" s="234" t="s">
        <v>34</v>
      </c>
      <c r="BF204" s="234">
        <v>0.76110729711175096</v>
      </c>
      <c r="BG204" s="234">
        <v>5</v>
      </c>
      <c r="BH204" s="234">
        <v>-22096500</v>
      </c>
      <c r="BI204" s="234">
        <v>0</v>
      </c>
      <c r="BJ204" s="234">
        <v>0</v>
      </c>
      <c r="BK204" s="234">
        <v>0</v>
      </c>
      <c r="BL204" s="234">
        <v>0</v>
      </c>
      <c r="BM204" s="234">
        <v>1</v>
      </c>
      <c r="BN204" s="234">
        <f>IF(ECON_OUTPUT!BE204="Other",1,0)</f>
        <v>0</v>
      </c>
    </row>
    <row r="205" spans="1:66" x14ac:dyDescent="0.25">
      <c r="A205" s="234">
        <v>204</v>
      </c>
      <c r="B205" s="234" t="s">
        <v>1757</v>
      </c>
      <c r="C205" s="234" t="s">
        <v>1567</v>
      </c>
      <c r="D205" s="234" t="s">
        <v>1568</v>
      </c>
      <c r="E205" s="235">
        <v>43501</v>
      </c>
      <c r="F205" s="234" t="s">
        <v>1753</v>
      </c>
      <c r="G205" s="234">
        <v>13910000</v>
      </c>
      <c r="H205" s="234">
        <v>11745510</v>
      </c>
      <c r="I205" s="234">
        <v>-0.15560675800000001</v>
      </c>
      <c r="J205" s="234" t="s">
        <v>464</v>
      </c>
      <c r="K205" s="234">
        <v>4</v>
      </c>
      <c r="L205" s="234" t="s">
        <v>25</v>
      </c>
      <c r="M205" s="234">
        <v>1</v>
      </c>
      <c r="N205" s="234" t="s">
        <v>492</v>
      </c>
      <c r="O205" s="234" t="s">
        <v>1751</v>
      </c>
      <c r="P205" s="234" t="s">
        <v>1750</v>
      </c>
      <c r="Q205" s="234">
        <v>13320000</v>
      </c>
      <c r="R205" s="234">
        <v>275.84100000000001</v>
      </c>
      <c r="S205" s="234">
        <v>281.26589999999999</v>
      </c>
      <c r="T205" s="234">
        <v>385.47460000000001</v>
      </c>
      <c r="U205" s="234">
        <v>1901.442</v>
      </c>
      <c r="V205" s="234">
        <v>2305.9520000000002</v>
      </c>
      <c r="W205" s="234">
        <v>561.96169999999995</v>
      </c>
      <c r="X205" s="234">
        <v>1212.8910000000001</v>
      </c>
      <c r="Y205" s="234">
        <v>1297.42</v>
      </c>
      <c r="Z205" s="234">
        <v>335.31849999999997</v>
      </c>
      <c r="AA205" s="234">
        <v>1538.028</v>
      </c>
      <c r="AB205" s="234">
        <v>205.96199999999999</v>
      </c>
      <c r="AC205" s="234">
        <v>869.6318</v>
      </c>
      <c r="AD205" s="234">
        <v>367.63369999999998</v>
      </c>
      <c r="AE205" s="234">
        <v>391.99290000000002</v>
      </c>
      <c r="AF205" s="234">
        <v>42907.62</v>
      </c>
      <c r="AG205" s="234">
        <v>9980.8629999999994</v>
      </c>
      <c r="AH205" s="234">
        <v>55148.99</v>
      </c>
      <c r="AI205" s="234">
        <v>30022.03</v>
      </c>
      <c r="AJ205" s="234">
        <v>18178.72</v>
      </c>
      <c r="AK205" s="234">
        <v>33802.28</v>
      </c>
      <c r="AL205" s="234">
        <v>178254.1</v>
      </c>
      <c r="AM205" s="234">
        <v>21350.07</v>
      </c>
      <c r="AN205" s="234">
        <v>16456.830000000002</v>
      </c>
      <c r="AO205" s="234">
        <v>60050.47</v>
      </c>
      <c r="AP205" s="234">
        <v>63054.66</v>
      </c>
      <c r="AQ205" s="234">
        <v>14430.38</v>
      </c>
      <c r="AR205" s="234">
        <v>22906.32</v>
      </c>
      <c r="AS205" s="234">
        <v>304413.90000000002</v>
      </c>
      <c r="AT205" s="234">
        <v>278904.5</v>
      </c>
      <c r="AU205" s="234">
        <v>360158.4</v>
      </c>
      <c r="AV205" s="234">
        <v>83726.27</v>
      </c>
      <c r="AW205" s="234">
        <v>88354.95</v>
      </c>
      <c r="AX205" s="234">
        <v>9349.0210000000006</v>
      </c>
      <c r="AY205" s="234">
        <v>2305.9520000000002</v>
      </c>
      <c r="AZ205" s="234">
        <v>386470.9</v>
      </c>
      <c r="BA205" s="234">
        <v>18405.14</v>
      </c>
      <c r="BB205" s="234">
        <v>28822</v>
      </c>
      <c r="BC205" s="234">
        <v>30542</v>
      </c>
      <c r="BD205" s="234">
        <v>11213</v>
      </c>
      <c r="BE205" s="234" t="s">
        <v>1753</v>
      </c>
      <c r="BF205" s="234">
        <v>0.95758447160316296</v>
      </c>
      <c r="BG205" s="234">
        <v>4</v>
      </c>
      <c r="BH205" s="234">
        <v>-590000</v>
      </c>
      <c r="BI205" s="234">
        <v>0</v>
      </c>
      <c r="BJ205" s="234">
        <v>0</v>
      </c>
      <c r="BK205" s="234">
        <v>0</v>
      </c>
      <c r="BL205" s="234">
        <v>1</v>
      </c>
      <c r="BM205" s="234">
        <v>0</v>
      </c>
      <c r="BN205" s="234">
        <f>IF(ECON_OUTPUT!BE205="Other",1,0)</f>
        <v>1</v>
      </c>
    </row>
    <row r="206" spans="1:66" x14ac:dyDescent="0.25">
      <c r="A206" s="234">
        <v>205</v>
      </c>
      <c r="B206" s="234" t="s">
        <v>1757</v>
      </c>
      <c r="C206" s="234" t="s">
        <v>1574</v>
      </c>
      <c r="D206" s="234" t="s">
        <v>1575</v>
      </c>
      <c r="E206" s="235">
        <v>43503</v>
      </c>
      <c r="F206" s="234" t="s">
        <v>1341</v>
      </c>
      <c r="G206" s="234">
        <v>1130000</v>
      </c>
      <c r="H206" s="234">
        <v>1686000</v>
      </c>
      <c r="I206" s="234">
        <v>0.49203539800000001</v>
      </c>
      <c r="J206" s="234" t="s">
        <v>465</v>
      </c>
      <c r="K206" s="234">
        <v>2</v>
      </c>
      <c r="L206" s="234" t="s">
        <v>25</v>
      </c>
      <c r="M206" s="234">
        <v>1</v>
      </c>
      <c r="N206" s="234" t="s">
        <v>457</v>
      </c>
      <c r="O206" s="234" t="s">
        <v>1751</v>
      </c>
      <c r="P206" s="234" t="s">
        <v>1750</v>
      </c>
      <c r="Q206" s="234">
        <v>2181000</v>
      </c>
      <c r="R206" s="234">
        <v>275.84100000000001</v>
      </c>
      <c r="S206" s="234">
        <v>281.26589999999999</v>
      </c>
      <c r="T206" s="234">
        <v>385.47460000000001</v>
      </c>
      <c r="U206" s="234">
        <v>1901.442</v>
      </c>
      <c r="V206" s="234">
        <v>2305.9520000000002</v>
      </c>
      <c r="W206" s="234">
        <v>561.96169999999995</v>
      </c>
      <c r="X206" s="234">
        <v>1212.8910000000001</v>
      </c>
      <c r="Y206" s="234">
        <v>1297.42</v>
      </c>
      <c r="Z206" s="234">
        <v>335.31849999999997</v>
      </c>
      <c r="AA206" s="234">
        <v>1538.028</v>
      </c>
      <c r="AB206" s="234">
        <v>205.96199999999999</v>
      </c>
      <c r="AC206" s="234">
        <v>869.6318</v>
      </c>
      <c r="AD206" s="234">
        <v>367.63369999999998</v>
      </c>
      <c r="AE206" s="234">
        <v>391.99290000000002</v>
      </c>
      <c r="AF206" s="234">
        <v>42907.62</v>
      </c>
      <c r="AG206" s="234">
        <v>9980.8629999999994</v>
      </c>
      <c r="AH206" s="234">
        <v>55148.99</v>
      </c>
      <c r="AI206" s="234">
        <v>30022.03</v>
      </c>
      <c r="AJ206" s="234">
        <v>18178.72</v>
      </c>
      <c r="AK206" s="234">
        <v>33802.28</v>
      </c>
      <c r="AL206" s="234">
        <v>178254.1</v>
      </c>
      <c r="AM206" s="234">
        <v>21350.07</v>
      </c>
      <c r="AN206" s="234">
        <v>16456.830000000002</v>
      </c>
      <c r="AO206" s="234">
        <v>60050.47</v>
      </c>
      <c r="AP206" s="234">
        <v>63054.66</v>
      </c>
      <c r="AQ206" s="234">
        <v>14430.38</v>
      </c>
      <c r="AR206" s="234">
        <v>22906.32</v>
      </c>
      <c r="AS206" s="234">
        <v>304413.90000000002</v>
      </c>
      <c r="AT206" s="234">
        <v>278904.5</v>
      </c>
      <c r="AU206" s="234">
        <v>360158.4</v>
      </c>
      <c r="AV206" s="234">
        <v>83726.27</v>
      </c>
      <c r="AW206" s="234">
        <v>88354.95</v>
      </c>
      <c r="AX206" s="234">
        <v>9349.0210000000006</v>
      </c>
      <c r="AY206" s="234">
        <v>2305.9520000000002</v>
      </c>
      <c r="AZ206" s="234">
        <v>386470.9</v>
      </c>
      <c r="BA206" s="234">
        <v>18405.14</v>
      </c>
      <c r="BB206" s="234">
        <v>28822</v>
      </c>
      <c r="BC206" s="234">
        <v>30542</v>
      </c>
      <c r="BD206" s="234">
        <v>11213</v>
      </c>
      <c r="BE206" s="234" t="s">
        <v>1753</v>
      </c>
      <c r="BF206" s="234">
        <v>1.93008849557522</v>
      </c>
      <c r="BG206" s="234">
        <v>2</v>
      </c>
      <c r="BH206" s="234">
        <v>1051000</v>
      </c>
      <c r="BI206" s="234">
        <v>0</v>
      </c>
      <c r="BJ206" s="234">
        <v>1</v>
      </c>
      <c r="BK206" s="234">
        <v>0</v>
      </c>
      <c r="BL206" s="234">
        <v>0</v>
      </c>
      <c r="BM206" s="234">
        <v>0</v>
      </c>
      <c r="BN206" s="234">
        <f>IF(ECON_OUTPUT!BE206="Other",1,0)</f>
        <v>1</v>
      </c>
    </row>
    <row r="207" spans="1:66" x14ac:dyDescent="0.25">
      <c r="A207" s="234">
        <v>206</v>
      </c>
      <c r="B207" s="234" t="s">
        <v>1757</v>
      </c>
      <c r="C207" s="234" t="s">
        <v>1569</v>
      </c>
      <c r="D207" s="234" t="s">
        <v>1570</v>
      </c>
      <c r="E207" s="235">
        <v>43503</v>
      </c>
      <c r="F207" s="234" t="s">
        <v>1341</v>
      </c>
      <c r="G207" s="234">
        <v>684000</v>
      </c>
      <c r="H207" s="234">
        <v>615000</v>
      </c>
      <c r="I207" s="234">
        <v>-0.100877193</v>
      </c>
      <c r="J207" s="234" t="s">
        <v>464</v>
      </c>
      <c r="K207" s="234">
        <v>5</v>
      </c>
      <c r="L207" s="234" t="s">
        <v>93</v>
      </c>
      <c r="M207" s="234">
        <v>1</v>
      </c>
      <c r="N207" s="234" t="s">
        <v>458</v>
      </c>
      <c r="O207" s="234" t="s">
        <v>1751</v>
      </c>
      <c r="P207" s="234" t="s">
        <v>1750</v>
      </c>
      <c r="Q207" s="234">
        <v>685924</v>
      </c>
      <c r="R207" s="234">
        <v>275.84100000000001</v>
      </c>
      <c r="S207" s="234">
        <v>281.26589999999999</v>
      </c>
      <c r="T207" s="234">
        <v>385.47460000000001</v>
      </c>
      <c r="U207" s="234">
        <v>1901.442</v>
      </c>
      <c r="V207" s="234">
        <v>2305.9520000000002</v>
      </c>
      <c r="W207" s="234">
        <v>561.96169999999995</v>
      </c>
      <c r="X207" s="234">
        <v>1212.8910000000001</v>
      </c>
      <c r="Y207" s="234">
        <v>1297.42</v>
      </c>
      <c r="Z207" s="234">
        <v>335.31849999999997</v>
      </c>
      <c r="AA207" s="234">
        <v>1538.028</v>
      </c>
      <c r="AB207" s="234">
        <v>205.96199999999999</v>
      </c>
      <c r="AC207" s="234">
        <v>869.6318</v>
      </c>
      <c r="AD207" s="234">
        <v>367.63369999999998</v>
      </c>
      <c r="AE207" s="234">
        <v>391.99290000000002</v>
      </c>
      <c r="AF207" s="234">
        <v>42907.62</v>
      </c>
      <c r="AG207" s="234">
        <v>9980.8629999999994</v>
      </c>
      <c r="AH207" s="234">
        <v>55148.99</v>
      </c>
      <c r="AI207" s="234">
        <v>30022.03</v>
      </c>
      <c r="AJ207" s="234">
        <v>18178.72</v>
      </c>
      <c r="AK207" s="234">
        <v>33802.28</v>
      </c>
      <c r="AL207" s="234">
        <v>178254.1</v>
      </c>
      <c r="AM207" s="234">
        <v>21350.07</v>
      </c>
      <c r="AN207" s="234">
        <v>16456.830000000002</v>
      </c>
      <c r="AO207" s="234">
        <v>60050.47</v>
      </c>
      <c r="AP207" s="234">
        <v>63054.66</v>
      </c>
      <c r="AQ207" s="234">
        <v>14430.38</v>
      </c>
      <c r="AR207" s="234">
        <v>22906.32</v>
      </c>
      <c r="AS207" s="234">
        <v>304413.90000000002</v>
      </c>
      <c r="AT207" s="234">
        <v>278904.5</v>
      </c>
      <c r="AU207" s="234">
        <v>360158.4</v>
      </c>
      <c r="AV207" s="234">
        <v>83726.27</v>
      </c>
      <c r="AW207" s="234">
        <v>88354.95</v>
      </c>
      <c r="AX207" s="234">
        <v>9349.0210000000006</v>
      </c>
      <c r="AY207" s="234">
        <v>2305.9520000000002</v>
      </c>
      <c r="AZ207" s="234">
        <v>386470.9</v>
      </c>
      <c r="BA207" s="234">
        <v>18405.14</v>
      </c>
      <c r="BB207" s="234">
        <v>28822</v>
      </c>
      <c r="BC207" s="234">
        <v>30542</v>
      </c>
      <c r="BD207" s="234">
        <v>11213</v>
      </c>
      <c r="BE207" s="234" t="s">
        <v>1753</v>
      </c>
      <c r="BF207" s="234">
        <v>1.00281286549708</v>
      </c>
      <c r="BG207" s="234">
        <v>1</v>
      </c>
      <c r="BH207" s="234">
        <v>1924</v>
      </c>
      <c r="BI207" s="234">
        <v>1</v>
      </c>
      <c r="BJ207" s="234">
        <v>0</v>
      </c>
      <c r="BK207" s="234">
        <v>0</v>
      </c>
      <c r="BL207" s="234">
        <v>0</v>
      </c>
      <c r="BM207" s="234">
        <v>0</v>
      </c>
      <c r="BN207" s="234">
        <f>IF(ECON_OUTPUT!BE207="Other",1,0)</f>
        <v>1</v>
      </c>
    </row>
    <row r="208" spans="1:66" x14ac:dyDescent="0.25">
      <c r="A208" s="234">
        <v>207</v>
      </c>
      <c r="B208" s="234" t="s">
        <v>1757</v>
      </c>
      <c r="C208" s="234" t="s">
        <v>1577</v>
      </c>
      <c r="D208" s="234" t="s">
        <v>1578</v>
      </c>
      <c r="E208" s="235">
        <v>43516</v>
      </c>
      <c r="F208" s="234" t="s">
        <v>1753</v>
      </c>
      <c r="G208" s="234">
        <v>1790000</v>
      </c>
      <c r="H208" s="234">
        <v>1443785</v>
      </c>
      <c r="I208" s="234">
        <v>-0.19341620100000001</v>
      </c>
      <c r="J208" s="234" t="s">
        <v>464</v>
      </c>
      <c r="K208" s="234">
        <v>7</v>
      </c>
      <c r="L208" s="234" t="s">
        <v>226</v>
      </c>
      <c r="M208" s="234">
        <v>1</v>
      </c>
      <c r="N208" s="234" t="s">
        <v>457</v>
      </c>
      <c r="O208" s="234" t="s">
        <v>1751</v>
      </c>
      <c r="P208" s="234" t="s">
        <v>1755</v>
      </c>
      <c r="Q208" s="234">
        <v>1884975</v>
      </c>
      <c r="R208" s="234">
        <v>275.84100000000001</v>
      </c>
      <c r="S208" s="234">
        <v>281.26589999999999</v>
      </c>
      <c r="T208" s="234">
        <v>385.47460000000001</v>
      </c>
      <c r="U208" s="234">
        <v>1901.442</v>
      </c>
      <c r="V208" s="234">
        <v>2305.9520000000002</v>
      </c>
      <c r="W208" s="234">
        <v>561.96169999999995</v>
      </c>
      <c r="X208" s="234">
        <v>1212.8910000000001</v>
      </c>
      <c r="Y208" s="234">
        <v>1297.42</v>
      </c>
      <c r="Z208" s="234">
        <v>335.31849999999997</v>
      </c>
      <c r="AA208" s="234">
        <v>1538.028</v>
      </c>
      <c r="AB208" s="234">
        <v>205.96199999999999</v>
      </c>
      <c r="AC208" s="234">
        <v>869.6318</v>
      </c>
      <c r="AD208" s="234">
        <v>367.63369999999998</v>
      </c>
      <c r="AE208" s="234">
        <v>391.99290000000002</v>
      </c>
      <c r="AF208" s="234">
        <v>42907.62</v>
      </c>
      <c r="AG208" s="234">
        <v>9980.8629999999994</v>
      </c>
      <c r="AH208" s="234">
        <v>55148.99</v>
      </c>
      <c r="AI208" s="234">
        <v>30022.03</v>
      </c>
      <c r="AJ208" s="234">
        <v>18178.72</v>
      </c>
      <c r="AK208" s="234">
        <v>33802.28</v>
      </c>
      <c r="AL208" s="234">
        <v>178254.1</v>
      </c>
      <c r="AM208" s="234">
        <v>21350.07</v>
      </c>
      <c r="AN208" s="234">
        <v>16456.830000000002</v>
      </c>
      <c r="AO208" s="234">
        <v>60050.47</v>
      </c>
      <c r="AP208" s="234">
        <v>63054.66</v>
      </c>
      <c r="AQ208" s="234">
        <v>14430.38</v>
      </c>
      <c r="AR208" s="234">
        <v>22906.32</v>
      </c>
      <c r="AS208" s="234">
        <v>304413.90000000002</v>
      </c>
      <c r="AT208" s="234">
        <v>278904.5</v>
      </c>
      <c r="AU208" s="234">
        <v>360158.4</v>
      </c>
      <c r="AV208" s="234">
        <v>83726.27</v>
      </c>
      <c r="AW208" s="234">
        <v>88354.95</v>
      </c>
      <c r="AX208" s="234">
        <v>9349.0210000000006</v>
      </c>
      <c r="AY208" s="234">
        <v>2305.9520000000002</v>
      </c>
      <c r="AZ208" s="234">
        <v>386470.9</v>
      </c>
      <c r="BA208" s="234">
        <v>18405.14</v>
      </c>
      <c r="BB208" s="234">
        <v>28822</v>
      </c>
      <c r="BC208" s="234">
        <v>30542</v>
      </c>
      <c r="BD208" s="234">
        <v>11213</v>
      </c>
      <c r="BE208" s="234" t="s">
        <v>1753</v>
      </c>
      <c r="BF208" s="234">
        <v>1.0530586592178801</v>
      </c>
      <c r="BG208" s="234">
        <v>2</v>
      </c>
      <c r="BH208" s="234">
        <v>94975</v>
      </c>
      <c r="BI208" s="234">
        <v>0</v>
      </c>
      <c r="BJ208" s="234">
        <v>1</v>
      </c>
      <c r="BK208" s="234">
        <v>0</v>
      </c>
      <c r="BL208" s="234">
        <v>0</v>
      </c>
      <c r="BM208" s="234">
        <v>0</v>
      </c>
      <c r="BN208" s="234">
        <f>IF(ECON_OUTPUT!BE208="Other",1,0)</f>
        <v>1</v>
      </c>
    </row>
    <row r="209" spans="1:66" x14ac:dyDescent="0.25">
      <c r="A209" s="234">
        <v>208</v>
      </c>
      <c r="B209" s="234" t="s">
        <v>1757</v>
      </c>
      <c r="C209" s="234" t="s">
        <v>1576</v>
      </c>
      <c r="D209" s="234" t="s">
        <v>1448</v>
      </c>
      <c r="E209" s="235">
        <v>43516</v>
      </c>
      <c r="F209" s="234" t="s">
        <v>1753</v>
      </c>
      <c r="G209" s="234">
        <v>1880000</v>
      </c>
      <c r="H209" s="234">
        <v>1101828</v>
      </c>
      <c r="I209" s="234">
        <v>-0.41392127699999998</v>
      </c>
      <c r="J209" s="234" t="s">
        <v>464</v>
      </c>
      <c r="K209" s="234">
        <v>6</v>
      </c>
      <c r="L209" s="234" t="s">
        <v>226</v>
      </c>
      <c r="M209" s="234">
        <v>1</v>
      </c>
      <c r="N209" s="234" t="s">
        <v>457</v>
      </c>
      <c r="O209" s="234" t="s">
        <v>1751</v>
      </c>
      <c r="P209" s="234" t="s">
        <v>1755</v>
      </c>
      <c r="Q209" s="234">
        <v>2593400</v>
      </c>
      <c r="R209" s="234">
        <v>275.84100000000001</v>
      </c>
      <c r="S209" s="234">
        <v>281.26589999999999</v>
      </c>
      <c r="T209" s="234">
        <v>385.47460000000001</v>
      </c>
      <c r="U209" s="234">
        <v>1901.442</v>
      </c>
      <c r="V209" s="234">
        <v>2305.9520000000002</v>
      </c>
      <c r="W209" s="234">
        <v>561.96169999999995</v>
      </c>
      <c r="X209" s="234">
        <v>1212.8910000000001</v>
      </c>
      <c r="Y209" s="234">
        <v>1297.42</v>
      </c>
      <c r="Z209" s="234">
        <v>335.31849999999997</v>
      </c>
      <c r="AA209" s="234">
        <v>1538.028</v>
      </c>
      <c r="AB209" s="234">
        <v>205.96199999999999</v>
      </c>
      <c r="AC209" s="234">
        <v>869.6318</v>
      </c>
      <c r="AD209" s="234">
        <v>367.63369999999998</v>
      </c>
      <c r="AE209" s="234">
        <v>391.99290000000002</v>
      </c>
      <c r="AF209" s="234">
        <v>42907.62</v>
      </c>
      <c r="AG209" s="234">
        <v>9980.8629999999994</v>
      </c>
      <c r="AH209" s="234">
        <v>55148.99</v>
      </c>
      <c r="AI209" s="234">
        <v>30022.03</v>
      </c>
      <c r="AJ209" s="234">
        <v>18178.72</v>
      </c>
      <c r="AK209" s="234">
        <v>33802.28</v>
      </c>
      <c r="AL209" s="234">
        <v>178254.1</v>
      </c>
      <c r="AM209" s="234">
        <v>21350.07</v>
      </c>
      <c r="AN209" s="234">
        <v>16456.830000000002</v>
      </c>
      <c r="AO209" s="234">
        <v>60050.47</v>
      </c>
      <c r="AP209" s="234">
        <v>63054.66</v>
      </c>
      <c r="AQ209" s="234">
        <v>14430.38</v>
      </c>
      <c r="AR209" s="234">
        <v>22906.32</v>
      </c>
      <c r="AS209" s="234">
        <v>304413.90000000002</v>
      </c>
      <c r="AT209" s="234">
        <v>278904.5</v>
      </c>
      <c r="AU209" s="234">
        <v>360158.4</v>
      </c>
      <c r="AV209" s="234">
        <v>83726.27</v>
      </c>
      <c r="AW209" s="234">
        <v>88354.95</v>
      </c>
      <c r="AX209" s="234">
        <v>9349.0210000000006</v>
      </c>
      <c r="AY209" s="234">
        <v>2305.9520000000002</v>
      </c>
      <c r="AZ209" s="234">
        <v>386470.9</v>
      </c>
      <c r="BA209" s="234">
        <v>18405.14</v>
      </c>
      <c r="BB209" s="234">
        <v>28822</v>
      </c>
      <c r="BC209" s="234">
        <v>30542</v>
      </c>
      <c r="BD209" s="234">
        <v>11213</v>
      </c>
      <c r="BE209" s="234" t="s">
        <v>1753</v>
      </c>
      <c r="BF209" s="234">
        <v>1.3794680851063801</v>
      </c>
      <c r="BG209" s="234">
        <v>3</v>
      </c>
      <c r="BH209" s="234">
        <v>713400</v>
      </c>
      <c r="BI209" s="234">
        <v>0</v>
      </c>
      <c r="BJ209" s="234">
        <v>0</v>
      </c>
      <c r="BK209" s="234">
        <v>1</v>
      </c>
      <c r="BL209" s="234">
        <v>0</v>
      </c>
      <c r="BM209" s="234">
        <v>0</v>
      </c>
      <c r="BN209" s="234">
        <f>IF(ECON_OUTPUT!BE209="Other",1,0)</f>
        <v>1</v>
      </c>
    </row>
    <row r="210" spans="1:66" x14ac:dyDescent="0.25">
      <c r="A210" s="234">
        <v>209</v>
      </c>
      <c r="B210" s="234" t="s">
        <v>1757</v>
      </c>
      <c r="C210" s="234" t="s">
        <v>1580</v>
      </c>
      <c r="D210" s="234" t="s">
        <v>1581</v>
      </c>
      <c r="E210" s="235">
        <v>43517</v>
      </c>
      <c r="F210" s="234" t="s">
        <v>34</v>
      </c>
      <c r="G210" s="234">
        <v>4450000</v>
      </c>
      <c r="H210" s="234">
        <v>5282906</v>
      </c>
      <c r="I210" s="234">
        <v>0.18716988800000001</v>
      </c>
      <c r="J210" s="234" t="s">
        <v>465</v>
      </c>
      <c r="K210" s="234">
        <v>7</v>
      </c>
      <c r="L210" s="234" t="s">
        <v>25</v>
      </c>
      <c r="M210" s="234">
        <v>1</v>
      </c>
      <c r="N210" s="234" t="s">
        <v>492</v>
      </c>
      <c r="O210" s="234" t="s">
        <v>1751</v>
      </c>
      <c r="P210" s="234" t="s">
        <v>1750</v>
      </c>
      <c r="Q210" s="234">
        <v>6563660</v>
      </c>
      <c r="R210" s="234">
        <v>275.84100000000001</v>
      </c>
      <c r="S210" s="234">
        <v>281.26589999999999</v>
      </c>
      <c r="T210" s="234">
        <v>385.47460000000001</v>
      </c>
      <c r="U210" s="234">
        <v>1901.442</v>
      </c>
      <c r="V210" s="234">
        <v>2305.9520000000002</v>
      </c>
      <c r="W210" s="234">
        <v>561.96169999999995</v>
      </c>
      <c r="X210" s="234">
        <v>1212.8910000000001</v>
      </c>
      <c r="Y210" s="234">
        <v>1297.42</v>
      </c>
      <c r="Z210" s="234">
        <v>335.31849999999997</v>
      </c>
      <c r="AA210" s="234">
        <v>1538.028</v>
      </c>
      <c r="AB210" s="234">
        <v>205.96199999999999</v>
      </c>
      <c r="AC210" s="234">
        <v>869.6318</v>
      </c>
      <c r="AD210" s="234">
        <v>367.63369999999998</v>
      </c>
      <c r="AE210" s="234">
        <v>391.99290000000002</v>
      </c>
      <c r="AF210" s="234">
        <v>42907.62</v>
      </c>
      <c r="AG210" s="234">
        <v>9980.8629999999994</v>
      </c>
      <c r="AH210" s="234">
        <v>55148.99</v>
      </c>
      <c r="AI210" s="234">
        <v>30022.03</v>
      </c>
      <c r="AJ210" s="234">
        <v>18178.72</v>
      </c>
      <c r="AK210" s="234">
        <v>33802.28</v>
      </c>
      <c r="AL210" s="234">
        <v>178254.1</v>
      </c>
      <c r="AM210" s="234">
        <v>21350.07</v>
      </c>
      <c r="AN210" s="234">
        <v>16456.830000000002</v>
      </c>
      <c r="AO210" s="234">
        <v>60050.47</v>
      </c>
      <c r="AP210" s="234">
        <v>63054.66</v>
      </c>
      <c r="AQ210" s="234">
        <v>14430.38</v>
      </c>
      <c r="AR210" s="234">
        <v>22906.32</v>
      </c>
      <c r="AS210" s="234">
        <v>304413.90000000002</v>
      </c>
      <c r="AT210" s="234">
        <v>278904.5</v>
      </c>
      <c r="AU210" s="234">
        <v>360158.4</v>
      </c>
      <c r="AV210" s="234">
        <v>83726.27</v>
      </c>
      <c r="AW210" s="234">
        <v>88354.95</v>
      </c>
      <c r="AX210" s="234">
        <v>9349.0210000000006</v>
      </c>
      <c r="AY210" s="234">
        <v>2305.9520000000002</v>
      </c>
      <c r="AZ210" s="234">
        <v>386470.9</v>
      </c>
      <c r="BA210" s="234">
        <v>18405.14</v>
      </c>
      <c r="BB210" s="234">
        <v>28822</v>
      </c>
      <c r="BC210" s="234">
        <v>30542</v>
      </c>
      <c r="BD210" s="234">
        <v>11213</v>
      </c>
      <c r="BE210" s="234" t="s">
        <v>34</v>
      </c>
      <c r="BF210" s="234">
        <v>1.4749797752809</v>
      </c>
      <c r="BG210" s="234">
        <v>4</v>
      </c>
      <c r="BH210" s="234">
        <v>2113660</v>
      </c>
      <c r="BI210" s="234">
        <v>0</v>
      </c>
      <c r="BJ210" s="234">
        <v>0</v>
      </c>
      <c r="BK210" s="234">
        <v>0</v>
      </c>
      <c r="BL210" s="234">
        <v>1</v>
      </c>
      <c r="BM210" s="234">
        <v>0</v>
      </c>
      <c r="BN210" s="234">
        <f>IF(ECON_OUTPUT!BE210="Other",1,0)</f>
        <v>0</v>
      </c>
    </row>
    <row r="211" spans="1:66" x14ac:dyDescent="0.25">
      <c r="A211" s="234">
        <v>210</v>
      </c>
      <c r="B211" s="234" t="s">
        <v>1757</v>
      </c>
      <c r="C211" s="234" t="s">
        <v>1582</v>
      </c>
      <c r="D211" s="234" t="s">
        <v>1584</v>
      </c>
      <c r="E211" s="235">
        <v>43529</v>
      </c>
      <c r="F211" s="234" t="s">
        <v>34</v>
      </c>
      <c r="G211" s="234">
        <v>42125550</v>
      </c>
      <c r="H211" s="234">
        <v>34053550</v>
      </c>
      <c r="I211" s="234">
        <v>-0.19161767599999999</v>
      </c>
      <c r="J211" s="234" t="s">
        <v>465</v>
      </c>
      <c r="K211" s="234">
        <v>2</v>
      </c>
      <c r="L211" s="234" t="s">
        <v>93</v>
      </c>
      <c r="M211" s="234">
        <v>1</v>
      </c>
      <c r="N211" s="234" t="s">
        <v>458</v>
      </c>
      <c r="O211" s="234" t="s">
        <v>1751</v>
      </c>
      <c r="P211" s="234" t="s">
        <v>1755</v>
      </c>
      <c r="Q211" s="234">
        <v>36265223</v>
      </c>
      <c r="R211" s="234">
        <v>275.84100000000001</v>
      </c>
      <c r="S211" s="234">
        <v>281.26589999999999</v>
      </c>
      <c r="T211" s="234">
        <v>385.47460000000001</v>
      </c>
      <c r="U211" s="234">
        <v>1901.442</v>
      </c>
      <c r="V211" s="234">
        <v>2305.9520000000002</v>
      </c>
      <c r="W211" s="234">
        <v>561.96169999999995</v>
      </c>
      <c r="X211" s="234">
        <v>1212.8910000000001</v>
      </c>
      <c r="Y211" s="234">
        <v>1297.42</v>
      </c>
      <c r="Z211" s="234">
        <v>335.31849999999997</v>
      </c>
      <c r="AA211" s="234">
        <v>1538.028</v>
      </c>
      <c r="AB211" s="234">
        <v>205.96199999999999</v>
      </c>
      <c r="AC211" s="234">
        <v>869.6318</v>
      </c>
      <c r="AD211" s="234">
        <v>367.63369999999998</v>
      </c>
      <c r="AE211" s="234">
        <v>391.99290000000002</v>
      </c>
      <c r="AF211" s="234">
        <v>42907.62</v>
      </c>
      <c r="AG211" s="234">
        <v>9980.8629999999994</v>
      </c>
      <c r="AH211" s="234">
        <v>55148.99</v>
      </c>
      <c r="AI211" s="234">
        <v>30022.03</v>
      </c>
      <c r="AJ211" s="234">
        <v>18178.72</v>
      </c>
      <c r="AK211" s="234">
        <v>33802.28</v>
      </c>
      <c r="AL211" s="234">
        <v>178254.1</v>
      </c>
      <c r="AM211" s="234">
        <v>21350.07</v>
      </c>
      <c r="AN211" s="234">
        <v>16456.830000000002</v>
      </c>
      <c r="AO211" s="234">
        <v>60050.47</v>
      </c>
      <c r="AP211" s="234">
        <v>63054.66</v>
      </c>
      <c r="AQ211" s="234">
        <v>14430.38</v>
      </c>
      <c r="AR211" s="234">
        <v>22906.32</v>
      </c>
      <c r="AS211" s="234">
        <v>304413.90000000002</v>
      </c>
      <c r="AT211" s="234">
        <v>278904.5</v>
      </c>
      <c r="AU211" s="234">
        <v>360158.4</v>
      </c>
      <c r="AV211" s="234">
        <v>83726.27</v>
      </c>
      <c r="AW211" s="234">
        <v>88354.95</v>
      </c>
      <c r="AX211" s="234">
        <v>9349.0210000000006</v>
      </c>
      <c r="AY211" s="234">
        <v>2305.9520000000002</v>
      </c>
      <c r="AZ211" s="234">
        <v>386470.9</v>
      </c>
      <c r="BA211" s="234">
        <v>18405.14</v>
      </c>
      <c r="BB211" s="234">
        <v>28822</v>
      </c>
      <c r="BC211" s="234">
        <v>30542</v>
      </c>
      <c r="BD211" s="234">
        <v>11213</v>
      </c>
      <c r="BE211" s="234" t="s">
        <v>34</v>
      </c>
      <c r="BF211" s="234">
        <v>0.86088426145177899</v>
      </c>
      <c r="BG211" s="234">
        <v>5</v>
      </c>
      <c r="BH211" s="234">
        <v>-5860327</v>
      </c>
      <c r="BI211" s="234">
        <v>0</v>
      </c>
      <c r="BJ211" s="234">
        <v>0</v>
      </c>
      <c r="BK211" s="234">
        <v>0</v>
      </c>
      <c r="BL211" s="234">
        <v>0</v>
      </c>
      <c r="BM211" s="234">
        <v>1</v>
      </c>
      <c r="BN211" s="234">
        <f>IF(ECON_OUTPUT!BE211="Other",1,0)</f>
        <v>0</v>
      </c>
    </row>
    <row r="212" spans="1:66" x14ac:dyDescent="0.25">
      <c r="A212" s="234">
        <v>211</v>
      </c>
      <c r="B212" s="234" t="s">
        <v>1757</v>
      </c>
      <c r="C212" s="234" t="s">
        <v>1586</v>
      </c>
      <c r="D212" s="234" t="s">
        <v>1587</v>
      </c>
      <c r="E212" s="235">
        <v>43531</v>
      </c>
      <c r="F212" s="234" t="s">
        <v>1341</v>
      </c>
      <c r="G212" s="234">
        <v>2460000</v>
      </c>
      <c r="H212" s="234">
        <v>2542676</v>
      </c>
      <c r="I212" s="234">
        <v>3.360813E-2</v>
      </c>
      <c r="J212" s="234" t="s">
        <v>464</v>
      </c>
      <c r="K212" s="234">
        <v>4</v>
      </c>
      <c r="L212" s="234" t="s">
        <v>93</v>
      </c>
      <c r="M212" s="234">
        <v>1</v>
      </c>
      <c r="N212" s="234" t="s">
        <v>458</v>
      </c>
      <c r="O212" s="234" t="s">
        <v>1751</v>
      </c>
      <c r="P212" s="234" t="s">
        <v>1750</v>
      </c>
      <c r="Q212" s="234">
        <v>2555556</v>
      </c>
      <c r="R212" s="234">
        <v>275.84100000000001</v>
      </c>
      <c r="S212" s="234">
        <v>281.26589999999999</v>
      </c>
      <c r="T212" s="234">
        <v>385.47460000000001</v>
      </c>
      <c r="U212" s="234">
        <v>1901.442</v>
      </c>
      <c r="V212" s="234">
        <v>2305.9520000000002</v>
      </c>
      <c r="W212" s="234">
        <v>561.96169999999995</v>
      </c>
      <c r="X212" s="234">
        <v>1212.8910000000001</v>
      </c>
      <c r="Y212" s="234">
        <v>1297.42</v>
      </c>
      <c r="Z212" s="234">
        <v>335.31849999999997</v>
      </c>
      <c r="AA212" s="234">
        <v>1538.028</v>
      </c>
      <c r="AB212" s="234">
        <v>205.96199999999999</v>
      </c>
      <c r="AC212" s="234">
        <v>869.6318</v>
      </c>
      <c r="AD212" s="234">
        <v>367.63369999999998</v>
      </c>
      <c r="AE212" s="234">
        <v>391.99290000000002</v>
      </c>
      <c r="AF212" s="234">
        <v>42907.62</v>
      </c>
      <c r="AG212" s="234">
        <v>9980.8629999999994</v>
      </c>
      <c r="AH212" s="234">
        <v>55148.99</v>
      </c>
      <c r="AI212" s="234">
        <v>30022.03</v>
      </c>
      <c r="AJ212" s="234">
        <v>18178.72</v>
      </c>
      <c r="AK212" s="234">
        <v>33802.28</v>
      </c>
      <c r="AL212" s="234">
        <v>178254.1</v>
      </c>
      <c r="AM212" s="234">
        <v>21350.07</v>
      </c>
      <c r="AN212" s="234">
        <v>16456.830000000002</v>
      </c>
      <c r="AO212" s="234">
        <v>60050.47</v>
      </c>
      <c r="AP212" s="234">
        <v>63054.66</v>
      </c>
      <c r="AQ212" s="234">
        <v>14430.38</v>
      </c>
      <c r="AR212" s="234">
        <v>22906.32</v>
      </c>
      <c r="AS212" s="234">
        <v>304413.90000000002</v>
      </c>
      <c r="AT212" s="234">
        <v>278904.5</v>
      </c>
      <c r="AU212" s="234">
        <v>360158.4</v>
      </c>
      <c r="AV212" s="234">
        <v>83726.27</v>
      </c>
      <c r="AW212" s="234">
        <v>88354.95</v>
      </c>
      <c r="AX212" s="234">
        <v>9349.0210000000006</v>
      </c>
      <c r="AY212" s="234">
        <v>2305.9520000000002</v>
      </c>
      <c r="AZ212" s="234">
        <v>386470.9</v>
      </c>
      <c r="BA212" s="234">
        <v>18405.14</v>
      </c>
      <c r="BB212" s="234">
        <v>28822</v>
      </c>
      <c r="BC212" s="234">
        <v>30542</v>
      </c>
      <c r="BD212" s="234">
        <v>11213</v>
      </c>
      <c r="BE212" s="234" t="s">
        <v>1753</v>
      </c>
      <c r="BF212" s="234">
        <v>1.0388439024390199</v>
      </c>
      <c r="BG212" s="234">
        <v>3</v>
      </c>
      <c r="BH212" s="234">
        <v>95556</v>
      </c>
      <c r="BI212" s="234">
        <v>0</v>
      </c>
      <c r="BJ212" s="234">
        <v>0</v>
      </c>
      <c r="BK212" s="234">
        <v>1</v>
      </c>
      <c r="BL212" s="234">
        <v>0</v>
      </c>
      <c r="BM212" s="234">
        <v>0</v>
      </c>
      <c r="BN212" s="234">
        <f>IF(ECON_OUTPUT!BE212="Other",1,0)</f>
        <v>1</v>
      </c>
    </row>
    <row r="213" spans="1:66" x14ac:dyDescent="0.25">
      <c r="A213" s="234">
        <v>212</v>
      </c>
      <c r="B213" s="234" t="s">
        <v>1757</v>
      </c>
      <c r="C213" s="234" t="s">
        <v>1594</v>
      </c>
      <c r="D213" s="234" t="s">
        <v>1595</v>
      </c>
      <c r="E213" s="235">
        <v>43543</v>
      </c>
      <c r="F213" s="234" t="s">
        <v>34</v>
      </c>
      <c r="G213" s="234">
        <v>2390000</v>
      </c>
      <c r="H213" s="234">
        <v>2374684</v>
      </c>
      <c r="I213" s="234">
        <v>-6.4083680000000002E-3</v>
      </c>
      <c r="J213" s="234" t="s">
        <v>464</v>
      </c>
      <c r="K213" s="234">
        <v>5</v>
      </c>
      <c r="L213" s="234" t="s">
        <v>93</v>
      </c>
      <c r="M213" s="234">
        <v>1</v>
      </c>
      <c r="N213" s="234" t="s">
        <v>458</v>
      </c>
      <c r="O213" s="234" t="s">
        <v>1751</v>
      </c>
      <c r="P213" s="234" t="s">
        <v>1754</v>
      </c>
      <c r="Q213" s="234">
        <v>2627000</v>
      </c>
      <c r="R213" s="234">
        <v>275.84100000000001</v>
      </c>
      <c r="S213" s="234">
        <v>281.26589999999999</v>
      </c>
      <c r="T213" s="234">
        <v>385.47460000000001</v>
      </c>
      <c r="U213" s="234">
        <v>1901.442</v>
      </c>
      <c r="V213" s="234">
        <v>2305.9520000000002</v>
      </c>
      <c r="W213" s="234">
        <v>561.96169999999995</v>
      </c>
      <c r="X213" s="234">
        <v>1212.8910000000001</v>
      </c>
      <c r="Y213" s="234">
        <v>1297.42</v>
      </c>
      <c r="Z213" s="234">
        <v>335.31849999999997</v>
      </c>
      <c r="AA213" s="234">
        <v>1538.028</v>
      </c>
      <c r="AB213" s="234">
        <v>205.96199999999999</v>
      </c>
      <c r="AC213" s="234">
        <v>869.6318</v>
      </c>
      <c r="AD213" s="234">
        <v>367.63369999999998</v>
      </c>
      <c r="AE213" s="234">
        <v>391.99290000000002</v>
      </c>
      <c r="AF213" s="234">
        <v>42907.62</v>
      </c>
      <c r="AG213" s="234">
        <v>9980.8629999999994</v>
      </c>
      <c r="AH213" s="234">
        <v>55148.99</v>
      </c>
      <c r="AI213" s="234">
        <v>30022.03</v>
      </c>
      <c r="AJ213" s="234">
        <v>18178.72</v>
      </c>
      <c r="AK213" s="234">
        <v>33802.28</v>
      </c>
      <c r="AL213" s="234">
        <v>178254.1</v>
      </c>
      <c r="AM213" s="234">
        <v>21350.07</v>
      </c>
      <c r="AN213" s="234">
        <v>16456.830000000002</v>
      </c>
      <c r="AO213" s="234">
        <v>60050.47</v>
      </c>
      <c r="AP213" s="234">
        <v>63054.66</v>
      </c>
      <c r="AQ213" s="234">
        <v>14430.38</v>
      </c>
      <c r="AR213" s="234">
        <v>22906.32</v>
      </c>
      <c r="AS213" s="234">
        <v>304413.90000000002</v>
      </c>
      <c r="AT213" s="234">
        <v>278904.5</v>
      </c>
      <c r="AU213" s="234">
        <v>360158.4</v>
      </c>
      <c r="AV213" s="234">
        <v>83726.27</v>
      </c>
      <c r="AW213" s="234">
        <v>88354.95</v>
      </c>
      <c r="AX213" s="234">
        <v>9349.0210000000006</v>
      </c>
      <c r="AY213" s="234">
        <v>2305.9520000000002</v>
      </c>
      <c r="AZ213" s="234">
        <v>386470.9</v>
      </c>
      <c r="BA213" s="234">
        <v>18405.14</v>
      </c>
      <c r="BB213" s="234">
        <v>28822</v>
      </c>
      <c r="BC213" s="234">
        <v>30542</v>
      </c>
      <c r="BD213" s="234">
        <v>11213</v>
      </c>
      <c r="BE213" s="234" t="s">
        <v>34</v>
      </c>
      <c r="BF213" s="234">
        <v>1.09916317991632</v>
      </c>
      <c r="BG213" s="234">
        <v>3</v>
      </c>
      <c r="BH213" s="234">
        <v>237000</v>
      </c>
      <c r="BI213" s="234">
        <v>0</v>
      </c>
      <c r="BJ213" s="234">
        <v>0</v>
      </c>
      <c r="BK213" s="234">
        <v>1</v>
      </c>
      <c r="BL213" s="234">
        <v>0</v>
      </c>
      <c r="BM213" s="234">
        <v>0</v>
      </c>
      <c r="BN213" s="234">
        <f>IF(ECON_OUTPUT!BE213="Other",1,0)</f>
        <v>0</v>
      </c>
    </row>
    <row r="214" spans="1:66" x14ac:dyDescent="0.25">
      <c r="A214" s="234">
        <v>213</v>
      </c>
      <c r="B214" s="234" t="s">
        <v>1757</v>
      </c>
      <c r="C214" s="234" t="s">
        <v>1597</v>
      </c>
      <c r="D214" s="234" t="s">
        <v>1598</v>
      </c>
      <c r="E214" s="235">
        <v>43545</v>
      </c>
      <c r="F214" s="234" t="s">
        <v>1341</v>
      </c>
      <c r="G214" s="234">
        <v>1151000</v>
      </c>
      <c r="H214" s="234">
        <v>1762891</v>
      </c>
      <c r="I214" s="234">
        <v>0.531616855</v>
      </c>
      <c r="J214" s="234" t="s">
        <v>465</v>
      </c>
      <c r="K214" s="234">
        <v>4</v>
      </c>
      <c r="L214" s="234" t="s">
        <v>25</v>
      </c>
      <c r="M214" s="234">
        <v>1</v>
      </c>
      <c r="N214" s="234" t="s">
        <v>457</v>
      </c>
      <c r="O214" s="234" t="s">
        <v>1751</v>
      </c>
      <c r="P214" s="234" t="s">
        <v>1754</v>
      </c>
      <c r="Q214" s="234">
        <v>1762891</v>
      </c>
      <c r="R214" s="234">
        <v>275.84100000000001</v>
      </c>
      <c r="S214" s="234">
        <v>281.26589999999999</v>
      </c>
      <c r="T214" s="234">
        <v>385.47460000000001</v>
      </c>
      <c r="U214" s="234">
        <v>1901.442</v>
      </c>
      <c r="V214" s="234">
        <v>2305.9520000000002</v>
      </c>
      <c r="W214" s="234">
        <v>561.96169999999995</v>
      </c>
      <c r="X214" s="234">
        <v>1212.8910000000001</v>
      </c>
      <c r="Y214" s="234">
        <v>1297.42</v>
      </c>
      <c r="Z214" s="234">
        <v>335.31849999999997</v>
      </c>
      <c r="AA214" s="234">
        <v>1538.028</v>
      </c>
      <c r="AB214" s="234">
        <v>205.96199999999999</v>
      </c>
      <c r="AC214" s="234">
        <v>869.6318</v>
      </c>
      <c r="AD214" s="234">
        <v>367.63369999999998</v>
      </c>
      <c r="AE214" s="234">
        <v>391.99290000000002</v>
      </c>
      <c r="AF214" s="234">
        <v>42907.62</v>
      </c>
      <c r="AG214" s="234">
        <v>9980.8629999999994</v>
      </c>
      <c r="AH214" s="234">
        <v>55148.99</v>
      </c>
      <c r="AI214" s="234">
        <v>30022.03</v>
      </c>
      <c r="AJ214" s="234">
        <v>18178.72</v>
      </c>
      <c r="AK214" s="234">
        <v>33802.28</v>
      </c>
      <c r="AL214" s="234">
        <v>178254.1</v>
      </c>
      <c r="AM214" s="234">
        <v>21350.07</v>
      </c>
      <c r="AN214" s="234">
        <v>16456.830000000002</v>
      </c>
      <c r="AO214" s="234">
        <v>60050.47</v>
      </c>
      <c r="AP214" s="234">
        <v>63054.66</v>
      </c>
      <c r="AQ214" s="234">
        <v>14430.38</v>
      </c>
      <c r="AR214" s="234">
        <v>22906.32</v>
      </c>
      <c r="AS214" s="234">
        <v>304413.90000000002</v>
      </c>
      <c r="AT214" s="234">
        <v>278904.5</v>
      </c>
      <c r="AU214" s="234">
        <v>360158.4</v>
      </c>
      <c r="AV214" s="234">
        <v>83726.27</v>
      </c>
      <c r="AW214" s="234">
        <v>88354.95</v>
      </c>
      <c r="AX214" s="234">
        <v>9349.0210000000006</v>
      </c>
      <c r="AY214" s="234">
        <v>2305.9520000000002</v>
      </c>
      <c r="AZ214" s="234">
        <v>386470.9</v>
      </c>
      <c r="BA214" s="234">
        <v>18405.14</v>
      </c>
      <c r="BB214" s="234">
        <v>28822</v>
      </c>
      <c r="BC214" s="234">
        <v>30542</v>
      </c>
      <c r="BD214" s="234">
        <v>11213</v>
      </c>
      <c r="BE214" s="234" t="s">
        <v>1753</v>
      </c>
      <c r="BF214" s="234">
        <v>1.5316168549087701</v>
      </c>
      <c r="BG214" s="234">
        <v>2</v>
      </c>
      <c r="BH214" s="234">
        <v>611891</v>
      </c>
      <c r="BI214" s="234">
        <v>0</v>
      </c>
      <c r="BJ214" s="234">
        <v>1</v>
      </c>
      <c r="BK214" s="234">
        <v>0</v>
      </c>
      <c r="BL214" s="234">
        <v>0</v>
      </c>
      <c r="BM214" s="234">
        <v>0</v>
      </c>
      <c r="BN214" s="234">
        <f>IF(ECON_OUTPUT!BE214="Other",1,0)</f>
        <v>1</v>
      </c>
    </row>
    <row r="215" spans="1:66" x14ac:dyDescent="0.25">
      <c r="A215" s="234">
        <v>214</v>
      </c>
      <c r="B215" s="234" t="s">
        <v>1756</v>
      </c>
      <c r="C215" s="234" t="s">
        <v>1606</v>
      </c>
      <c r="D215" s="234" t="s">
        <v>1607</v>
      </c>
      <c r="E215" s="235">
        <v>43565</v>
      </c>
      <c r="F215" s="234" t="s">
        <v>34</v>
      </c>
      <c r="G215" s="234">
        <v>1090000</v>
      </c>
      <c r="H215" s="234">
        <v>1142000</v>
      </c>
      <c r="I215" s="234">
        <v>4.7706421999999998E-2</v>
      </c>
      <c r="J215" s="234" t="s">
        <v>464</v>
      </c>
      <c r="K215" s="234">
        <v>3</v>
      </c>
      <c r="L215" s="234" t="s">
        <v>25</v>
      </c>
      <c r="M215" s="234">
        <v>2</v>
      </c>
      <c r="N215" s="234" t="s">
        <v>459</v>
      </c>
      <c r="O215" s="234" t="s">
        <v>1751</v>
      </c>
      <c r="P215" s="234" t="s">
        <v>1750</v>
      </c>
      <c r="Q215" s="234">
        <v>1245470</v>
      </c>
      <c r="R215" s="234">
        <v>278.40480000000002</v>
      </c>
      <c r="S215" s="234">
        <v>282.35829999999999</v>
      </c>
      <c r="T215" s="234">
        <v>387.36619999999999</v>
      </c>
      <c r="U215" s="234">
        <v>1906.192</v>
      </c>
      <c r="V215" s="234">
        <v>2315.73</v>
      </c>
      <c r="W215" s="234">
        <v>562.95590000000004</v>
      </c>
      <c r="X215" s="234">
        <v>1216.499</v>
      </c>
      <c r="Y215" s="234">
        <v>1303.23</v>
      </c>
      <c r="Z215" s="234">
        <v>335.4178</v>
      </c>
      <c r="AA215" s="234">
        <v>1545.953</v>
      </c>
      <c r="AB215" s="234">
        <v>206.82149999999999</v>
      </c>
      <c r="AC215" s="234">
        <v>872.99069999999995</v>
      </c>
      <c r="AD215" s="234">
        <v>370.20510000000002</v>
      </c>
      <c r="AE215" s="234">
        <v>392.75470000000001</v>
      </c>
      <c r="AF215" s="234">
        <v>43514.04</v>
      </c>
      <c r="AG215" s="234">
        <v>10003.67</v>
      </c>
      <c r="AH215" s="234">
        <v>55417.43</v>
      </c>
      <c r="AI215" s="234">
        <v>29967.8</v>
      </c>
      <c r="AJ215" s="234">
        <v>18271.669999999998</v>
      </c>
      <c r="AK215" s="234">
        <v>33881.050000000003</v>
      </c>
      <c r="AL215" s="234">
        <v>179039</v>
      </c>
      <c r="AM215" s="234">
        <v>21436.18</v>
      </c>
      <c r="AN215" s="234">
        <v>16442.54</v>
      </c>
      <c r="AO215" s="234">
        <v>60384.41</v>
      </c>
      <c r="AP215" s="234">
        <v>63237.14</v>
      </c>
      <c r="AQ215" s="234">
        <v>14529.09</v>
      </c>
      <c r="AR215" s="234">
        <v>22973.93</v>
      </c>
      <c r="AS215" s="234">
        <v>305749.8</v>
      </c>
      <c r="AT215" s="234">
        <v>278251.8</v>
      </c>
      <c r="AU215" s="234">
        <v>362353.4</v>
      </c>
      <c r="AV215" s="234">
        <v>84823.01</v>
      </c>
      <c r="AW215" s="234">
        <v>89170.17</v>
      </c>
      <c r="AX215" s="234">
        <v>9382.7450000000008</v>
      </c>
      <c r="AY215" s="234">
        <v>2315.73</v>
      </c>
      <c r="AZ215" s="234">
        <v>388232.4</v>
      </c>
      <c r="BA215" s="234">
        <v>18415.18</v>
      </c>
      <c r="BB215" s="234">
        <v>30165</v>
      </c>
      <c r="BC215" s="234">
        <v>28822</v>
      </c>
      <c r="BD215" s="234">
        <v>11230</v>
      </c>
      <c r="BE215" s="234" t="s">
        <v>34</v>
      </c>
      <c r="BF215" s="234">
        <v>1.1426330275229399</v>
      </c>
      <c r="BG215" s="234">
        <v>1</v>
      </c>
      <c r="BH215" s="234">
        <v>155470</v>
      </c>
      <c r="BI215" s="234">
        <v>1</v>
      </c>
      <c r="BJ215" s="234">
        <v>0</v>
      </c>
      <c r="BK215" s="234">
        <v>0</v>
      </c>
      <c r="BL215" s="234">
        <v>0</v>
      </c>
      <c r="BM215" s="234">
        <v>0</v>
      </c>
      <c r="BN215" s="234">
        <f>IF(ECON_OUTPUT!BE215="Other",1,0)</f>
        <v>0</v>
      </c>
    </row>
    <row r="216" spans="1:66" x14ac:dyDescent="0.25">
      <c r="A216" s="234">
        <v>215</v>
      </c>
      <c r="B216" s="234" t="s">
        <v>1756</v>
      </c>
      <c r="C216" s="234" t="s">
        <v>1609</v>
      </c>
      <c r="D216" s="234" t="s">
        <v>1610</v>
      </c>
      <c r="E216" s="235">
        <v>43567</v>
      </c>
      <c r="F216" s="234" t="s">
        <v>1341</v>
      </c>
      <c r="G216" s="234">
        <v>1216000</v>
      </c>
      <c r="H216" s="234">
        <v>1300529</v>
      </c>
      <c r="I216" s="234">
        <v>6.9513980000000003E-2</v>
      </c>
      <c r="J216" s="234" t="s">
        <v>464</v>
      </c>
      <c r="K216" s="234">
        <v>4</v>
      </c>
      <c r="L216" s="234" t="s">
        <v>25</v>
      </c>
      <c r="M216" s="234">
        <v>2</v>
      </c>
      <c r="N216" s="234" t="s">
        <v>459</v>
      </c>
      <c r="O216" s="234" t="s">
        <v>1751</v>
      </c>
      <c r="P216" s="234" t="s">
        <v>1750</v>
      </c>
      <c r="Q216" s="234">
        <v>2200788</v>
      </c>
      <c r="R216" s="234">
        <v>278.40480000000002</v>
      </c>
      <c r="S216" s="234">
        <v>282.35829999999999</v>
      </c>
      <c r="T216" s="234">
        <v>387.36619999999999</v>
      </c>
      <c r="U216" s="234">
        <v>1906.192</v>
      </c>
      <c r="V216" s="234">
        <v>2315.73</v>
      </c>
      <c r="W216" s="234">
        <v>562.95590000000004</v>
      </c>
      <c r="X216" s="234">
        <v>1216.499</v>
      </c>
      <c r="Y216" s="234">
        <v>1303.23</v>
      </c>
      <c r="Z216" s="234">
        <v>335.4178</v>
      </c>
      <c r="AA216" s="234">
        <v>1545.953</v>
      </c>
      <c r="AB216" s="234">
        <v>206.82149999999999</v>
      </c>
      <c r="AC216" s="234">
        <v>872.99069999999995</v>
      </c>
      <c r="AD216" s="234">
        <v>370.20510000000002</v>
      </c>
      <c r="AE216" s="234">
        <v>392.75470000000001</v>
      </c>
      <c r="AF216" s="234">
        <v>43514.04</v>
      </c>
      <c r="AG216" s="234">
        <v>10003.67</v>
      </c>
      <c r="AH216" s="234">
        <v>55417.43</v>
      </c>
      <c r="AI216" s="234">
        <v>29967.8</v>
      </c>
      <c r="AJ216" s="234">
        <v>18271.669999999998</v>
      </c>
      <c r="AK216" s="234">
        <v>33881.050000000003</v>
      </c>
      <c r="AL216" s="234">
        <v>179039</v>
      </c>
      <c r="AM216" s="234">
        <v>21436.18</v>
      </c>
      <c r="AN216" s="234">
        <v>16442.54</v>
      </c>
      <c r="AO216" s="234">
        <v>60384.41</v>
      </c>
      <c r="AP216" s="234">
        <v>63237.14</v>
      </c>
      <c r="AQ216" s="234">
        <v>14529.09</v>
      </c>
      <c r="AR216" s="234">
        <v>22973.93</v>
      </c>
      <c r="AS216" s="234">
        <v>305749.8</v>
      </c>
      <c r="AT216" s="234">
        <v>278251.8</v>
      </c>
      <c r="AU216" s="234">
        <v>362353.4</v>
      </c>
      <c r="AV216" s="234">
        <v>84823.01</v>
      </c>
      <c r="AW216" s="234">
        <v>89170.17</v>
      </c>
      <c r="AX216" s="234">
        <v>9382.7450000000008</v>
      </c>
      <c r="AY216" s="234">
        <v>2315.73</v>
      </c>
      <c r="AZ216" s="234">
        <v>388232.4</v>
      </c>
      <c r="BA216" s="234">
        <v>18415.18</v>
      </c>
      <c r="BB216" s="234">
        <v>30165</v>
      </c>
      <c r="BC216" s="234">
        <v>28822</v>
      </c>
      <c r="BD216" s="234">
        <v>11230</v>
      </c>
      <c r="BE216" s="234" t="s">
        <v>1753</v>
      </c>
      <c r="BF216" s="234">
        <v>1.80985855263158</v>
      </c>
      <c r="BG216" s="234">
        <v>2</v>
      </c>
      <c r="BH216" s="234">
        <v>984788</v>
      </c>
      <c r="BI216" s="234">
        <v>0</v>
      </c>
      <c r="BJ216" s="234">
        <v>1</v>
      </c>
      <c r="BK216" s="234">
        <v>0</v>
      </c>
      <c r="BL216" s="234">
        <v>0</v>
      </c>
      <c r="BM216" s="234">
        <v>0</v>
      </c>
      <c r="BN216" s="234">
        <f>IF(ECON_OUTPUT!BE216="Other",1,0)</f>
        <v>1</v>
      </c>
    </row>
    <row r="217" spans="1:66" x14ac:dyDescent="0.25">
      <c r="A217" s="234">
        <v>216</v>
      </c>
      <c r="B217" s="234" t="s">
        <v>1756</v>
      </c>
      <c r="C217" s="234" t="s">
        <v>1614</v>
      </c>
      <c r="D217" s="234" t="s">
        <v>1615</v>
      </c>
      <c r="E217" s="235">
        <v>43571</v>
      </c>
      <c r="F217" s="234" t="s">
        <v>34</v>
      </c>
      <c r="G217" s="234">
        <v>1200000</v>
      </c>
      <c r="H217" s="234">
        <v>1738750</v>
      </c>
      <c r="I217" s="234">
        <v>0.44895833299999999</v>
      </c>
      <c r="J217" s="234" t="s">
        <v>465</v>
      </c>
      <c r="K217" s="234">
        <v>4</v>
      </c>
      <c r="L217" s="234" t="s">
        <v>25</v>
      </c>
      <c r="M217" s="234">
        <v>2</v>
      </c>
      <c r="N217" s="234" t="s">
        <v>457</v>
      </c>
      <c r="O217" s="234" t="s">
        <v>1751</v>
      </c>
      <c r="P217" s="234" t="s">
        <v>1750</v>
      </c>
      <c r="Q217" s="234">
        <v>1937720</v>
      </c>
      <c r="R217" s="234">
        <v>278.40480000000002</v>
      </c>
      <c r="S217" s="234">
        <v>282.35829999999999</v>
      </c>
      <c r="T217" s="234">
        <v>387.36619999999999</v>
      </c>
      <c r="U217" s="234">
        <v>1906.192</v>
      </c>
      <c r="V217" s="234">
        <v>2315.73</v>
      </c>
      <c r="W217" s="234">
        <v>562.95590000000004</v>
      </c>
      <c r="X217" s="234">
        <v>1216.499</v>
      </c>
      <c r="Y217" s="234">
        <v>1303.23</v>
      </c>
      <c r="Z217" s="234">
        <v>335.4178</v>
      </c>
      <c r="AA217" s="234">
        <v>1545.953</v>
      </c>
      <c r="AB217" s="234">
        <v>206.82149999999999</v>
      </c>
      <c r="AC217" s="234">
        <v>872.99069999999995</v>
      </c>
      <c r="AD217" s="234">
        <v>370.20510000000002</v>
      </c>
      <c r="AE217" s="234">
        <v>392.75470000000001</v>
      </c>
      <c r="AF217" s="234">
        <v>43514.04</v>
      </c>
      <c r="AG217" s="234">
        <v>10003.67</v>
      </c>
      <c r="AH217" s="234">
        <v>55417.43</v>
      </c>
      <c r="AI217" s="234">
        <v>29967.8</v>
      </c>
      <c r="AJ217" s="234">
        <v>18271.669999999998</v>
      </c>
      <c r="AK217" s="234">
        <v>33881.050000000003</v>
      </c>
      <c r="AL217" s="234">
        <v>179039</v>
      </c>
      <c r="AM217" s="234">
        <v>21436.18</v>
      </c>
      <c r="AN217" s="234">
        <v>16442.54</v>
      </c>
      <c r="AO217" s="234">
        <v>60384.41</v>
      </c>
      <c r="AP217" s="234">
        <v>63237.14</v>
      </c>
      <c r="AQ217" s="234">
        <v>14529.09</v>
      </c>
      <c r="AR217" s="234">
        <v>22973.93</v>
      </c>
      <c r="AS217" s="234">
        <v>305749.8</v>
      </c>
      <c r="AT217" s="234">
        <v>278251.8</v>
      </c>
      <c r="AU217" s="234">
        <v>362353.4</v>
      </c>
      <c r="AV217" s="234">
        <v>84823.01</v>
      </c>
      <c r="AW217" s="234">
        <v>89170.17</v>
      </c>
      <c r="AX217" s="234">
        <v>9382.7450000000008</v>
      </c>
      <c r="AY217" s="234">
        <v>2315.73</v>
      </c>
      <c r="AZ217" s="234">
        <v>388232.4</v>
      </c>
      <c r="BA217" s="234">
        <v>18415.18</v>
      </c>
      <c r="BB217" s="234">
        <v>30165</v>
      </c>
      <c r="BC217" s="234">
        <v>28822</v>
      </c>
      <c r="BD217" s="234">
        <v>11230</v>
      </c>
      <c r="BE217" s="234" t="s">
        <v>34</v>
      </c>
      <c r="BF217" s="234">
        <v>1.61476666666667</v>
      </c>
      <c r="BG217" s="234">
        <v>2</v>
      </c>
      <c r="BH217" s="234">
        <v>737720</v>
      </c>
      <c r="BI217" s="234">
        <v>0</v>
      </c>
      <c r="BJ217" s="234">
        <v>1</v>
      </c>
      <c r="BK217" s="234">
        <v>0</v>
      </c>
      <c r="BL217" s="234">
        <v>0</v>
      </c>
      <c r="BM217" s="234">
        <v>0</v>
      </c>
      <c r="BN217" s="234">
        <f>IF(ECON_OUTPUT!BE217="Other",1,0)</f>
        <v>0</v>
      </c>
    </row>
    <row r="218" spans="1:66" x14ac:dyDescent="0.25">
      <c r="A218" s="234">
        <v>217</v>
      </c>
      <c r="B218" s="234" t="s">
        <v>1756</v>
      </c>
      <c r="C218" s="234" t="s">
        <v>1611</v>
      </c>
      <c r="D218" s="234" t="s">
        <v>1612</v>
      </c>
      <c r="E218" s="235">
        <v>43571</v>
      </c>
      <c r="F218" s="234" t="s">
        <v>34</v>
      </c>
      <c r="G218" s="234">
        <v>9330000</v>
      </c>
      <c r="H218" s="234">
        <v>7407376</v>
      </c>
      <c r="I218" s="234">
        <v>-0.20606902499999999</v>
      </c>
      <c r="J218" s="234" t="s">
        <v>464</v>
      </c>
      <c r="K218" s="234">
        <v>7</v>
      </c>
      <c r="L218" s="234" t="s">
        <v>93</v>
      </c>
      <c r="M218" s="234">
        <v>2</v>
      </c>
      <c r="N218" s="234" t="s">
        <v>458</v>
      </c>
      <c r="O218" s="234" t="s">
        <v>1751</v>
      </c>
      <c r="P218" s="234" t="s">
        <v>1750</v>
      </c>
      <c r="Q218" s="234">
        <v>7728122</v>
      </c>
      <c r="R218" s="234">
        <v>278.40480000000002</v>
      </c>
      <c r="S218" s="234">
        <v>282.35829999999999</v>
      </c>
      <c r="T218" s="234">
        <v>387.36619999999999</v>
      </c>
      <c r="U218" s="234">
        <v>1906.192</v>
      </c>
      <c r="V218" s="234">
        <v>2315.73</v>
      </c>
      <c r="W218" s="234">
        <v>562.95590000000004</v>
      </c>
      <c r="X218" s="234">
        <v>1216.499</v>
      </c>
      <c r="Y218" s="234">
        <v>1303.23</v>
      </c>
      <c r="Z218" s="234">
        <v>335.4178</v>
      </c>
      <c r="AA218" s="234">
        <v>1545.953</v>
      </c>
      <c r="AB218" s="234">
        <v>206.82149999999999</v>
      </c>
      <c r="AC218" s="234">
        <v>872.99069999999995</v>
      </c>
      <c r="AD218" s="234">
        <v>370.20510000000002</v>
      </c>
      <c r="AE218" s="234">
        <v>392.75470000000001</v>
      </c>
      <c r="AF218" s="234">
        <v>43514.04</v>
      </c>
      <c r="AG218" s="234">
        <v>10003.67</v>
      </c>
      <c r="AH218" s="234">
        <v>55417.43</v>
      </c>
      <c r="AI218" s="234">
        <v>29967.8</v>
      </c>
      <c r="AJ218" s="234">
        <v>18271.669999999998</v>
      </c>
      <c r="AK218" s="234">
        <v>33881.050000000003</v>
      </c>
      <c r="AL218" s="234">
        <v>179039</v>
      </c>
      <c r="AM218" s="234">
        <v>21436.18</v>
      </c>
      <c r="AN218" s="234">
        <v>16442.54</v>
      </c>
      <c r="AO218" s="234">
        <v>60384.41</v>
      </c>
      <c r="AP218" s="234">
        <v>63237.14</v>
      </c>
      <c r="AQ218" s="234">
        <v>14529.09</v>
      </c>
      <c r="AR218" s="234">
        <v>22973.93</v>
      </c>
      <c r="AS218" s="234">
        <v>305749.8</v>
      </c>
      <c r="AT218" s="234">
        <v>278251.8</v>
      </c>
      <c r="AU218" s="234">
        <v>362353.4</v>
      </c>
      <c r="AV218" s="234">
        <v>84823.01</v>
      </c>
      <c r="AW218" s="234">
        <v>89170.17</v>
      </c>
      <c r="AX218" s="234">
        <v>9382.7450000000008</v>
      </c>
      <c r="AY218" s="234">
        <v>2315.73</v>
      </c>
      <c r="AZ218" s="234">
        <v>388232.4</v>
      </c>
      <c r="BA218" s="234">
        <v>18415.18</v>
      </c>
      <c r="BB218" s="234">
        <v>30165</v>
      </c>
      <c r="BC218" s="234">
        <v>28822</v>
      </c>
      <c r="BD218" s="234">
        <v>11230</v>
      </c>
      <c r="BE218" s="234" t="s">
        <v>34</v>
      </c>
      <c r="BF218" s="234">
        <v>0.82830889603429803</v>
      </c>
      <c r="BG218" s="234">
        <v>4</v>
      </c>
      <c r="BH218" s="234">
        <v>-1601878</v>
      </c>
      <c r="BI218" s="234">
        <v>0</v>
      </c>
      <c r="BJ218" s="234">
        <v>0</v>
      </c>
      <c r="BK218" s="234">
        <v>0</v>
      </c>
      <c r="BL218" s="234">
        <v>1</v>
      </c>
      <c r="BM218" s="234">
        <v>0</v>
      </c>
      <c r="BN218" s="234">
        <f>IF(ECON_OUTPUT!BE218="Other",1,0)</f>
        <v>0</v>
      </c>
    </row>
    <row r="219" spans="1:66" x14ac:dyDescent="0.25">
      <c r="A219" s="234">
        <v>218</v>
      </c>
      <c r="B219" s="234" t="s">
        <v>1756</v>
      </c>
      <c r="C219" s="234" t="s">
        <v>1620</v>
      </c>
      <c r="D219" s="234" t="s">
        <v>1621</v>
      </c>
      <c r="E219" s="235">
        <v>43585</v>
      </c>
      <c r="F219" s="234" t="s">
        <v>34</v>
      </c>
      <c r="G219" s="234">
        <v>6950000</v>
      </c>
      <c r="H219" s="234">
        <v>8720200</v>
      </c>
      <c r="I219" s="234">
        <v>0.254705036</v>
      </c>
      <c r="J219" s="234" t="s">
        <v>465</v>
      </c>
      <c r="K219" s="234">
        <v>6</v>
      </c>
      <c r="L219" s="234" t="s">
        <v>93</v>
      </c>
      <c r="M219" s="234">
        <v>2</v>
      </c>
      <c r="N219" s="234" t="s">
        <v>458</v>
      </c>
      <c r="O219" s="234" t="s">
        <v>1751</v>
      </c>
      <c r="P219" s="234" t="s">
        <v>1750</v>
      </c>
      <c r="Q219" s="234">
        <v>8949953</v>
      </c>
      <c r="R219" s="234">
        <v>278.40480000000002</v>
      </c>
      <c r="S219" s="234">
        <v>282.35829999999999</v>
      </c>
      <c r="T219" s="234">
        <v>387.36619999999999</v>
      </c>
      <c r="U219" s="234">
        <v>1906.192</v>
      </c>
      <c r="V219" s="234">
        <v>2315.73</v>
      </c>
      <c r="W219" s="234">
        <v>562.95590000000004</v>
      </c>
      <c r="X219" s="234">
        <v>1216.499</v>
      </c>
      <c r="Y219" s="234">
        <v>1303.23</v>
      </c>
      <c r="Z219" s="234">
        <v>335.4178</v>
      </c>
      <c r="AA219" s="234">
        <v>1545.953</v>
      </c>
      <c r="AB219" s="234">
        <v>206.82149999999999</v>
      </c>
      <c r="AC219" s="234">
        <v>872.99069999999995</v>
      </c>
      <c r="AD219" s="234">
        <v>370.20510000000002</v>
      </c>
      <c r="AE219" s="234">
        <v>392.75470000000001</v>
      </c>
      <c r="AF219" s="234">
        <v>43514.04</v>
      </c>
      <c r="AG219" s="234">
        <v>10003.67</v>
      </c>
      <c r="AH219" s="234">
        <v>55417.43</v>
      </c>
      <c r="AI219" s="234">
        <v>29967.8</v>
      </c>
      <c r="AJ219" s="234">
        <v>18271.669999999998</v>
      </c>
      <c r="AK219" s="234">
        <v>33881.050000000003</v>
      </c>
      <c r="AL219" s="234">
        <v>179039</v>
      </c>
      <c r="AM219" s="234">
        <v>21436.18</v>
      </c>
      <c r="AN219" s="234">
        <v>16442.54</v>
      </c>
      <c r="AO219" s="234">
        <v>60384.41</v>
      </c>
      <c r="AP219" s="234">
        <v>63237.14</v>
      </c>
      <c r="AQ219" s="234">
        <v>14529.09</v>
      </c>
      <c r="AR219" s="234">
        <v>22973.93</v>
      </c>
      <c r="AS219" s="234">
        <v>305749.8</v>
      </c>
      <c r="AT219" s="234">
        <v>278251.8</v>
      </c>
      <c r="AU219" s="234">
        <v>362353.4</v>
      </c>
      <c r="AV219" s="234">
        <v>84823.01</v>
      </c>
      <c r="AW219" s="234">
        <v>89170.17</v>
      </c>
      <c r="AX219" s="234">
        <v>9382.7450000000008</v>
      </c>
      <c r="AY219" s="234">
        <v>2315.73</v>
      </c>
      <c r="AZ219" s="234">
        <v>388232.4</v>
      </c>
      <c r="BA219" s="234">
        <v>18415.18</v>
      </c>
      <c r="BB219" s="234">
        <v>30165</v>
      </c>
      <c r="BC219" s="234">
        <v>28822</v>
      </c>
      <c r="BD219" s="234">
        <v>11230</v>
      </c>
      <c r="BE219" s="234" t="s">
        <v>34</v>
      </c>
      <c r="BF219" s="234">
        <v>1.28776302158273</v>
      </c>
      <c r="BG219" s="234">
        <v>4</v>
      </c>
      <c r="BH219" s="234">
        <v>1999953</v>
      </c>
      <c r="BI219" s="234">
        <v>0</v>
      </c>
      <c r="BJ219" s="234">
        <v>0</v>
      </c>
      <c r="BK219" s="234">
        <v>0</v>
      </c>
      <c r="BL219" s="234">
        <v>1</v>
      </c>
      <c r="BM219" s="234">
        <v>0</v>
      </c>
      <c r="BN219" s="234">
        <f>IF(ECON_OUTPUT!BE219="Other",1,0)</f>
        <v>0</v>
      </c>
    </row>
    <row r="220" spans="1:66" x14ac:dyDescent="0.25">
      <c r="A220" s="234">
        <v>219</v>
      </c>
      <c r="B220" s="234" t="s">
        <v>1756</v>
      </c>
      <c r="C220" s="234" t="s">
        <v>1622</v>
      </c>
      <c r="D220" s="234" t="s">
        <v>1628</v>
      </c>
      <c r="E220" s="235">
        <v>43586</v>
      </c>
      <c r="F220" s="234" t="s">
        <v>1753</v>
      </c>
      <c r="G220" s="234">
        <v>44840000</v>
      </c>
      <c r="H220" s="234">
        <v>48311245</v>
      </c>
      <c r="I220" s="234">
        <v>7.7414027999999996E-2</v>
      </c>
      <c r="J220" s="234" t="s">
        <v>464</v>
      </c>
      <c r="K220" s="234">
        <v>7</v>
      </c>
      <c r="L220" s="234" t="s">
        <v>25</v>
      </c>
      <c r="M220" s="234">
        <v>2</v>
      </c>
      <c r="N220" s="234" t="s">
        <v>459</v>
      </c>
      <c r="O220" s="234" t="s">
        <v>1751</v>
      </c>
      <c r="P220" s="234" t="s">
        <v>1754</v>
      </c>
      <c r="Q220" s="234">
        <v>50950000</v>
      </c>
      <c r="R220" s="234">
        <v>278.40480000000002</v>
      </c>
      <c r="S220" s="234">
        <v>282.35829999999999</v>
      </c>
      <c r="T220" s="234">
        <v>387.36619999999999</v>
      </c>
      <c r="U220" s="234">
        <v>1906.192</v>
      </c>
      <c r="V220" s="234">
        <v>2315.73</v>
      </c>
      <c r="W220" s="234">
        <v>562.95590000000004</v>
      </c>
      <c r="X220" s="234">
        <v>1216.499</v>
      </c>
      <c r="Y220" s="234">
        <v>1303.23</v>
      </c>
      <c r="Z220" s="234">
        <v>335.4178</v>
      </c>
      <c r="AA220" s="234">
        <v>1545.953</v>
      </c>
      <c r="AB220" s="234">
        <v>206.82149999999999</v>
      </c>
      <c r="AC220" s="234">
        <v>872.99069999999995</v>
      </c>
      <c r="AD220" s="234">
        <v>370.20510000000002</v>
      </c>
      <c r="AE220" s="234">
        <v>392.75470000000001</v>
      </c>
      <c r="AF220" s="234">
        <v>43514.04</v>
      </c>
      <c r="AG220" s="234">
        <v>10003.67</v>
      </c>
      <c r="AH220" s="234">
        <v>55417.43</v>
      </c>
      <c r="AI220" s="234">
        <v>29967.8</v>
      </c>
      <c r="AJ220" s="234">
        <v>18271.669999999998</v>
      </c>
      <c r="AK220" s="234">
        <v>33881.050000000003</v>
      </c>
      <c r="AL220" s="234">
        <v>179039</v>
      </c>
      <c r="AM220" s="234">
        <v>21436.18</v>
      </c>
      <c r="AN220" s="234">
        <v>16442.54</v>
      </c>
      <c r="AO220" s="234">
        <v>60384.41</v>
      </c>
      <c r="AP220" s="234">
        <v>63237.14</v>
      </c>
      <c r="AQ220" s="234">
        <v>14529.09</v>
      </c>
      <c r="AR220" s="234">
        <v>22973.93</v>
      </c>
      <c r="AS220" s="234">
        <v>305749.8</v>
      </c>
      <c r="AT220" s="234">
        <v>278251.8</v>
      </c>
      <c r="AU220" s="234">
        <v>362353.4</v>
      </c>
      <c r="AV220" s="234">
        <v>84823.01</v>
      </c>
      <c r="AW220" s="234">
        <v>89170.17</v>
      </c>
      <c r="AX220" s="234">
        <v>9382.7450000000008</v>
      </c>
      <c r="AY220" s="234">
        <v>2315.73</v>
      </c>
      <c r="AZ220" s="234">
        <v>388232.4</v>
      </c>
      <c r="BA220" s="234">
        <v>18415.18</v>
      </c>
      <c r="BB220" s="234">
        <v>30165</v>
      </c>
      <c r="BC220" s="234">
        <v>28822</v>
      </c>
      <c r="BD220" s="234">
        <v>11230</v>
      </c>
      <c r="BE220" s="234" t="s">
        <v>1753</v>
      </c>
      <c r="BF220" s="234">
        <v>1.13626226583408</v>
      </c>
      <c r="BG220" s="234">
        <v>5</v>
      </c>
      <c r="BH220" s="234">
        <v>6110000</v>
      </c>
      <c r="BI220" s="234">
        <v>0</v>
      </c>
      <c r="BJ220" s="234">
        <v>0</v>
      </c>
      <c r="BK220" s="234">
        <v>0</v>
      </c>
      <c r="BL220" s="234">
        <v>0</v>
      </c>
      <c r="BM220" s="234">
        <v>1</v>
      </c>
      <c r="BN220" s="234">
        <f>IF(ECON_OUTPUT!BE220="Other",1,0)</f>
        <v>1</v>
      </c>
    </row>
    <row r="221" spans="1:66" x14ac:dyDescent="0.25">
      <c r="A221" s="234">
        <v>220</v>
      </c>
      <c r="B221" s="234" t="s">
        <v>1756</v>
      </c>
      <c r="C221" s="234" t="s">
        <v>1630</v>
      </c>
      <c r="D221" s="234" t="s">
        <v>1629</v>
      </c>
      <c r="E221" s="235">
        <v>43587</v>
      </c>
      <c r="F221" s="234" t="s">
        <v>1753</v>
      </c>
      <c r="G221" s="234">
        <v>38200000</v>
      </c>
      <c r="H221" s="234">
        <v>40811000</v>
      </c>
      <c r="I221" s="234">
        <v>6.8350784999999997E-2</v>
      </c>
      <c r="J221" s="234" t="s">
        <v>464</v>
      </c>
      <c r="K221" s="234">
        <v>5</v>
      </c>
      <c r="L221" s="234" t="s">
        <v>25</v>
      </c>
      <c r="M221" s="234">
        <v>2</v>
      </c>
      <c r="N221" s="234" t="s">
        <v>459</v>
      </c>
      <c r="O221" s="234" t="s">
        <v>1751</v>
      </c>
      <c r="P221" s="234" t="s">
        <v>1754</v>
      </c>
      <c r="Q221" s="234">
        <v>41813670</v>
      </c>
      <c r="R221" s="234">
        <v>278.40480000000002</v>
      </c>
      <c r="S221" s="234">
        <v>282.35829999999999</v>
      </c>
      <c r="T221" s="234">
        <v>387.36619999999999</v>
      </c>
      <c r="U221" s="234">
        <v>1906.192</v>
      </c>
      <c r="V221" s="234">
        <v>2315.73</v>
      </c>
      <c r="W221" s="234">
        <v>562.95590000000004</v>
      </c>
      <c r="X221" s="234">
        <v>1216.499</v>
      </c>
      <c r="Y221" s="234">
        <v>1303.23</v>
      </c>
      <c r="Z221" s="234">
        <v>335.4178</v>
      </c>
      <c r="AA221" s="234">
        <v>1545.953</v>
      </c>
      <c r="AB221" s="234">
        <v>206.82149999999999</v>
      </c>
      <c r="AC221" s="234">
        <v>872.99069999999995</v>
      </c>
      <c r="AD221" s="234">
        <v>370.20510000000002</v>
      </c>
      <c r="AE221" s="234">
        <v>392.75470000000001</v>
      </c>
      <c r="AF221" s="234">
        <v>43514.04</v>
      </c>
      <c r="AG221" s="234">
        <v>10003.67</v>
      </c>
      <c r="AH221" s="234">
        <v>55417.43</v>
      </c>
      <c r="AI221" s="234">
        <v>29967.8</v>
      </c>
      <c r="AJ221" s="234">
        <v>18271.669999999998</v>
      </c>
      <c r="AK221" s="234">
        <v>33881.050000000003</v>
      </c>
      <c r="AL221" s="234">
        <v>179039</v>
      </c>
      <c r="AM221" s="234">
        <v>21436.18</v>
      </c>
      <c r="AN221" s="234">
        <v>16442.54</v>
      </c>
      <c r="AO221" s="234">
        <v>60384.41</v>
      </c>
      <c r="AP221" s="234">
        <v>63237.14</v>
      </c>
      <c r="AQ221" s="234">
        <v>14529.09</v>
      </c>
      <c r="AR221" s="234">
        <v>22973.93</v>
      </c>
      <c r="AS221" s="234">
        <v>305749.8</v>
      </c>
      <c r="AT221" s="234">
        <v>278251.8</v>
      </c>
      <c r="AU221" s="234">
        <v>362353.4</v>
      </c>
      <c r="AV221" s="234">
        <v>84823.01</v>
      </c>
      <c r="AW221" s="234">
        <v>89170.17</v>
      </c>
      <c r="AX221" s="234">
        <v>9382.7450000000008</v>
      </c>
      <c r="AY221" s="234">
        <v>2315.73</v>
      </c>
      <c r="AZ221" s="234">
        <v>388232.4</v>
      </c>
      <c r="BA221" s="234">
        <v>18415.18</v>
      </c>
      <c r="BB221" s="234">
        <v>30165</v>
      </c>
      <c r="BC221" s="234">
        <v>28822</v>
      </c>
      <c r="BD221" s="234">
        <v>11230</v>
      </c>
      <c r="BE221" s="234" t="s">
        <v>1753</v>
      </c>
      <c r="BF221" s="234">
        <v>1.09459869109948</v>
      </c>
      <c r="BG221" s="234">
        <v>5</v>
      </c>
      <c r="BH221" s="234">
        <v>3613670</v>
      </c>
      <c r="BI221" s="234">
        <v>0</v>
      </c>
      <c r="BJ221" s="234">
        <v>0</v>
      </c>
      <c r="BK221" s="234">
        <v>0</v>
      </c>
      <c r="BL221" s="234">
        <v>0</v>
      </c>
      <c r="BM221" s="234">
        <v>1</v>
      </c>
      <c r="BN221" s="234">
        <f>IF(ECON_OUTPUT!BE221="Other",1,0)</f>
        <v>1</v>
      </c>
    </row>
    <row r="222" spans="1:66" x14ac:dyDescent="0.25">
      <c r="A222" s="234">
        <v>221</v>
      </c>
      <c r="B222" s="234" t="s">
        <v>1756</v>
      </c>
      <c r="C222" s="234" t="s">
        <v>1631</v>
      </c>
      <c r="D222" s="234" t="s">
        <v>1632</v>
      </c>
      <c r="E222" s="235">
        <v>43593</v>
      </c>
      <c r="F222" s="234" t="s">
        <v>34</v>
      </c>
      <c r="G222" s="234">
        <v>18800000</v>
      </c>
      <c r="H222" s="234">
        <v>14551682</v>
      </c>
      <c r="I222" s="234">
        <v>-0.22597436200000001</v>
      </c>
      <c r="J222" s="234" t="s">
        <v>464</v>
      </c>
      <c r="K222" s="234">
        <v>11</v>
      </c>
      <c r="L222" s="234" t="s">
        <v>25</v>
      </c>
      <c r="M222" s="234">
        <v>2</v>
      </c>
      <c r="N222" s="234" t="s">
        <v>459</v>
      </c>
      <c r="O222" s="234" t="s">
        <v>1751</v>
      </c>
      <c r="P222" s="234" t="s">
        <v>1754</v>
      </c>
      <c r="Q222" s="234">
        <v>14587499</v>
      </c>
      <c r="R222" s="234">
        <v>278.40480000000002</v>
      </c>
      <c r="S222" s="234">
        <v>282.35829999999999</v>
      </c>
      <c r="T222" s="234">
        <v>387.36619999999999</v>
      </c>
      <c r="U222" s="234">
        <v>1906.192</v>
      </c>
      <c r="V222" s="234">
        <v>2315.73</v>
      </c>
      <c r="W222" s="234">
        <v>562.95590000000004</v>
      </c>
      <c r="X222" s="234">
        <v>1216.499</v>
      </c>
      <c r="Y222" s="234">
        <v>1303.23</v>
      </c>
      <c r="Z222" s="234">
        <v>335.4178</v>
      </c>
      <c r="AA222" s="234">
        <v>1545.953</v>
      </c>
      <c r="AB222" s="234">
        <v>206.82149999999999</v>
      </c>
      <c r="AC222" s="234">
        <v>872.99069999999995</v>
      </c>
      <c r="AD222" s="234">
        <v>370.20510000000002</v>
      </c>
      <c r="AE222" s="234">
        <v>392.75470000000001</v>
      </c>
      <c r="AF222" s="234">
        <v>43514.04</v>
      </c>
      <c r="AG222" s="234">
        <v>10003.67</v>
      </c>
      <c r="AH222" s="234">
        <v>55417.43</v>
      </c>
      <c r="AI222" s="234">
        <v>29967.8</v>
      </c>
      <c r="AJ222" s="234">
        <v>18271.669999999998</v>
      </c>
      <c r="AK222" s="234">
        <v>33881.050000000003</v>
      </c>
      <c r="AL222" s="234">
        <v>179039</v>
      </c>
      <c r="AM222" s="234">
        <v>21436.18</v>
      </c>
      <c r="AN222" s="234">
        <v>16442.54</v>
      </c>
      <c r="AO222" s="234">
        <v>60384.41</v>
      </c>
      <c r="AP222" s="234">
        <v>63237.14</v>
      </c>
      <c r="AQ222" s="234">
        <v>14529.09</v>
      </c>
      <c r="AR222" s="234">
        <v>22973.93</v>
      </c>
      <c r="AS222" s="234">
        <v>305749.8</v>
      </c>
      <c r="AT222" s="234">
        <v>278251.8</v>
      </c>
      <c r="AU222" s="234">
        <v>362353.4</v>
      </c>
      <c r="AV222" s="234">
        <v>84823.01</v>
      </c>
      <c r="AW222" s="234">
        <v>89170.17</v>
      </c>
      <c r="AX222" s="234">
        <v>9382.7450000000008</v>
      </c>
      <c r="AY222" s="234">
        <v>2315.73</v>
      </c>
      <c r="AZ222" s="234">
        <v>388232.4</v>
      </c>
      <c r="BA222" s="234">
        <v>18415.18</v>
      </c>
      <c r="BB222" s="234">
        <v>30165</v>
      </c>
      <c r="BC222" s="234">
        <v>28822</v>
      </c>
      <c r="BD222" s="234">
        <v>11230</v>
      </c>
      <c r="BE222" s="234" t="s">
        <v>34</v>
      </c>
      <c r="BF222" s="234">
        <v>0.77593079787233998</v>
      </c>
      <c r="BG222" s="234">
        <v>5</v>
      </c>
      <c r="BH222" s="234">
        <v>-4212501</v>
      </c>
      <c r="BI222" s="234">
        <v>0</v>
      </c>
      <c r="BJ222" s="234">
        <v>0</v>
      </c>
      <c r="BK222" s="234">
        <v>0</v>
      </c>
      <c r="BL222" s="234">
        <v>0</v>
      </c>
      <c r="BM222" s="234">
        <v>1</v>
      </c>
      <c r="BN222" s="234">
        <f>IF(ECON_OUTPUT!BE222="Other",1,0)</f>
        <v>0</v>
      </c>
    </row>
    <row r="223" spans="1:66" x14ac:dyDescent="0.25">
      <c r="A223" s="234">
        <v>222</v>
      </c>
      <c r="B223" s="234" t="s">
        <v>1756</v>
      </c>
      <c r="C223" s="234" t="s">
        <v>1646</v>
      </c>
      <c r="D223" s="234" t="s">
        <v>1647</v>
      </c>
      <c r="E223" s="235">
        <v>43621</v>
      </c>
      <c r="F223" s="234" t="s">
        <v>34</v>
      </c>
      <c r="G223" s="234">
        <v>8360000</v>
      </c>
      <c r="H223" s="234">
        <v>8947585</v>
      </c>
      <c r="I223" s="234">
        <v>7.0285287000000002E-2</v>
      </c>
      <c r="J223" s="234" t="s">
        <v>464</v>
      </c>
      <c r="K223" s="234">
        <v>3</v>
      </c>
      <c r="L223" s="234" t="s">
        <v>93</v>
      </c>
      <c r="M223" s="234">
        <v>2</v>
      </c>
      <c r="N223" s="234" t="s">
        <v>458</v>
      </c>
      <c r="O223" s="234" t="s">
        <v>1751</v>
      </c>
      <c r="P223" s="234" t="s">
        <v>1755</v>
      </c>
      <c r="Q223" s="234">
        <v>9550000</v>
      </c>
      <c r="R223" s="234">
        <v>278.40480000000002</v>
      </c>
      <c r="S223" s="234">
        <v>282.35829999999999</v>
      </c>
      <c r="T223" s="234">
        <v>387.36619999999999</v>
      </c>
      <c r="U223" s="234">
        <v>1906.192</v>
      </c>
      <c r="V223" s="234">
        <v>2315.73</v>
      </c>
      <c r="W223" s="234">
        <v>562.95590000000004</v>
      </c>
      <c r="X223" s="234">
        <v>1216.499</v>
      </c>
      <c r="Y223" s="234">
        <v>1303.23</v>
      </c>
      <c r="Z223" s="234">
        <v>335.4178</v>
      </c>
      <c r="AA223" s="234">
        <v>1545.953</v>
      </c>
      <c r="AB223" s="234">
        <v>206.82149999999999</v>
      </c>
      <c r="AC223" s="234">
        <v>872.99069999999995</v>
      </c>
      <c r="AD223" s="234">
        <v>370.20510000000002</v>
      </c>
      <c r="AE223" s="234">
        <v>392.75470000000001</v>
      </c>
      <c r="AF223" s="234">
        <v>43514.04</v>
      </c>
      <c r="AG223" s="234">
        <v>10003.67</v>
      </c>
      <c r="AH223" s="234">
        <v>55417.43</v>
      </c>
      <c r="AI223" s="234">
        <v>29967.8</v>
      </c>
      <c r="AJ223" s="234">
        <v>18271.669999999998</v>
      </c>
      <c r="AK223" s="234">
        <v>33881.050000000003</v>
      </c>
      <c r="AL223" s="234">
        <v>179039</v>
      </c>
      <c r="AM223" s="234">
        <v>21436.18</v>
      </c>
      <c r="AN223" s="234">
        <v>16442.54</v>
      </c>
      <c r="AO223" s="234">
        <v>60384.41</v>
      </c>
      <c r="AP223" s="234">
        <v>63237.14</v>
      </c>
      <c r="AQ223" s="234">
        <v>14529.09</v>
      </c>
      <c r="AR223" s="234">
        <v>22973.93</v>
      </c>
      <c r="AS223" s="234">
        <v>305749.8</v>
      </c>
      <c r="AT223" s="234">
        <v>278251.8</v>
      </c>
      <c r="AU223" s="234">
        <v>362353.4</v>
      </c>
      <c r="AV223" s="234">
        <v>84823.01</v>
      </c>
      <c r="AW223" s="234">
        <v>89170.17</v>
      </c>
      <c r="AX223" s="234">
        <v>9382.7450000000008</v>
      </c>
      <c r="AY223" s="234">
        <v>2315.73</v>
      </c>
      <c r="AZ223" s="234">
        <v>388232.4</v>
      </c>
      <c r="BA223" s="234">
        <v>18415.18</v>
      </c>
      <c r="BB223" s="234">
        <v>30165</v>
      </c>
      <c r="BC223" s="234">
        <v>28822</v>
      </c>
      <c r="BD223" s="234">
        <v>11230</v>
      </c>
      <c r="BE223" s="234" t="s">
        <v>34</v>
      </c>
      <c r="BF223" s="234">
        <v>1.14234449760766</v>
      </c>
      <c r="BG223" s="234">
        <v>4</v>
      </c>
      <c r="BH223" s="234">
        <v>1190000</v>
      </c>
      <c r="BI223" s="234">
        <v>0</v>
      </c>
      <c r="BJ223" s="234">
        <v>0</v>
      </c>
      <c r="BK223" s="234">
        <v>0</v>
      </c>
      <c r="BL223" s="234">
        <v>1</v>
      </c>
      <c r="BM223" s="234">
        <v>0</v>
      </c>
      <c r="BN223" s="234">
        <f>IF(ECON_OUTPUT!BE223="Other",1,0)</f>
        <v>0</v>
      </c>
    </row>
    <row r="224" spans="1:66" x14ac:dyDescent="0.25">
      <c r="A224" s="234">
        <v>223</v>
      </c>
      <c r="B224" s="234" t="s">
        <v>1756</v>
      </c>
      <c r="C224" s="234" t="s">
        <v>1654</v>
      </c>
      <c r="D224" s="234" t="s">
        <v>1657</v>
      </c>
      <c r="E224" s="235">
        <v>43622</v>
      </c>
      <c r="F224" s="234" t="s">
        <v>34</v>
      </c>
      <c r="G224" s="234">
        <v>2070000</v>
      </c>
      <c r="H224" s="234">
        <v>2112649</v>
      </c>
      <c r="I224" s="234">
        <v>2.0603382E-2</v>
      </c>
      <c r="J224" s="234" t="s">
        <v>464</v>
      </c>
      <c r="K224" s="234">
        <v>9</v>
      </c>
      <c r="L224" s="234" t="s">
        <v>226</v>
      </c>
      <c r="M224" s="234">
        <v>2</v>
      </c>
      <c r="N224" s="234" t="s">
        <v>457</v>
      </c>
      <c r="O224" s="234" t="s">
        <v>1751</v>
      </c>
      <c r="P224" s="234" t="s">
        <v>1754</v>
      </c>
      <c r="Q224" s="234">
        <v>2350033</v>
      </c>
      <c r="R224" s="234">
        <v>278.40480000000002</v>
      </c>
      <c r="S224" s="234">
        <v>282.35829999999999</v>
      </c>
      <c r="T224" s="234">
        <v>387.36619999999999</v>
      </c>
      <c r="U224" s="234">
        <v>1906.192</v>
      </c>
      <c r="V224" s="234">
        <v>2315.73</v>
      </c>
      <c r="W224" s="234">
        <v>562.95590000000004</v>
      </c>
      <c r="X224" s="234">
        <v>1216.499</v>
      </c>
      <c r="Y224" s="234">
        <v>1303.23</v>
      </c>
      <c r="Z224" s="234">
        <v>335.4178</v>
      </c>
      <c r="AA224" s="234">
        <v>1545.953</v>
      </c>
      <c r="AB224" s="234">
        <v>206.82149999999999</v>
      </c>
      <c r="AC224" s="234">
        <v>872.99069999999995</v>
      </c>
      <c r="AD224" s="234">
        <v>370.20510000000002</v>
      </c>
      <c r="AE224" s="234">
        <v>392.75470000000001</v>
      </c>
      <c r="AF224" s="234">
        <v>43514.04</v>
      </c>
      <c r="AG224" s="234">
        <v>10003.67</v>
      </c>
      <c r="AH224" s="234">
        <v>55417.43</v>
      </c>
      <c r="AI224" s="234">
        <v>29967.8</v>
      </c>
      <c r="AJ224" s="234">
        <v>18271.669999999998</v>
      </c>
      <c r="AK224" s="234">
        <v>33881.050000000003</v>
      </c>
      <c r="AL224" s="234">
        <v>179039</v>
      </c>
      <c r="AM224" s="234">
        <v>21436.18</v>
      </c>
      <c r="AN224" s="234">
        <v>16442.54</v>
      </c>
      <c r="AO224" s="234">
        <v>60384.41</v>
      </c>
      <c r="AP224" s="234">
        <v>63237.14</v>
      </c>
      <c r="AQ224" s="234">
        <v>14529.09</v>
      </c>
      <c r="AR224" s="234">
        <v>22973.93</v>
      </c>
      <c r="AS224" s="234">
        <v>305749.8</v>
      </c>
      <c r="AT224" s="234">
        <v>278251.8</v>
      </c>
      <c r="AU224" s="234">
        <v>362353.4</v>
      </c>
      <c r="AV224" s="234">
        <v>84823.01</v>
      </c>
      <c r="AW224" s="234">
        <v>89170.17</v>
      </c>
      <c r="AX224" s="234">
        <v>9382.7450000000008</v>
      </c>
      <c r="AY224" s="234">
        <v>2315.73</v>
      </c>
      <c r="AZ224" s="234">
        <v>388232.4</v>
      </c>
      <c r="BA224" s="234">
        <v>18415.18</v>
      </c>
      <c r="BB224" s="234">
        <v>30165</v>
      </c>
      <c r="BC224" s="234">
        <v>28822</v>
      </c>
      <c r="BD224" s="234">
        <v>11230</v>
      </c>
      <c r="BE224" s="234" t="s">
        <v>34</v>
      </c>
      <c r="BF224" s="234">
        <v>1.13528164251208</v>
      </c>
      <c r="BG224" s="234">
        <v>2</v>
      </c>
      <c r="BH224" s="234">
        <v>280033</v>
      </c>
      <c r="BI224" s="234">
        <v>0</v>
      </c>
      <c r="BJ224" s="234">
        <v>1</v>
      </c>
      <c r="BK224" s="234">
        <v>0</v>
      </c>
      <c r="BL224" s="234">
        <v>0</v>
      </c>
      <c r="BM224" s="234">
        <v>0</v>
      </c>
      <c r="BN224" s="234">
        <f>IF(ECON_OUTPUT!BE224="Other",1,0)</f>
        <v>0</v>
      </c>
    </row>
    <row r="225" spans="1:66" x14ac:dyDescent="0.25">
      <c r="A225" s="234">
        <v>224</v>
      </c>
      <c r="B225" s="234" t="s">
        <v>1756</v>
      </c>
      <c r="C225" s="234" t="s">
        <v>1658</v>
      </c>
      <c r="D225" s="234" t="s">
        <v>1659</v>
      </c>
      <c r="E225" s="235">
        <v>43628</v>
      </c>
      <c r="F225" s="234" t="s">
        <v>34</v>
      </c>
      <c r="G225" s="234">
        <v>2900000</v>
      </c>
      <c r="H225" s="234">
        <v>3845000</v>
      </c>
      <c r="I225" s="234">
        <v>0.32586206899999998</v>
      </c>
      <c r="J225" s="234" t="s">
        <v>465</v>
      </c>
      <c r="K225" s="234">
        <v>6</v>
      </c>
      <c r="L225" s="234" t="s">
        <v>25</v>
      </c>
      <c r="M225" s="234">
        <v>2</v>
      </c>
      <c r="N225" s="234" t="s">
        <v>457</v>
      </c>
      <c r="O225" s="234" t="s">
        <v>1751</v>
      </c>
      <c r="P225" s="234" t="s">
        <v>1754</v>
      </c>
      <c r="Q225" s="234">
        <v>4321000</v>
      </c>
      <c r="R225" s="234">
        <v>278.40480000000002</v>
      </c>
      <c r="S225" s="234">
        <v>282.35829999999999</v>
      </c>
      <c r="T225" s="234">
        <v>387.36619999999999</v>
      </c>
      <c r="U225" s="234">
        <v>1906.192</v>
      </c>
      <c r="V225" s="234">
        <v>2315.73</v>
      </c>
      <c r="W225" s="234">
        <v>562.95590000000004</v>
      </c>
      <c r="X225" s="234">
        <v>1216.499</v>
      </c>
      <c r="Y225" s="234">
        <v>1303.23</v>
      </c>
      <c r="Z225" s="234">
        <v>335.4178</v>
      </c>
      <c r="AA225" s="234">
        <v>1545.953</v>
      </c>
      <c r="AB225" s="234">
        <v>206.82149999999999</v>
      </c>
      <c r="AC225" s="234">
        <v>872.99069999999995</v>
      </c>
      <c r="AD225" s="234">
        <v>370.20510000000002</v>
      </c>
      <c r="AE225" s="234">
        <v>392.75470000000001</v>
      </c>
      <c r="AF225" s="234">
        <v>43514.04</v>
      </c>
      <c r="AG225" s="234">
        <v>10003.67</v>
      </c>
      <c r="AH225" s="234">
        <v>55417.43</v>
      </c>
      <c r="AI225" s="234">
        <v>29967.8</v>
      </c>
      <c r="AJ225" s="234">
        <v>18271.669999999998</v>
      </c>
      <c r="AK225" s="234">
        <v>33881.050000000003</v>
      </c>
      <c r="AL225" s="234">
        <v>179039</v>
      </c>
      <c r="AM225" s="234">
        <v>21436.18</v>
      </c>
      <c r="AN225" s="234">
        <v>16442.54</v>
      </c>
      <c r="AO225" s="234">
        <v>60384.41</v>
      </c>
      <c r="AP225" s="234">
        <v>63237.14</v>
      </c>
      <c r="AQ225" s="234">
        <v>14529.09</v>
      </c>
      <c r="AR225" s="234">
        <v>22973.93</v>
      </c>
      <c r="AS225" s="234">
        <v>305749.8</v>
      </c>
      <c r="AT225" s="234">
        <v>278251.8</v>
      </c>
      <c r="AU225" s="234">
        <v>362353.4</v>
      </c>
      <c r="AV225" s="234">
        <v>84823.01</v>
      </c>
      <c r="AW225" s="234">
        <v>89170.17</v>
      </c>
      <c r="AX225" s="234">
        <v>9382.7450000000008</v>
      </c>
      <c r="AY225" s="234">
        <v>2315.73</v>
      </c>
      <c r="AZ225" s="234">
        <v>388232.4</v>
      </c>
      <c r="BA225" s="234">
        <v>18415.18</v>
      </c>
      <c r="BB225" s="234">
        <v>30165</v>
      </c>
      <c r="BC225" s="234">
        <v>28822</v>
      </c>
      <c r="BD225" s="234">
        <v>11230</v>
      </c>
      <c r="BE225" s="234" t="s">
        <v>34</v>
      </c>
      <c r="BF225" s="234">
        <v>1.49</v>
      </c>
      <c r="BG225" s="234">
        <v>3</v>
      </c>
      <c r="BH225" s="234">
        <v>1421000</v>
      </c>
      <c r="BI225" s="234">
        <v>0</v>
      </c>
      <c r="BJ225" s="234">
        <v>0</v>
      </c>
      <c r="BK225" s="234">
        <v>1</v>
      </c>
      <c r="BL225" s="234">
        <v>0</v>
      </c>
      <c r="BM225" s="234">
        <v>0</v>
      </c>
      <c r="BN225" s="234">
        <f>IF(ECON_OUTPUT!BE225="Other",1,0)</f>
        <v>0</v>
      </c>
    </row>
    <row r="226" spans="1:66" x14ac:dyDescent="0.25">
      <c r="A226" s="234">
        <v>225</v>
      </c>
      <c r="B226" s="234" t="s">
        <v>1756</v>
      </c>
      <c r="C226" s="234" t="s">
        <v>1666</v>
      </c>
      <c r="D226" s="234" t="s">
        <v>1667</v>
      </c>
      <c r="E226" s="235">
        <v>43641</v>
      </c>
      <c r="F226" s="234" t="s">
        <v>34</v>
      </c>
      <c r="G226" s="234">
        <v>5280000</v>
      </c>
      <c r="H226" s="234">
        <v>5097757</v>
      </c>
      <c r="I226" s="234">
        <v>-3.451572E-2</v>
      </c>
      <c r="J226" s="234" t="s">
        <v>464</v>
      </c>
      <c r="K226" s="234">
        <v>14</v>
      </c>
      <c r="L226" s="234" t="s">
        <v>25</v>
      </c>
      <c r="M226" s="234">
        <v>2</v>
      </c>
      <c r="N226" s="234" t="s">
        <v>492</v>
      </c>
      <c r="O226" s="234" t="s">
        <v>1751</v>
      </c>
      <c r="P226" s="234" t="s">
        <v>1750</v>
      </c>
      <c r="Q226" s="234">
        <v>5154000</v>
      </c>
      <c r="R226" s="234">
        <v>278.40480000000002</v>
      </c>
      <c r="S226" s="234">
        <v>282.35829999999999</v>
      </c>
      <c r="T226" s="234">
        <v>387.36619999999999</v>
      </c>
      <c r="U226" s="234">
        <v>1906.192</v>
      </c>
      <c r="V226" s="234">
        <v>2315.73</v>
      </c>
      <c r="W226" s="234">
        <v>562.95590000000004</v>
      </c>
      <c r="X226" s="234">
        <v>1216.499</v>
      </c>
      <c r="Y226" s="234">
        <v>1303.23</v>
      </c>
      <c r="Z226" s="234">
        <v>335.4178</v>
      </c>
      <c r="AA226" s="234">
        <v>1545.953</v>
      </c>
      <c r="AB226" s="234">
        <v>206.82149999999999</v>
      </c>
      <c r="AC226" s="234">
        <v>872.99069999999995</v>
      </c>
      <c r="AD226" s="234">
        <v>370.20510000000002</v>
      </c>
      <c r="AE226" s="234">
        <v>392.75470000000001</v>
      </c>
      <c r="AF226" s="234">
        <v>43514.04</v>
      </c>
      <c r="AG226" s="234">
        <v>10003.67</v>
      </c>
      <c r="AH226" s="234">
        <v>55417.43</v>
      </c>
      <c r="AI226" s="234">
        <v>29967.8</v>
      </c>
      <c r="AJ226" s="234">
        <v>18271.669999999998</v>
      </c>
      <c r="AK226" s="234">
        <v>33881.050000000003</v>
      </c>
      <c r="AL226" s="234">
        <v>179039</v>
      </c>
      <c r="AM226" s="234">
        <v>21436.18</v>
      </c>
      <c r="AN226" s="234">
        <v>16442.54</v>
      </c>
      <c r="AO226" s="234">
        <v>60384.41</v>
      </c>
      <c r="AP226" s="234">
        <v>63237.14</v>
      </c>
      <c r="AQ226" s="234">
        <v>14529.09</v>
      </c>
      <c r="AR226" s="234">
        <v>22973.93</v>
      </c>
      <c r="AS226" s="234">
        <v>305749.8</v>
      </c>
      <c r="AT226" s="234">
        <v>278251.8</v>
      </c>
      <c r="AU226" s="234">
        <v>362353.4</v>
      </c>
      <c r="AV226" s="234">
        <v>84823.01</v>
      </c>
      <c r="AW226" s="234">
        <v>89170.17</v>
      </c>
      <c r="AX226" s="234">
        <v>9382.7450000000008</v>
      </c>
      <c r="AY226" s="234">
        <v>2315.73</v>
      </c>
      <c r="AZ226" s="234">
        <v>388232.4</v>
      </c>
      <c r="BA226" s="234">
        <v>18415.18</v>
      </c>
      <c r="BB226" s="234">
        <v>30165</v>
      </c>
      <c r="BC226" s="234">
        <v>28822</v>
      </c>
      <c r="BD226" s="234">
        <v>11230</v>
      </c>
      <c r="BE226" s="234" t="s">
        <v>34</v>
      </c>
      <c r="BF226" s="234">
        <v>0.97613636363636402</v>
      </c>
      <c r="BG226" s="234">
        <v>4</v>
      </c>
      <c r="BH226" s="234">
        <v>-126000</v>
      </c>
      <c r="BI226" s="234">
        <v>0</v>
      </c>
      <c r="BJ226" s="234">
        <v>0</v>
      </c>
      <c r="BK226" s="234">
        <v>0</v>
      </c>
      <c r="BL226" s="234">
        <v>1</v>
      </c>
      <c r="BM226" s="234">
        <v>0</v>
      </c>
      <c r="BN226" s="234">
        <f>IF(ECON_OUTPUT!BE226="Other",1,0)</f>
        <v>0</v>
      </c>
    </row>
    <row r="227" spans="1:66" x14ac:dyDescent="0.25">
      <c r="A227" s="234">
        <v>226</v>
      </c>
      <c r="B227" s="234" t="s">
        <v>1752</v>
      </c>
      <c r="C227" s="234" t="s">
        <v>1674</v>
      </c>
      <c r="D227" s="234" t="s">
        <v>1675</v>
      </c>
      <c r="E227" s="235">
        <v>43655</v>
      </c>
      <c r="F227" s="234" t="s">
        <v>1341</v>
      </c>
      <c r="G227" s="234">
        <v>400000</v>
      </c>
      <c r="H227" s="234">
        <v>396784</v>
      </c>
      <c r="I227" s="234">
        <v>-8.0400000000000003E-3</v>
      </c>
      <c r="J227" s="234" t="s">
        <v>464</v>
      </c>
      <c r="K227" s="234">
        <v>6</v>
      </c>
      <c r="L227" s="234" t="s">
        <v>93</v>
      </c>
      <c r="M227" s="234">
        <v>3</v>
      </c>
      <c r="N227" s="234" t="s">
        <v>457</v>
      </c>
      <c r="O227" s="234" t="s">
        <v>1751</v>
      </c>
      <c r="P227" s="234" t="s">
        <v>1754</v>
      </c>
      <c r="Q227" s="234">
        <v>508925</v>
      </c>
      <c r="R227" s="234">
        <v>280.27330000000001</v>
      </c>
      <c r="S227" s="234">
        <v>283.19380000000001</v>
      </c>
      <c r="T227" s="234">
        <v>389.25369999999998</v>
      </c>
      <c r="U227" s="234">
        <v>1907.4670000000001</v>
      </c>
      <c r="V227" s="234">
        <v>2323.3539999999998</v>
      </c>
      <c r="W227" s="234">
        <v>563.67309999999998</v>
      </c>
      <c r="X227" s="234">
        <v>1219.1969999999999</v>
      </c>
      <c r="Y227" s="234">
        <v>1308.048</v>
      </c>
      <c r="Z227" s="234">
        <v>335.60590000000002</v>
      </c>
      <c r="AA227" s="234">
        <v>1552.306</v>
      </c>
      <c r="AB227" s="234">
        <v>207.374</v>
      </c>
      <c r="AC227" s="234">
        <v>875.56569999999999</v>
      </c>
      <c r="AD227" s="234">
        <v>372.56470000000002</v>
      </c>
      <c r="AE227" s="234">
        <v>392.73840000000001</v>
      </c>
      <c r="AF227" s="234">
        <v>44178.27</v>
      </c>
      <c r="AG227" s="234">
        <v>10063.25</v>
      </c>
      <c r="AH227" s="234">
        <v>55738.55</v>
      </c>
      <c r="AI227" s="234">
        <v>29964.83</v>
      </c>
      <c r="AJ227" s="234">
        <v>18382.48</v>
      </c>
      <c r="AK227" s="234">
        <v>33997.300000000003</v>
      </c>
      <c r="AL227" s="234">
        <v>180074.5</v>
      </c>
      <c r="AM227" s="234">
        <v>21537.67</v>
      </c>
      <c r="AN227" s="234">
        <v>16492.57</v>
      </c>
      <c r="AO227" s="234">
        <v>60802.61</v>
      </c>
      <c r="AP227" s="234">
        <v>63533.33</v>
      </c>
      <c r="AQ227" s="234">
        <v>14654.58</v>
      </c>
      <c r="AR227" s="234">
        <v>23047.919999999998</v>
      </c>
      <c r="AS227" s="234">
        <v>308887.2</v>
      </c>
      <c r="AT227" s="234">
        <v>279429.09999999998</v>
      </c>
      <c r="AU227" s="234">
        <v>366455.8</v>
      </c>
      <c r="AV227" s="234">
        <v>85920</v>
      </c>
      <c r="AW227" s="234">
        <v>89969.09</v>
      </c>
      <c r="AX227" s="234">
        <v>9406.9879999999994</v>
      </c>
      <c r="AY227" s="234">
        <v>2323.3539999999998</v>
      </c>
      <c r="AZ227" s="234">
        <v>390555.9</v>
      </c>
      <c r="BA227" s="234">
        <v>18425.580000000002</v>
      </c>
      <c r="BB227" s="234">
        <v>22420</v>
      </c>
      <c r="BC227" s="234">
        <v>30165</v>
      </c>
      <c r="BD227" s="234">
        <v>11311</v>
      </c>
      <c r="BE227" s="234" t="s">
        <v>1753</v>
      </c>
      <c r="BF227" s="234">
        <v>1.2723125</v>
      </c>
      <c r="BG227" s="234">
        <v>1</v>
      </c>
      <c r="BH227" s="234">
        <v>108925</v>
      </c>
      <c r="BI227" s="234">
        <v>1</v>
      </c>
      <c r="BJ227" s="234">
        <v>0</v>
      </c>
      <c r="BK227" s="234">
        <v>0</v>
      </c>
      <c r="BL227" s="234">
        <v>0</v>
      </c>
      <c r="BM227" s="234">
        <v>0</v>
      </c>
      <c r="BN227" s="234">
        <f>IF(ECON_OUTPUT!BE227="Other",1,0)</f>
        <v>1</v>
      </c>
    </row>
    <row r="228" spans="1:66" x14ac:dyDescent="0.25">
      <c r="A228" s="234">
        <v>227</v>
      </c>
      <c r="B228" s="234" t="s">
        <v>1752</v>
      </c>
      <c r="C228" s="234" t="s">
        <v>1682</v>
      </c>
      <c r="D228" s="234" t="s">
        <v>1683</v>
      </c>
      <c r="E228" s="235">
        <v>43662</v>
      </c>
      <c r="F228" s="234" t="s">
        <v>1341</v>
      </c>
      <c r="G228" s="234">
        <v>2060000</v>
      </c>
      <c r="H228" s="234">
        <v>2899873</v>
      </c>
      <c r="I228" s="234">
        <v>0.40770534000000003</v>
      </c>
      <c r="J228" s="234" t="s">
        <v>465</v>
      </c>
      <c r="K228" s="234">
        <v>4</v>
      </c>
      <c r="L228" s="234" t="s">
        <v>25</v>
      </c>
      <c r="M228" s="234">
        <v>3</v>
      </c>
      <c r="N228" s="234" t="s">
        <v>457</v>
      </c>
      <c r="O228" s="234" t="s">
        <v>1751</v>
      </c>
      <c r="P228" s="234" t="s">
        <v>1754</v>
      </c>
      <c r="Q228" s="234">
        <v>2899873</v>
      </c>
      <c r="R228" s="234">
        <v>280.27330000000001</v>
      </c>
      <c r="S228" s="234">
        <v>283.19380000000001</v>
      </c>
      <c r="T228" s="234">
        <v>389.25369999999998</v>
      </c>
      <c r="U228" s="234">
        <v>1907.4670000000001</v>
      </c>
      <c r="V228" s="234">
        <v>2323.3539999999998</v>
      </c>
      <c r="W228" s="234">
        <v>563.67309999999998</v>
      </c>
      <c r="X228" s="234">
        <v>1219.1969999999999</v>
      </c>
      <c r="Y228" s="234">
        <v>1308.048</v>
      </c>
      <c r="Z228" s="234">
        <v>335.60590000000002</v>
      </c>
      <c r="AA228" s="234">
        <v>1552.306</v>
      </c>
      <c r="AB228" s="234">
        <v>207.374</v>
      </c>
      <c r="AC228" s="234">
        <v>875.56569999999999</v>
      </c>
      <c r="AD228" s="234">
        <v>372.56470000000002</v>
      </c>
      <c r="AE228" s="234">
        <v>392.73840000000001</v>
      </c>
      <c r="AF228" s="234">
        <v>44178.27</v>
      </c>
      <c r="AG228" s="234">
        <v>10063.25</v>
      </c>
      <c r="AH228" s="234">
        <v>55738.55</v>
      </c>
      <c r="AI228" s="234">
        <v>29964.83</v>
      </c>
      <c r="AJ228" s="234">
        <v>18382.48</v>
      </c>
      <c r="AK228" s="234">
        <v>33997.300000000003</v>
      </c>
      <c r="AL228" s="234">
        <v>180074.5</v>
      </c>
      <c r="AM228" s="234">
        <v>21537.67</v>
      </c>
      <c r="AN228" s="234">
        <v>16492.57</v>
      </c>
      <c r="AO228" s="234">
        <v>60802.61</v>
      </c>
      <c r="AP228" s="234">
        <v>63533.33</v>
      </c>
      <c r="AQ228" s="234">
        <v>14654.58</v>
      </c>
      <c r="AR228" s="234">
        <v>23047.919999999998</v>
      </c>
      <c r="AS228" s="234">
        <v>308887.2</v>
      </c>
      <c r="AT228" s="234">
        <v>279429.09999999998</v>
      </c>
      <c r="AU228" s="234">
        <v>366455.8</v>
      </c>
      <c r="AV228" s="234">
        <v>85920</v>
      </c>
      <c r="AW228" s="234">
        <v>89969.09</v>
      </c>
      <c r="AX228" s="234">
        <v>9406.9879999999994</v>
      </c>
      <c r="AY228" s="234">
        <v>2323.3539999999998</v>
      </c>
      <c r="AZ228" s="234">
        <v>390555.9</v>
      </c>
      <c r="BA228" s="234">
        <v>18425.580000000002</v>
      </c>
      <c r="BB228" s="234">
        <v>22420</v>
      </c>
      <c r="BC228" s="234">
        <v>30165</v>
      </c>
      <c r="BD228" s="234">
        <v>11311</v>
      </c>
      <c r="BE228" s="234" t="s">
        <v>1753</v>
      </c>
      <c r="BF228" s="234">
        <v>1.4077053398058299</v>
      </c>
      <c r="BG228" s="234">
        <v>3</v>
      </c>
      <c r="BH228" s="234">
        <v>839873</v>
      </c>
      <c r="BI228" s="234">
        <v>0</v>
      </c>
      <c r="BJ228" s="234">
        <v>0</v>
      </c>
      <c r="BK228" s="234">
        <v>1</v>
      </c>
      <c r="BL228" s="234">
        <v>0</v>
      </c>
      <c r="BM228" s="234">
        <v>0</v>
      </c>
      <c r="BN228" s="234">
        <f>IF(ECON_OUTPUT!BE228="Other",1,0)</f>
        <v>1</v>
      </c>
    </row>
    <row r="229" spans="1:66" x14ac:dyDescent="0.25">
      <c r="A229" s="234">
        <v>228</v>
      </c>
      <c r="B229" s="234" t="s">
        <v>1752</v>
      </c>
      <c r="C229" s="234" t="s">
        <v>1688</v>
      </c>
      <c r="D229" s="234" t="s">
        <v>1689</v>
      </c>
      <c r="E229" s="235">
        <v>43664</v>
      </c>
      <c r="F229" s="234" t="s">
        <v>34</v>
      </c>
      <c r="G229" s="234">
        <v>5660000</v>
      </c>
      <c r="H229" s="234">
        <v>3930000</v>
      </c>
      <c r="I229" s="234">
        <v>-0.30565371000000002</v>
      </c>
      <c r="J229" s="234" t="s">
        <v>464</v>
      </c>
      <c r="K229" s="234">
        <v>4</v>
      </c>
      <c r="L229" s="234" t="s">
        <v>25</v>
      </c>
      <c r="M229" s="234">
        <v>3</v>
      </c>
      <c r="N229" s="234" t="s">
        <v>492</v>
      </c>
      <c r="O229" s="234" t="s">
        <v>1751</v>
      </c>
      <c r="P229" s="234" t="s">
        <v>1750</v>
      </c>
      <c r="Q229" s="234">
        <v>4397206</v>
      </c>
      <c r="R229" s="234">
        <v>280.27330000000001</v>
      </c>
      <c r="S229" s="234">
        <v>283.19380000000001</v>
      </c>
      <c r="T229" s="234">
        <v>389.25369999999998</v>
      </c>
      <c r="U229" s="234">
        <v>1907.4670000000001</v>
      </c>
      <c r="V229" s="234">
        <v>2323.3539999999998</v>
      </c>
      <c r="W229" s="234">
        <v>563.67309999999998</v>
      </c>
      <c r="X229" s="234">
        <v>1219.1969999999999</v>
      </c>
      <c r="Y229" s="234">
        <v>1308.048</v>
      </c>
      <c r="Z229" s="234">
        <v>335.60590000000002</v>
      </c>
      <c r="AA229" s="234">
        <v>1552.306</v>
      </c>
      <c r="AB229" s="234">
        <v>207.374</v>
      </c>
      <c r="AC229" s="234">
        <v>875.56569999999999</v>
      </c>
      <c r="AD229" s="234">
        <v>372.56470000000002</v>
      </c>
      <c r="AE229" s="234">
        <v>392.73840000000001</v>
      </c>
      <c r="AF229" s="234">
        <v>44178.27</v>
      </c>
      <c r="AG229" s="234">
        <v>10063.25</v>
      </c>
      <c r="AH229" s="234">
        <v>55738.55</v>
      </c>
      <c r="AI229" s="234">
        <v>29964.83</v>
      </c>
      <c r="AJ229" s="234">
        <v>18382.48</v>
      </c>
      <c r="AK229" s="234">
        <v>33997.300000000003</v>
      </c>
      <c r="AL229" s="234">
        <v>180074.5</v>
      </c>
      <c r="AM229" s="234">
        <v>21537.67</v>
      </c>
      <c r="AN229" s="234">
        <v>16492.57</v>
      </c>
      <c r="AO229" s="234">
        <v>60802.61</v>
      </c>
      <c r="AP229" s="234">
        <v>63533.33</v>
      </c>
      <c r="AQ229" s="234">
        <v>14654.58</v>
      </c>
      <c r="AR229" s="234">
        <v>23047.919999999998</v>
      </c>
      <c r="AS229" s="234">
        <v>308887.2</v>
      </c>
      <c r="AT229" s="234">
        <v>279429.09999999998</v>
      </c>
      <c r="AU229" s="234">
        <v>366455.8</v>
      </c>
      <c r="AV229" s="234">
        <v>85920</v>
      </c>
      <c r="AW229" s="234">
        <v>89969.09</v>
      </c>
      <c r="AX229" s="234">
        <v>9406.9879999999994</v>
      </c>
      <c r="AY229" s="234">
        <v>2323.3539999999998</v>
      </c>
      <c r="AZ229" s="234">
        <v>390555.9</v>
      </c>
      <c r="BA229" s="234">
        <v>18425.580000000002</v>
      </c>
      <c r="BB229" s="234">
        <v>22420</v>
      </c>
      <c r="BC229" s="234">
        <v>30165</v>
      </c>
      <c r="BD229" s="234">
        <v>11311</v>
      </c>
      <c r="BE229" s="234" t="s">
        <v>34</v>
      </c>
      <c r="BF229" s="234">
        <v>0.77689151943462897</v>
      </c>
      <c r="BG229" s="234">
        <v>3</v>
      </c>
      <c r="BH229" s="234">
        <v>-1262794</v>
      </c>
      <c r="BI229" s="234">
        <v>0</v>
      </c>
      <c r="BJ229" s="234">
        <v>0</v>
      </c>
      <c r="BK229" s="234">
        <v>1</v>
      </c>
      <c r="BL229" s="234">
        <v>0</v>
      </c>
      <c r="BM229" s="234">
        <v>0</v>
      </c>
      <c r="BN229" s="234">
        <f>IF(ECON_OUTPUT!BE229="Other",1,0)</f>
        <v>0</v>
      </c>
    </row>
    <row r="230" spans="1:66" x14ac:dyDescent="0.25">
      <c r="A230" s="234">
        <v>229</v>
      </c>
      <c r="B230" s="234" t="s">
        <v>1752</v>
      </c>
      <c r="C230" s="234" t="s">
        <v>1692</v>
      </c>
      <c r="D230" s="234" t="s">
        <v>1693</v>
      </c>
      <c r="E230" s="235">
        <v>43669</v>
      </c>
      <c r="F230" s="234" t="s">
        <v>34</v>
      </c>
      <c r="G230" s="234">
        <v>249010000</v>
      </c>
      <c r="H230" s="234">
        <v>135022488</v>
      </c>
      <c r="I230" s="234">
        <v>-0.457762789</v>
      </c>
      <c r="J230" s="234" t="s">
        <v>465</v>
      </c>
      <c r="K230" s="234">
        <v>5</v>
      </c>
      <c r="L230" s="234" t="s">
        <v>226</v>
      </c>
      <c r="M230" s="234">
        <v>3</v>
      </c>
      <c r="N230" s="234" t="s">
        <v>457</v>
      </c>
      <c r="O230" s="234" t="s">
        <v>1751</v>
      </c>
      <c r="P230" s="234" t="s">
        <v>1750</v>
      </c>
      <c r="Q230" s="234">
        <v>159511820</v>
      </c>
      <c r="R230" s="234">
        <v>280.27330000000001</v>
      </c>
      <c r="S230" s="234">
        <v>283.19380000000001</v>
      </c>
      <c r="T230" s="234">
        <v>389.25369999999998</v>
      </c>
      <c r="U230" s="234">
        <v>1907.4670000000001</v>
      </c>
      <c r="V230" s="234">
        <v>2323.3539999999998</v>
      </c>
      <c r="W230" s="234">
        <v>563.67309999999998</v>
      </c>
      <c r="X230" s="234">
        <v>1219.1969999999999</v>
      </c>
      <c r="Y230" s="234">
        <v>1308.048</v>
      </c>
      <c r="Z230" s="234">
        <v>335.60590000000002</v>
      </c>
      <c r="AA230" s="234">
        <v>1552.306</v>
      </c>
      <c r="AB230" s="234">
        <v>207.374</v>
      </c>
      <c r="AC230" s="234">
        <v>875.56569999999999</v>
      </c>
      <c r="AD230" s="234">
        <v>372.56470000000002</v>
      </c>
      <c r="AE230" s="234">
        <v>392.73840000000001</v>
      </c>
      <c r="AF230" s="234">
        <v>44178.27</v>
      </c>
      <c r="AG230" s="234">
        <v>10063.25</v>
      </c>
      <c r="AH230" s="234">
        <v>55738.55</v>
      </c>
      <c r="AI230" s="234">
        <v>29964.83</v>
      </c>
      <c r="AJ230" s="234">
        <v>18382.48</v>
      </c>
      <c r="AK230" s="234">
        <v>33997.300000000003</v>
      </c>
      <c r="AL230" s="234">
        <v>180074.5</v>
      </c>
      <c r="AM230" s="234">
        <v>21537.67</v>
      </c>
      <c r="AN230" s="234">
        <v>16492.57</v>
      </c>
      <c r="AO230" s="234">
        <v>60802.61</v>
      </c>
      <c r="AP230" s="234">
        <v>63533.33</v>
      </c>
      <c r="AQ230" s="234">
        <v>14654.58</v>
      </c>
      <c r="AR230" s="234">
        <v>23047.919999999998</v>
      </c>
      <c r="AS230" s="234">
        <v>308887.2</v>
      </c>
      <c r="AT230" s="234">
        <v>279429.09999999998</v>
      </c>
      <c r="AU230" s="234">
        <v>366455.8</v>
      </c>
      <c r="AV230" s="234">
        <v>85920</v>
      </c>
      <c r="AW230" s="234">
        <v>89969.09</v>
      </c>
      <c r="AX230" s="234">
        <v>9406.9879999999994</v>
      </c>
      <c r="AY230" s="234">
        <v>2323.3539999999998</v>
      </c>
      <c r="AZ230" s="234">
        <v>390555.9</v>
      </c>
      <c r="BA230" s="234">
        <v>18425.580000000002</v>
      </c>
      <c r="BB230" s="234">
        <v>22420</v>
      </c>
      <c r="BC230" s="234">
        <v>30165</v>
      </c>
      <c r="BD230" s="234">
        <v>11311</v>
      </c>
      <c r="BE230" s="234" t="s">
        <v>34</v>
      </c>
      <c r="BF230" s="234">
        <v>0.64058399261073895</v>
      </c>
      <c r="BG230" s="234">
        <v>5</v>
      </c>
      <c r="BH230" s="234">
        <v>-89498180</v>
      </c>
      <c r="BI230" s="234">
        <v>0</v>
      </c>
      <c r="BJ230" s="234">
        <v>0</v>
      </c>
      <c r="BK230" s="234">
        <v>0</v>
      </c>
      <c r="BL230" s="234">
        <v>0</v>
      </c>
      <c r="BM230" s="234">
        <v>1</v>
      </c>
      <c r="BN230" s="234">
        <f>IF(ECON_OUTPUT!BE230="Other",1,0)</f>
        <v>0</v>
      </c>
    </row>
    <row r="231" spans="1:66" x14ac:dyDescent="0.25">
      <c r="A231" s="234">
        <v>230</v>
      </c>
      <c r="B231" s="234" t="s">
        <v>1752</v>
      </c>
      <c r="C231" s="234" t="s">
        <v>1699</v>
      </c>
      <c r="D231" s="234" t="s">
        <v>717</v>
      </c>
      <c r="E231" s="235">
        <v>43685</v>
      </c>
      <c r="F231" s="234" t="s">
        <v>1753</v>
      </c>
      <c r="G231" s="234">
        <v>1755000</v>
      </c>
      <c r="H231" s="234">
        <v>1312300</v>
      </c>
      <c r="I231" s="234">
        <v>-0.25225071199999999</v>
      </c>
      <c r="J231" s="234" t="s">
        <v>464</v>
      </c>
      <c r="K231" s="234">
        <v>7</v>
      </c>
      <c r="L231" s="234" t="s">
        <v>226</v>
      </c>
      <c r="M231" s="234">
        <v>3</v>
      </c>
      <c r="N231" s="234" t="s">
        <v>457</v>
      </c>
      <c r="O231" s="234" t="s">
        <v>1751</v>
      </c>
      <c r="P231" s="234" t="s">
        <v>1755</v>
      </c>
      <c r="Q231" s="234">
        <v>1378680</v>
      </c>
      <c r="R231" s="234">
        <v>280.27330000000001</v>
      </c>
      <c r="S231" s="234">
        <v>283.19380000000001</v>
      </c>
      <c r="T231" s="234">
        <v>389.25369999999998</v>
      </c>
      <c r="U231" s="234">
        <v>1907.4670000000001</v>
      </c>
      <c r="V231" s="234">
        <v>2323.3539999999998</v>
      </c>
      <c r="W231" s="234">
        <v>563.67309999999998</v>
      </c>
      <c r="X231" s="234">
        <v>1219.1969999999999</v>
      </c>
      <c r="Y231" s="234">
        <v>1308.048</v>
      </c>
      <c r="Z231" s="234">
        <v>335.60590000000002</v>
      </c>
      <c r="AA231" s="234">
        <v>1552.306</v>
      </c>
      <c r="AB231" s="234">
        <v>207.374</v>
      </c>
      <c r="AC231" s="234">
        <v>875.56569999999999</v>
      </c>
      <c r="AD231" s="234">
        <v>372.56470000000002</v>
      </c>
      <c r="AE231" s="234">
        <v>392.73840000000001</v>
      </c>
      <c r="AF231" s="234">
        <v>44178.27</v>
      </c>
      <c r="AG231" s="234">
        <v>10063.25</v>
      </c>
      <c r="AH231" s="234">
        <v>55738.55</v>
      </c>
      <c r="AI231" s="234">
        <v>29964.83</v>
      </c>
      <c r="AJ231" s="234">
        <v>18382.48</v>
      </c>
      <c r="AK231" s="234">
        <v>33997.300000000003</v>
      </c>
      <c r="AL231" s="234">
        <v>180074.5</v>
      </c>
      <c r="AM231" s="234">
        <v>21537.67</v>
      </c>
      <c r="AN231" s="234">
        <v>16492.57</v>
      </c>
      <c r="AO231" s="234">
        <v>60802.61</v>
      </c>
      <c r="AP231" s="234">
        <v>63533.33</v>
      </c>
      <c r="AQ231" s="234">
        <v>14654.58</v>
      </c>
      <c r="AR231" s="234">
        <v>23047.919999999998</v>
      </c>
      <c r="AS231" s="234">
        <v>308887.2</v>
      </c>
      <c r="AT231" s="234">
        <v>279429.09999999998</v>
      </c>
      <c r="AU231" s="234">
        <v>366455.8</v>
      </c>
      <c r="AV231" s="234">
        <v>85920</v>
      </c>
      <c r="AW231" s="234">
        <v>89969.09</v>
      </c>
      <c r="AX231" s="234">
        <v>9406.9879999999994</v>
      </c>
      <c r="AY231" s="234">
        <v>2323.3539999999998</v>
      </c>
      <c r="AZ231" s="234">
        <v>390555.9</v>
      </c>
      <c r="BA231" s="234">
        <v>18425.580000000002</v>
      </c>
      <c r="BB231" s="234">
        <v>22420</v>
      </c>
      <c r="BC231" s="234">
        <v>30165</v>
      </c>
      <c r="BD231" s="234">
        <v>11311</v>
      </c>
      <c r="BE231" s="234" t="s">
        <v>1753</v>
      </c>
      <c r="BF231" s="234">
        <v>0.78557264957265005</v>
      </c>
      <c r="BG231" s="234">
        <v>1</v>
      </c>
      <c r="BH231" s="234">
        <v>-376320</v>
      </c>
      <c r="BI231" s="234">
        <v>1</v>
      </c>
      <c r="BJ231" s="234">
        <v>0</v>
      </c>
      <c r="BK231" s="234">
        <v>0</v>
      </c>
      <c r="BL231" s="234">
        <v>0</v>
      </c>
      <c r="BM231" s="234">
        <v>0</v>
      </c>
      <c r="BN231" s="234">
        <f>IF(ECON_OUTPUT!BE231="Other",1,0)</f>
        <v>1</v>
      </c>
    </row>
    <row r="232" spans="1:66" x14ac:dyDescent="0.25">
      <c r="A232" s="234">
        <v>231</v>
      </c>
      <c r="B232" s="234" t="s">
        <v>1752</v>
      </c>
      <c r="C232" s="234" t="s">
        <v>1700</v>
      </c>
      <c r="D232" s="234" t="s">
        <v>1701</v>
      </c>
      <c r="E232" s="235">
        <v>43690</v>
      </c>
      <c r="F232" s="234" t="s">
        <v>34</v>
      </c>
      <c r="G232" s="234">
        <v>21500000</v>
      </c>
      <c r="H232" s="234">
        <v>23111450</v>
      </c>
      <c r="I232" s="234">
        <v>7.4951163000000001E-2</v>
      </c>
      <c r="J232" s="234" t="s">
        <v>464</v>
      </c>
      <c r="K232" s="234">
        <v>7</v>
      </c>
      <c r="L232" s="234" t="s">
        <v>25</v>
      </c>
      <c r="M232" s="234">
        <v>3</v>
      </c>
      <c r="N232" s="234" t="s">
        <v>459</v>
      </c>
      <c r="O232" s="234" t="s">
        <v>1751</v>
      </c>
      <c r="P232" s="234" t="s">
        <v>1750</v>
      </c>
      <c r="Q232" s="234">
        <v>23950000</v>
      </c>
      <c r="R232" s="234">
        <v>280.27330000000001</v>
      </c>
      <c r="S232" s="234">
        <v>283.19380000000001</v>
      </c>
      <c r="T232" s="234">
        <v>389.25369999999998</v>
      </c>
      <c r="U232" s="234">
        <v>1907.4670000000001</v>
      </c>
      <c r="V232" s="234">
        <v>2323.3539999999998</v>
      </c>
      <c r="W232" s="234">
        <v>563.67309999999998</v>
      </c>
      <c r="X232" s="234">
        <v>1219.1969999999999</v>
      </c>
      <c r="Y232" s="234">
        <v>1308.048</v>
      </c>
      <c r="Z232" s="234">
        <v>335.60590000000002</v>
      </c>
      <c r="AA232" s="234">
        <v>1552.306</v>
      </c>
      <c r="AB232" s="234">
        <v>207.374</v>
      </c>
      <c r="AC232" s="234">
        <v>875.56569999999999</v>
      </c>
      <c r="AD232" s="234">
        <v>372.56470000000002</v>
      </c>
      <c r="AE232" s="234">
        <v>392.73840000000001</v>
      </c>
      <c r="AF232" s="234">
        <v>44178.27</v>
      </c>
      <c r="AG232" s="234">
        <v>10063.25</v>
      </c>
      <c r="AH232" s="234">
        <v>55738.55</v>
      </c>
      <c r="AI232" s="234">
        <v>29964.83</v>
      </c>
      <c r="AJ232" s="234">
        <v>18382.48</v>
      </c>
      <c r="AK232" s="234">
        <v>33997.300000000003</v>
      </c>
      <c r="AL232" s="234">
        <v>180074.5</v>
      </c>
      <c r="AM232" s="234">
        <v>21537.67</v>
      </c>
      <c r="AN232" s="234">
        <v>16492.57</v>
      </c>
      <c r="AO232" s="234">
        <v>60802.61</v>
      </c>
      <c r="AP232" s="234">
        <v>63533.33</v>
      </c>
      <c r="AQ232" s="234">
        <v>14654.58</v>
      </c>
      <c r="AR232" s="234">
        <v>23047.919999999998</v>
      </c>
      <c r="AS232" s="234">
        <v>308887.2</v>
      </c>
      <c r="AT232" s="234">
        <v>279429.09999999998</v>
      </c>
      <c r="AU232" s="234">
        <v>366455.8</v>
      </c>
      <c r="AV232" s="234">
        <v>85920</v>
      </c>
      <c r="AW232" s="234">
        <v>89969.09</v>
      </c>
      <c r="AX232" s="234">
        <v>9406.9879999999994</v>
      </c>
      <c r="AY232" s="234">
        <v>2323.3539999999998</v>
      </c>
      <c r="AZ232" s="234">
        <v>390555.9</v>
      </c>
      <c r="BA232" s="234">
        <v>18425.580000000002</v>
      </c>
      <c r="BB232" s="234">
        <v>22420</v>
      </c>
      <c r="BC232" s="234">
        <v>30165</v>
      </c>
      <c r="BD232" s="234">
        <v>11311</v>
      </c>
      <c r="BE232" s="234" t="s">
        <v>34</v>
      </c>
      <c r="BF232" s="234">
        <v>1.1139534883720901</v>
      </c>
      <c r="BG232" s="234">
        <v>5</v>
      </c>
      <c r="BH232" s="234">
        <v>2450000</v>
      </c>
      <c r="BI232" s="234">
        <v>0</v>
      </c>
      <c r="BJ232" s="234">
        <v>0</v>
      </c>
      <c r="BK232" s="234">
        <v>0</v>
      </c>
      <c r="BL232" s="234">
        <v>0</v>
      </c>
      <c r="BM232" s="234">
        <v>1</v>
      </c>
      <c r="BN232" s="234">
        <f>IF(ECON_OUTPUT!BE232="Other",1,0)</f>
        <v>0</v>
      </c>
    </row>
    <row r="233" spans="1:66" x14ac:dyDescent="0.25">
      <c r="A233" s="234">
        <v>232</v>
      </c>
      <c r="B233" s="234" t="s">
        <v>1752</v>
      </c>
      <c r="C233" s="234" t="s">
        <v>1706</v>
      </c>
      <c r="D233" s="234" t="s">
        <v>1707</v>
      </c>
      <c r="E233" s="235">
        <v>43699</v>
      </c>
      <c r="F233" s="234" t="s">
        <v>34</v>
      </c>
      <c r="G233" s="234">
        <v>194071979</v>
      </c>
      <c r="H233" s="234">
        <v>171330900</v>
      </c>
      <c r="I233" s="234">
        <v>-0.11717858</v>
      </c>
      <c r="J233" s="234" t="s">
        <v>464</v>
      </c>
      <c r="K233" s="234">
        <v>6</v>
      </c>
      <c r="L233" s="234" t="s">
        <v>226</v>
      </c>
      <c r="M233" s="234">
        <v>3</v>
      </c>
      <c r="N233" s="234" t="s">
        <v>457</v>
      </c>
      <c r="O233" s="234" t="s">
        <v>1751</v>
      </c>
      <c r="P233" s="234" t="s">
        <v>1750</v>
      </c>
      <c r="Q233" s="234">
        <v>172579500</v>
      </c>
      <c r="R233" s="234">
        <v>280.27330000000001</v>
      </c>
      <c r="S233" s="234">
        <v>283.19380000000001</v>
      </c>
      <c r="T233" s="234">
        <v>389.25369999999998</v>
      </c>
      <c r="U233" s="234">
        <v>1907.4670000000001</v>
      </c>
      <c r="V233" s="234">
        <v>2323.3539999999998</v>
      </c>
      <c r="W233" s="234">
        <v>563.67309999999998</v>
      </c>
      <c r="X233" s="234">
        <v>1219.1969999999999</v>
      </c>
      <c r="Y233" s="234">
        <v>1308.048</v>
      </c>
      <c r="Z233" s="234">
        <v>335.60590000000002</v>
      </c>
      <c r="AA233" s="234">
        <v>1552.306</v>
      </c>
      <c r="AB233" s="234">
        <v>207.374</v>
      </c>
      <c r="AC233" s="234">
        <v>875.56569999999999</v>
      </c>
      <c r="AD233" s="234">
        <v>372.56470000000002</v>
      </c>
      <c r="AE233" s="234">
        <v>392.73840000000001</v>
      </c>
      <c r="AF233" s="234">
        <v>44178.27</v>
      </c>
      <c r="AG233" s="234">
        <v>10063.25</v>
      </c>
      <c r="AH233" s="234">
        <v>55738.55</v>
      </c>
      <c r="AI233" s="234">
        <v>29964.83</v>
      </c>
      <c r="AJ233" s="234">
        <v>18382.48</v>
      </c>
      <c r="AK233" s="234">
        <v>33997.300000000003</v>
      </c>
      <c r="AL233" s="234">
        <v>180074.5</v>
      </c>
      <c r="AM233" s="234">
        <v>21537.67</v>
      </c>
      <c r="AN233" s="234">
        <v>16492.57</v>
      </c>
      <c r="AO233" s="234">
        <v>60802.61</v>
      </c>
      <c r="AP233" s="234">
        <v>63533.33</v>
      </c>
      <c r="AQ233" s="234">
        <v>14654.58</v>
      </c>
      <c r="AR233" s="234">
        <v>23047.919999999998</v>
      </c>
      <c r="AS233" s="234">
        <v>308887.2</v>
      </c>
      <c r="AT233" s="234">
        <v>279429.09999999998</v>
      </c>
      <c r="AU233" s="234">
        <v>366455.8</v>
      </c>
      <c r="AV233" s="234">
        <v>85920</v>
      </c>
      <c r="AW233" s="234">
        <v>89969.09</v>
      </c>
      <c r="AX233" s="234">
        <v>9406.9879999999994</v>
      </c>
      <c r="AY233" s="234">
        <v>2323.3539999999998</v>
      </c>
      <c r="AZ233" s="234">
        <v>390555.9</v>
      </c>
      <c r="BA233" s="234">
        <v>18425.580000000002</v>
      </c>
      <c r="BB233" s="234">
        <v>22420</v>
      </c>
      <c r="BC233" s="234">
        <v>30165</v>
      </c>
      <c r="BD233" s="234">
        <v>11311</v>
      </c>
      <c r="BE233" s="234" t="s">
        <v>34</v>
      </c>
      <c r="BF233" s="234">
        <v>0.88925511497978804</v>
      </c>
      <c r="BG233" s="234">
        <v>5</v>
      </c>
      <c r="BH233" s="234">
        <v>-21492479</v>
      </c>
      <c r="BI233" s="234">
        <v>0</v>
      </c>
      <c r="BJ233" s="234">
        <v>0</v>
      </c>
      <c r="BK233" s="234">
        <v>0</v>
      </c>
      <c r="BL233" s="234">
        <v>0</v>
      </c>
      <c r="BM233" s="234">
        <v>1</v>
      </c>
      <c r="BN233" s="234">
        <f>IF(ECON_OUTPUT!BE233="Other",1,0)</f>
        <v>0</v>
      </c>
    </row>
    <row r="234" spans="1:66" x14ac:dyDescent="0.25">
      <c r="A234" s="234">
        <v>233</v>
      </c>
      <c r="B234" s="234" t="s">
        <v>1752</v>
      </c>
      <c r="C234" s="234" t="s">
        <v>1704</v>
      </c>
      <c r="D234" s="234" t="s">
        <v>1705</v>
      </c>
      <c r="E234" s="235">
        <v>43699</v>
      </c>
      <c r="F234" s="234" t="s">
        <v>34</v>
      </c>
      <c r="G234" s="234">
        <v>1980000</v>
      </c>
      <c r="H234" s="234">
        <v>1993000</v>
      </c>
      <c r="I234" s="234">
        <v>6.5656569999999999E-3</v>
      </c>
      <c r="J234" s="234" t="s">
        <v>464</v>
      </c>
      <c r="K234" s="234">
        <v>4</v>
      </c>
      <c r="L234" s="234" t="s">
        <v>93</v>
      </c>
      <c r="M234" s="234">
        <v>3</v>
      </c>
      <c r="N234" s="234" t="s">
        <v>458</v>
      </c>
      <c r="O234" s="234" t="s">
        <v>1751</v>
      </c>
      <c r="P234" s="234" t="s">
        <v>1755</v>
      </c>
      <c r="Q234" s="234">
        <v>2568000</v>
      </c>
      <c r="R234" s="234">
        <v>280.27330000000001</v>
      </c>
      <c r="S234" s="234">
        <v>283.19380000000001</v>
      </c>
      <c r="T234" s="234">
        <v>389.25369999999998</v>
      </c>
      <c r="U234" s="234">
        <v>1907.4670000000001</v>
      </c>
      <c r="V234" s="234">
        <v>2323.3539999999998</v>
      </c>
      <c r="W234" s="234">
        <v>563.67309999999998</v>
      </c>
      <c r="X234" s="234">
        <v>1219.1969999999999</v>
      </c>
      <c r="Y234" s="234">
        <v>1308.048</v>
      </c>
      <c r="Z234" s="234">
        <v>335.60590000000002</v>
      </c>
      <c r="AA234" s="234">
        <v>1552.306</v>
      </c>
      <c r="AB234" s="234">
        <v>207.374</v>
      </c>
      <c r="AC234" s="234">
        <v>875.56569999999999</v>
      </c>
      <c r="AD234" s="234">
        <v>372.56470000000002</v>
      </c>
      <c r="AE234" s="234">
        <v>392.73840000000001</v>
      </c>
      <c r="AF234" s="234">
        <v>44178.27</v>
      </c>
      <c r="AG234" s="234">
        <v>10063.25</v>
      </c>
      <c r="AH234" s="234">
        <v>55738.55</v>
      </c>
      <c r="AI234" s="234">
        <v>29964.83</v>
      </c>
      <c r="AJ234" s="234">
        <v>18382.48</v>
      </c>
      <c r="AK234" s="234">
        <v>33997.300000000003</v>
      </c>
      <c r="AL234" s="234">
        <v>180074.5</v>
      </c>
      <c r="AM234" s="234">
        <v>21537.67</v>
      </c>
      <c r="AN234" s="234">
        <v>16492.57</v>
      </c>
      <c r="AO234" s="234">
        <v>60802.61</v>
      </c>
      <c r="AP234" s="234">
        <v>63533.33</v>
      </c>
      <c r="AQ234" s="234">
        <v>14654.58</v>
      </c>
      <c r="AR234" s="234">
        <v>23047.919999999998</v>
      </c>
      <c r="AS234" s="234">
        <v>308887.2</v>
      </c>
      <c r="AT234" s="234">
        <v>279429.09999999998</v>
      </c>
      <c r="AU234" s="234">
        <v>366455.8</v>
      </c>
      <c r="AV234" s="234">
        <v>85920</v>
      </c>
      <c r="AW234" s="234">
        <v>89969.09</v>
      </c>
      <c r="AX234" s="234">
        <v>9406.9879999999994</v>
      </c>
      <c r="AY234" s="234">
        <v>2323.3539999999998</v>
      </c>
      <c r="AZ234" s="234">
        <v>390555.9</v>
      </c>
      <c r="BA234" s="234">
        <v>18425.580000000002</v>
      </c>
      <c r="BB234" s="234">
        <v>22420</v>
      </c>
      <c r="BC234" s="234">
        <v>30165</v>
      </c>
      <c r="BD234" s="234">
        <v>11311</v>
      </c>
      <c r="BE234" s="234" t="s">
        <v>34</v>
      </c>
      <c r="BF234" s="234">
        <v>1.2969696969697</v>
      </c>
      <c r="BG234" s="234">
        <v>3</v>
      </c>
      <c r="BH234" s="234">
        <v>588000</v>
      </c>
      <c r="BI234" s="234">
        <v>0</v>
      </c>
      <c r="BJ234" s="234">
        <v>0</v>
      </c>
      <c r="BK234" s="234">
        <v>1</v>
      </c>
      <c r="BL234" s="234">
        <v>0</v>
      </c>
      <c r="BM234" s="234">
        <v>0</v>
      </c>
      <c r="BN234" s="234">
        <f>IF(ECON_OUTPUT!BE234="Other",1,0)</f>
        <v>0</v>
      </c>
    </row>
    <row r="235" spans="1:66" x14ac:dyDescent="0.25">
      <c r="A235" s="234">
        <v>234</v>
      </c>
      <c r="B235" s="234" t="s">
        <v>1752</v>
      </c>
      <c r="C235" s="234" t="s">
        <v>1712</v>
      </c>
      <c r="D235" s="234" t="s">
        <v>1714</v>
      </c>
      <c r="E235" s="235">
        <v>43700</v>
      </c>
      <c r="F235" s="234" t="s">
        <v>34</v>
      </c>
      <c r="G235" s="234">
        <v>55300000</v>
      </c>
      <c r="H235" s="234">
        <v>43999000</v>
      </c>
      <c r="I235" s="234">
        <v>-0.20435804699999999</v>
      </c>
      <c r="J235" s="234" t="s">
        <v>464</v>
      </c>
      <c r="K235" s="234">
        <v>5</v>
      </c>
      <c r="L235" s="234" t="s">
        <v>25</v>
      </c>
      <c r="M235" s="234">
        <v>3</v>
      </c>
      <c r="N235" s="234" t="s">
        <v>458</v>
      </c>
      <c r="O235" s="234" t="s">
        <v>1751</v>
      </c>
      <c r="P235" s="234" t="s">
        <v>1754</v>
      </c>
      <c r="Q235" s="234">
        <v>47275000</v>
      </c>
      <c r="R235" s="234">
        <v>280.27330000000001</v>
      </c>
      <c r="S235" s="234">
        <v>283.19380000000001</v>
      </c>
      <c r="T235" s="234">
        <v>389.25369999999998</v>
      </c>
      <c r="U235" s="234">
        <v>1907.4670000000001</v>
      </c>
      <c r="V235" s="234">
        <v>2323.3539999999998</v>
      </c>
      <c r="W235" s="234">
        <v>563.67309999999998</v>
      </c>
      <c r="X235" s="234">
        <v>1219.1969999999999</v>
      </c>
      <c r="Y235" s="234">
        <v>1308.048</v>
      </c>
      <c r="Z235" s="234">
        <v>335.60590000000002</v>
      </c>
      <c r="AA235" s="234">
        <v>1552.306</v>
      </c>
      <c r="AB235" s="234">
        <v>207.374</v>
      </c>
      <c r="AC235" s="234">
        <v>875.56569999999999</v>
      </c>
      <c r="AD235" s="234">
        <v>372.56470000000002</v>
      </c>
      <c r="AE235" s="234">
        <v>392.73840000000001</v>
      </c>
      <c r="AF235" s="234">
        <v>44178.27</v>
      </c>
      <c r="AG235" s="234">
        <v>10063.25</v>
      </c>
      <c r="AH235" s="234">
        <v>55738.55</v>
      </c>
      <c r="AI235" s="234">
        <v>29964.83</v>
      </c>
      <c r="AJ235" s="234">
        <v>18382.48</v>
      </c>
      <c r="AK235" s="234">
        <v>33997.300000000003</v>
      </c>
      <c r="AL235" s="234">
        <v>180074.5</v>
      </c>
      <c r="AM235" s="234">
        <v>21537.67</v>
      </c>
      <c r="AN235" s="234">
        <v>16492.57</v>
      </c>
      <c r="AO235" s="234">
        <v>60802.61</v>
      </c>
      <c r="AP235" s="234">
        <v>63533.33</v>
      </c>
      <c r="AQ235" s="234">
        <v>14654.58</v>
      </c>
      <c r="AR235" s="234">
        <v>23047.919999999998</v>
      </c>
      <c r="AS235" s="234">
        <v>308887.2</v>
      </c>
      <c r="AT235" s="234">
        <v>279429.09999999998</v>
      </c>
      <c r="AU235" s="234">
        <v>366455.8</v>
      </c>
      <c r="AV235" s="234">
        <v>85920</v>
      </c>
      <c r="AW235" s="234">
        <v>89969.09</v>
      </c>
      <c r="AX235" s="234">
        <v>9406.9879999999994</v>
      </c>
      <c r="AY235" s="234">
        <v>2323.3539999999998</v>
      </c>
      <c r="AZ235" s="234">
        <v>390555.9</v>
      </c>
      <c r="BA235" s="234">
        <v>18425.580000000002</v>
      </c>
      <c r="BB235" s="234">
        <v>22420</v>
      </c>
      <c r="BC235" s="234">
        <v>30165</v>
      </c>
      <c r="BD235" s="234">
        <v>11311</v>
      </c>
      <c r="BE235" s="234" t="s">
        <v>34</v>
      </c>
      <c r="BF235" s="234">
        <v>0.85488245931283902</v>
      </c>
      <c r="BG235" s="234">
        <v>5</v>
      </c>
      <c r="BH235" s="234">
        <v>-8025000</v>
      </c>
      <c r="BI235" s="234">
        <v>0</v>
      </c>
      <c r="BJ235" s="234">
        <v>0</v>
      </c>
      <c r="BK235" s="234">
        <v>0</v>
      </c>
      <c r="BL235" s="234">
        <v>0</v>
      </c>
      <c r="BM235" s="234">
        <v>1</v>
      </c>
      <c r="BN235" s="234">
        <f>IF(ECON_OUTPUT!BE235="Other",1,0)</f>
        <v>0</v>
      </c>
    </row>
    <row r="236" spans="1:66" x14ac:dyDescent="0.25">
      <c r="A236" s="234">
        <v>235</v>
      </c>
      <c r="B236" s="234" t="s">
        <v>1752</v>
      </c>
      <c r="C236" s="234" t="s">
        <v>1718</v>
      </c>
      <c r="D236" s="234" t="s">
        <v>1719</v>
      </c>
      <c r="E236" s="235">
        <v>43704</v>
      </c>
      <c r="F236" s="234" t="s">
        <v>1341</v>
      </c>
      <c r="G236" s="234">
        <v>1260000</v>
      </c>
      <c r="H236" s="234">
        <v>1201422</v>
      </c>
      <c r="I236" s="234">
        <v>-4.6490476000000003E-2</v>
      </c>
      <c r="J236" s="234" t="s">
        <v>464</v>
      </c>
      <c r="K236" s="234">
        <v>6</v>
      </c>
      <c r="L236" s="234" t="s">
        <v>25</v>
      </c>
      <c r="M236" s="234">
        <v>3</v>
      </c>
      <c r="N236" s="234" t="s">
        <v>492</v>
      </c>
      <c r="O236" s="234" t="s">
        <v>1751</v>
      </c>
      <c r="P236" s="234" t="s">
        <v>1750</v>
      </c>
      <c r="Q236" s="234">
        <v>1534777</v>
      </c>
      <c r="R236" s="234">
        <v>280.27330000000001</v>
      </c>
      <c r="S236" s="234">
        <v>283.19380000000001</v>
      </c>
      <c r="T236" s="234">
        <v>389.25369999999998</v>
      </c>
      <c r="U236" s="234">
        <v>1907.4670000000001</v>
      </c>
      <c r="V236" s="234">
        <v>2323.3539999999998</v>
      </c>
      <c r="W236" s="234">
        <v>563.67309999999998</v>
      </c>
      <c r="X236" s="234">
        <v>1219.1969999999999</v>
      </c>
      <c r="Y236" s="234">
        <v>1308.048</v>
      </c>
      <c r="Z236" s="234">
        <v>335.60590000000002</v>
      </c>
      <c r="AA236" s="234">
        <v>1552.306</v>
      </c>
      <c r="AB236" s="234">
        <v>207.374</v>
      </c>
      <c r="AC236" s="234">
        <v>875.56569999999999</v>
      </c>
      <c r="AD236" s="234">
        <v>372.56470000000002</v>
      </c>
      <c r="AE236" s="234">
        <v>392.73840000000001</v>
      </c>
      <c r="AF236" s="234">
        <v>44178.27</v>
      </c>
      <c r="AG236" s="234">
        <v>10063.25</v>
      </c>
      <c r="AH236" s="234">
        <v>55738.55</v>
      </c>
      <c r="AI236" s="234">
        <v>29964.83</v>
      </c>
      <c r="AJ236" s="234">
        <v>18382.48</v>
      </c>
      <c r="AK236" s="234">
        <v>33997.300000000003</v>
      </c>
      <c r="AL236" s="234">
        <v>180074.5</v>
      </c>
      <c r="AM236" s="234">
        <v>21537.67</v>
      </c>
      <c r="AN236" s="234">
        <v>16492.57</v>
      </c>
      <c r="AO236" s="234">
        <v>60802.61</v>
      </c>
      <c r="AP236" s="234">
        <v>63533.33</v>
      </c>
      <c r="AQ236" s="234">
        <v>14654.58</v>
      </c>
      <c r="AR236" s="234">
        <v>23047.919999999998</v>
      </c>
      <c r="AS236" s="234">
        <v>308887.2</v>
      </c>
      <c r="AT236" s="234">
        <v>279429.09999999998</v>
      </c>
      <c r="AU236" s="234">
        <v>366455.8</v>
      </c>
      <c r="AV236" s="234">
        <v>85920</v>
      </c>
      <c r="AW236" s="234">
        <v>89969.09</v>
      </c>
      <c r="AX236" s="234">
        <v>9406.9879999999994</v>
      </c>
      <c r="AY236" s="234">
        <v>2323.3539999999998</v>
      </c>
      <c r="AZ236" s="234">
        <v>390555.9</v>
      </c>
      <c r="BA236" s="234">
        <v>18425.580000000002</v>
      </c>
      <c r="BB236" s="234">
        <v>22420</v>
      </c>
      <c r="BC236" s="234">
        <v>30165</v>
      </c>
      <c r="BD236" s="234">
        <v>11311</v>
      </c>
      <c r="BE236" s="234" t="s">
        <v>1753</v>
      </c>
      <c r="BF236" s="234">
        <v>1.2180769841269801</v>
      </c>
      <c r="BG236" s="234">
        <v>2</v>
      </c>
      <c r="BH236" s="234">
        <v>274777</v>
      </c>
      <c r="BI236" s="234">
        <v>0</v>
      </c>
      <c r="BJ236" s="234">
        <v>1</v>
      </c>
      <c r="BK236" s="234">
        <v>0</v>
      </c>
      <c r="BL236" s="234">
        <v>0</v>
      </c>
      <c r="BM236" s="234">
        <v>0</v>
      </c>
      <c r="BN236" s="234">
        <f>IF(ECON_OUTPUT!BE236="Other",1,0)</f>
        <v>1</v>
      </c>
    </row>
    <row r="237" spans="1:66" x14ac:dyDescent="0.25">
      <c r="A237" s="234">
        <v>236</v>
      </c>
      <c r="B237" s="234" t="s">
        <v>1752</v>
      </c>
      <c r="C237" s="234" t="s">
        <v>1732</v>
      </c>
      <c r="D237" s="234" t="s">
        <v>1733</v>
      </c>
      <c r="E237" s="235">
        <v>43712</v>
      </c>
      <c r="F237" s="234" t="s">
        <v>34</v>
      </c>
      <c r="G237" s="234">
        <v>1300000</v>
      </c>
      <c r="H237" s="234">
        <v>919000</v>
      </c>
      <c r="I237" s="234">
        <v>-0.29307692299999999</v>
      </c>
      <c r="J237" s="234" t="s">
        <v>464</v>
      </c>
      <c r="K237" s="234">
        <v>16</v>
      </c>
      <c r="L237" s="234" t="s">
        <v>226</v>
      </c>
      <c r="M237" s="234">
        <v>3</v>
      </c>
      <c r="N237" s="234" t="s">
        <v>457</v>
      </c>
      <c r="O237" s="234" t="s">
        <v>1751</v>
      </c>
      <c r="P237" s="234" t="s">
        <v>1754</v>
      </c>
      <c r="Q237" s="234">
        <v>1047850</v>
      </c>
      <c r="R237" s="234">
        <v>280.27330000000001</v>
      </c>
      <c r="S237" s="234">
        <v>283.19380000000001</v>
      </c>
      <c r="T237" s="234">
        <v>389.25369999999998</v>
      </c>
      <c r="U237" s="234">
        <v>1907.4670000000001</v>
      </c>
      <c r="V237" s="234">
        <v>2323.3539999999998</v>
      </c>
      <c r="W237" s="234">
        <v>563.67309999999998</v>
      </c>
      <c r="X237" s="234">
        <v>1219.1969999999999</v>
      </c>
      <c r="Y237" s="234">
        <v>1308.048</v>
      </c>
      <c r="Z237" s="234">
        <v>335.60590000000002</v>
      </c>
      <c r="AA237" s="234">
        <v>1552.306</v>
      </c>
      <c r="AB237" s="234">
        <v>207.374</v>
      </c>
      <c r="AC237" s="234">
        <v>875.56569999999999</v>
      </c>
      <c r="AD237" s="234">
        <v>372.56470000000002</v>
      </c>
      <c r="AE237" s="234">
        <v>392.73840000000001</v>
      </c>
      <c r="AF237" s="234">
        <v>44178.27</v>
      </c>
      <c r="AG237" s="234">
        <v>10063.25</v>
      </c>
      <c r="AH237" s="234">
        <v>55738.55</v>
      </c>
      <c r="AI237" s="234">
        <v>29964.83</v>
      </c>
      <c r="AJ237" s="234">
        <v>18382.48</v>
      </c>
      <c r="AK237" s="234">
        <v>33997.300000000003</v>
      </c>
      <c r="AL237" s="234">
        <v>180074.5</v>
      </c>
      <c r="AM237" s="234">
        <v>21537.67</v>
      </c>
      <c r="AN237" s="234">
        <v>16492.57</v>
      </c>
      <c r="AO237" s="234">
        <v>60802.61</v>
      </c>
      <c r="AP237" s="234">
        <v>63533.33</v>
      </c>
      <c r="AQ237" s="234">
        <v>14654.58</v>
      </c>
      <c r="AR237" s="234">
        <v>23047.919999999998</v>
      </c>
      <c r="AS237" s="234">
        <v>308887.2</v>
      </c>
      <c r="AT237" s="234">
        <v>279429.09999999998</v>
      </c>
      <c r="AU237" s="234">
        <v>366455.8</v>
      </c>
      <c r="AV237" s="234">
        <v>85920</v>
      </c>
      <c r="AW237" s="234">
        <v>89969.09</v>
      </c>
      <c r="AX237" s="234">
        <v>9406.9879999999994</v>
      </c>
      <c r="AY237" s="234">
        <v>2323.3539999999998</v>
      </c>
      <c r="AZ237" s="234">
        <v>390555.9</v>
      </c>
      <c r="BA237" s="234">
        <v>18425.580000000002</v>
      </c>
      <c r="BB237" s="234">
        <v>22420</v>
      </c>
      <c r="BC237" s="234">
        <v>30165</v>
      </c>
      <c r="BD237" s="234">
        <v>11311</v>
      </c>
      <c r="BE237" s="234" t="s">
        <v>34</v>
      </c>
      <c r="BF237" s="234">
        <v>0.80603846153846204</v>
      </c>
      <c r="BG237" s="234">
        <v>1</v>
      </c>
      <c r="BH237" s="234">
        <v>-252150</v>
      </c>
      <c r="BI237" s="234">
        <v>1</v>
      </c>
      <c r="BJ237" s="234">
        <v>0</v>
      </c>
      <c r="BK237" s="234">
        <v>0</v>
      </c>
      <c r="BL237" s="234">
        <v>0</v>
      </c>
      <c r="BM237" s="234">
        <v>0</v>
      </c>
      <c r="BN237" s="234">
        <f>IF(ECON_OUTPUT!BE237="Other",1,0)</f>
        <v>0</v>
      </c>
    </row>
    <row r="238" spans="1:66" x14ac:dyDescent="0.25">
      <c r="A238" s="234">
        <v>237</v>
      </c>
      <c r="B238" s="234" t="s">
        <v>1752</v>
      </c>
      <c r="C238" s="234" t="s">
        <v>1735</v>
      </c>
      <c r="D238" s="234" t="s">
        <v>1736</v>
      </c>
      <c r="E238" s="235">
        <v>43713</v>
      </c>
      <c r="F238" s="234" t="s">
        <v>1341</v>
      </c>
      <c r="G238" s="234">
        <v>2030000</v>
      </c>
      <c r="H238" s="234">
        <v>1887810</v>
      </c>
      <c r="I238" s="234">
        <v>-7.0044334999999999E-2</v>
      </c>
      <c r="J238" s="234" t="s">
        <v>464</v>
      </c>
      <c r="K238" s="234">
        <v>4</v>
      </c>
      <c r="L238" s="234" t="s">
        <v>93</v>
      </c>
      <c r="M238" s="234">
        <v>3</v>
      </c>
      <c r="N238" s="234" t="s">
        <v>458</v>
      </c>
      <c r="O238" s="234" t="s">
        <v>1751</v>
      </c>
      <c r="P238" s="234" t="s">
        <v>1755</v>
      </c>
      <c r="Q238" s="234">
        <v>2397400</v>
      </c>
      <c r="R238" s="234">
        <v>280.27330000000001</v>
      </c>
      <c r="S238" s="234">
        <v>283.19380000000001</v>
      </c>
      <c r="T238" s="234">
        <v>389.25369999999998</v>
      </c>
      <c r="U238" s="234">
        <v>1907.4670000000001</v>
      </c>
      <c r="V238" s="234">
        <v>2323.3539999999998</v>
      </c>
      <c r="W238" s="234">
        <v>563.67309999999998</v>
      </c>
      <c r="X238" s="234">
        <v>1219.1969999999999</v>
      </c>
      <c r="Y238" s="234">
        <v>1308.048</v>
      </c>
      <c r="Z238" s="234">
        <v>335.60590000000002</v>
      </c>
      <c r="AA238" s="234">
        <v>1552.306</v>
      </c>
      <c r="AB238" s="234">
        <v>207.374</v>
      </c>
      <c r="AC238" s="234">
        <v>875.56569999999999</v>
      </c>
      <c r="AD238" s="234">
        <v>372.56470000000002</v>
      </c>
      <c r="AE238" s="234">
        <v>392.73840000000001</v>
      </c>
      <c r="AF238" s="234">
        <v>44178.27</v>
      </c>
      <c r="AG238" s="234">
        <v>10063.25</v>
      </c>
      <c r="AH238" s="234">
        <v>55738.55</v>
      </c>
      <c r="AI238" s="234">
        <v>29964.83</v>
      </c>
      <c r="AJ238" s="234">
        <v>18382.48</v>
      </c>
      <c r="AK238" s="234">
        <v>33997.300000000003</v>
      </c>
      <c r="AL238" s="234">
        <v>180074.5</v>
      </c>
      <c r="AM238" s="234">
        <v>21537.67</v>
      </c>
      <c r="AN238" s="234">
        <v>16492.57</v>
      </c>
      <c r="AO238" s="234">
        <v>60802.61</v>
      </c>
      <c r="AP238" s="234">
        <v>63533.33</v>
      </c>
      <c r="AQ238" s="234">
        <v>14654.58</v>
      </c>
      <c r="AR238" s="234">
        <v>23047.919999999998</v>
      </c>
      <c r="AS238" s="234">
        <v>308887.2</v>
      </c>
      <c r="AT238" s="234">
        <v>279429.09999999998</v>
      </c>
      <c r="AU238" s="234">
        <v>366455.8</v>
      </c>
      <c r="AV238" s="234">
        <v>85920</v>
      </c>
      <c r="AW238" s="234">
        <v>89969.09</v>
      </c>
      <c r="AX238" s="234">
        <v>9406.9879999999994</v>
      </c>
      <c r="AY238" s="234">
        <v>2323.3539999999998</v>
      </c>
      <c r="AZ238" s="234">
        <v>390555.9</v>
      </c>
      <c r="BA238" s="234">
        <v>18425.580000000002</v>
      </c>
      <c r="BB238" s="234">
        <v>22420</v>
      </c>
      <c r="BC238" s="234">
        <v>30165</v>
      </c>
      <c r="BD238" s="234">
        <v>11311</v>
      </c>
      <c r="BE238" s="234" t="s">
        <v>1753</v>
      </c>
      <c r="BF238" s="234">
        <v>1.18098522167488</v>
      </c>
      <c r="BG238" s="234">
        <v>2</v>
      </c>
      <c r="BH238" s="234">
        <v>367400</v>
      </c>
      <c r="BI238" s="234">
        <v>0</v>
      </c>
      <c r="BJ238" s="234">
        <v>1</v>
      </c>
      <c r="BK238" s="234">
        <v>0</v>
      </c>
      <c r="BL238" s="234">
        <v>0</v>
      </c>
      <c r="BM238" s="234">
        <v>0</v>
      </c>
      <c r="BN238" s="234">
        <f>IF(ECON_OUTPUT!BE238="Other",1,0)</f>
        <v>1</v>
      </c>
    </row>
    <row r="239" spans="1:66" x14ac:dyDescent="0.25">
      <c r="A239" s="234">
        <v>238</v>
      </c>
      <c r="B239" s="234" t="s">
        <v>1752</v>
      </c>
      <c r="C239" s="234" t="s">
        <v>1737</v>
      </c>
      <c r="D239" s="234" t="s">
        <v>1738</v>
      </c>
      <c r="E239" s="235">
        <v>43720</v>
      </c>
      <c r="F239" s="234" t="s">
        <v>1341</v>
      </c>
      <c r="G239" s="234">
        <v>1360000</v>
      </c>
      <c r="H239" s="234">
        <v>1843700</v>
      </c>
      <c r="I239" s="234">
        <v>0.35566176500000002</v>
      </c>
      <c r="J239" s="234" t="s">
        <v>465</v>
      </c>
      <c r="K239" s="234">
        <v>5</v>
      </c>
      <c r="L239" s="234" t="s">
        <v>25</v>
      </c>
      <c r="M239" s="234">
        <v>3</v>
      </c>
      <c r="N239" s="234" t="s">
        <v>457</v>
      </c>
      <c r="O239" s="234" t="s">
        <v>1751</v>
      </c>
      <c r="P239" s="234" t="s">
        <v>1754</v>
      </c>
      <c r="Q239" s="234">
        <v>2765000</v>
      </c>
      <c r="R239" s="234">
        <v>280.27330000000001</v>
      </c>
      <c r="S239" s="234">
        <v>283.19380000000001</v>
      </c>
      <c r="T239" s="234">
        <v>389.25369999999998</v>
      </c>
      <c r="U239" s="234">
        <v>1907.4670000000001</v>
      </c>
      <c r="V239" s="234">
        <v>2323.3539999999998</v>
      </c>
      <c r="W239" s="234">
        <v>563.67309999999998</v>
      </c>
      <c r="X239" s="234">
        <v>1219.1969999999999</v>
      </c>
      <c r="Y239" s="234">
        <v>1308.048</v>
      </c>
      <c r="Z239" s="234">
        <v>335.60590000000002</v>
      </c>
      <c r="AA239" s="234">
        <v>1552.306</v>
      </c>
      <c r="AB239" s="234">
        <v>207.374</v>
      </c>
      <c r="AC239" s="234">
        <v>875.56569999999999</v>
      </c>
      <c r="AD239" s="234">
        <v>372.56470000000002</v>
      </c>
      <c r="AE239" s="234">
        <v>392.73840000000001</v>
      </c>
      <c r="AF239" s="234">
        <v>44178.27</v>
      </c>
      <c r="AG239" s="234">
        <v>10063.25</v>
      </c>
      <c r="AH239" s="234">
        <v>55738.55</v>
      </c>
      <c r="AI239" s="234">
        <v>29964.83</v>
      </c>
      <c r="AJ239" s="234">
        <v>18382.48</v>
      </c>
      <c r="AK239" s="234">
        <v>33997.300000000003</v>
      </c>
      <c r="AL239" s="234">
        <v>180074.5</v>
      </c>
      <c r="AM239" s="234">
        <v>21537.67</v>
      </c>
      <c r="AN239" s="234">
        <v>16492.57</v>
      </c>
      <c r="AO239" s="234">
        <v>60802.61</v>
      </c>
      <c r="AP239" s="234">
        <v>63533.33</v>
      </c>
      <c r="AQ239" s="234">
        <v>14654.58</v>
      </c>
      <c r="AR239" s="234">
        <v>23047.919999999998</v>
      </c>
      <c r="AS239" s="234">
        <v>308887.2</v>
      </c>
      <c r="AT239" s="234">
        <v>279429.09999999998</v>
      </c>
      <c r="AU239" s="234">
        <v>366455.8</v>
      </c>
      <c r="AV239" s="234">
        <v>85920</v>
      </c>
      <c r="AW239" s="234">
        <v>89969.09</v>
      </c>
      <c r="AX239" s="234">
        <v>9406.9879999999994</v>
      </c>
      <c r="AY239" s="234">
        <v>2323.3539999999998</v>
      </c>
      <c r="AZ239" s="234">
        <v>390555.9</v>
      </c>
      <c r="BA239" s="234">
        <v>18425.580000000002</v>
      </c>
      <c r="BB239" s="234">
        <v>22420</v>
      </c>
      <c r="BC239" s="234">
        <v>30165</v>
      </c>
      <c r="BD239" s="234">
        <v>11311</v>
      </c>
      <c r="BE239" s="234" t="s">
        <v>1753</v>
      </c>
      <c r="BF239" s="234">
        <v>2.03308823529412</v>
      </c>
      <c r="BG239" s="234">
        <v>3</v>
      </c>
      <c r="BH239" s="234">
        <v>1405000</v>
      </c>
      <c r="BI239" s="234">
        <v>0</v>
      </c>
      <c r="BJ239" s="234">
        <v>0</v>
      </c>
      <c r="BK239" s="234">
        <v>1</v>
      </c>
      <c r="BL239" s="234">
        <v>0</v>
      </c>
      <c r="BM239" s="234">
        <v>0</v>
      </c>
      <c r="BN239" s="234">
        <f>IF(ECON_OUTPUT!BE239="Other",1,0)</f>
        <v>1</v>
      </c>
    </row>
    <row r="240" spans="1:66" x14ac:dyDescent="0.25">
      <c r="A240" s="234">
        <v>239</v>
      </c>
      <c r="B240" s="234" t="s">
        <v>1752</v>
      </c>
      <c r="C240" s="234" t="s">
        <v>1742</v>
      </c>
      <c r="D240" s="234" t="s">
        <v>1743</v>
      </c>
      <c r="E240" s="235">
        <v>43727</v>
      </c>
      <c r="F240" s="234" t="s">
        <v>34</v>
      </c>
      <c r="G240" s="234">
        <v>3840000</v>
      </c>
      <c r="H240" s="234">
        <v>2936000</v>
      </c>
      <c r="I240" s="234">
        <v>-0.235416667</v>
      </c>
      <c r="J240" s="234" t="s">
        <v>464</v>
      </c>
      <c r="K240" s="234">
        <v>11</v>
      </c>
      <c r="L240" s="234" t="s">
        <v>93</v>
      </c>
      <c r="M240" s="234">
        <v>3</v>
      </c>
      <c r="N240" s="234" t="s">
        <v>458</v>
      </c>
      <c r="O240" s="234" t="s">
        <v>1751</v>
      </c>
      <c r="P240" s="234" t="s">
        <v>1750</v>
      </c>
      <c r="Q240" s="234">
        <v>3424944</v>
      </c>
      <c r="R240" s="234">
        <v>280.27330000000001</v>
      </c>
      <c r="S240" s="234">
        <v>283.19380000000001</v>
      </c>
      <c r="T240" s="234">
        <v>389.25369999999998</v>
      </c>
      <c r="U240" s="234">
        <v>1907.4670000000001</v>
      </c>
      <c r="V240" s="234">
        <v>2323.3539999999998</v>
      </c>
      <c r="W240" s="234">
        <v>563.67309999999998</v>
      </c>
      <c r="X240" s="234">
        <v>1219.1969999999999</v>
      </c>
      <c r="Y240" s="234">
        <v>1308.048</v>
      </c>
      <c r="Z240" s="234">
        <v>335.60590000000002</v>
      </c>
      <c r="AA240" s="234">
        <v>1552.306</v>
      </c>
      <c r="AB240" s="234">
        <v>207.374</v>
      </c>
      <c r="AC240" s="234">
        <v>875.56569999999999</v>
      </c>
      <c r="AD240" s="234">
        <v>372.56470000000002</v>
      </c>
      <c r="AE240" s="234">
        <v>392.73840000000001</v>
      </c>
      <c r="AF240" s="234">
        <v>44178.27</v>
      </c>
      <c r="AG240" s="234">
        <v>10063.25</v>
      </c>
      <c r="AH240" s="234">
        <v>55738.55</v>
      </c>
      <c r="AI240" s="234">
        <v>29964.83</v>
      </c>
      <c r="AJ240" s="234">
        <v>18382.48</v>
      </c>
      <c r="AK240" s="234">
        <v>33997.300000000003</v>
      </c>
      <c r="AL240" s="234">
        <v>180074.5</v>
      </c>
      <c r="AM240" s="234">
        <v>21537.67</v>
      </c>
      <c r="AN240" s="234">
        <v>16492.57</v>
      </c>
      <c r="AO240" s="234">
        <v>60802.61</v>
      </c>
      <c r="AP240" s="234">
        <v>63533.33</v>
      </c>
      <c r="AQ240" s="234">
        <v>14654.58</v>
      </c>
      <c r="AR240" s="234">
        <v>23047.919999999998</v>
      </c>
      <c r="AS240" s="234">
        <v>308887.2</v>
      </c>
      <c r="AT240" s="234">
        <v>279429.09999999998</v>
      </c>
      <c r="AU240" s="234">
        <v>366455.8</v>
      </c>
      <c r="AV240" s="234">
        <v>85920</v>
      </c>
      <c r="AW240" s="234">
        <v>89969.09</v>
      </c>
      <c r="AX240" s="234">
        <v>9406.9879999999994</v>
      </c>
      <c r="AY240" s="234">
        <v>2323.3539999999998</v>
      </c>
      <c r="AZ240" s="234">
        <v>390555.9</v>
      </c>
      <c r="BA240" s="234">
        <v>18425.580000000002</v>
      </c>
      <c r="BB240" s="234">
        <v>22420</v>
      </c>
      <c r="BC240" s="234">
        <v>30165</v>
      </c>
      <c r="BD240" s="234">
        <v>11311</v>
      </c>
      <c r="BE240" s="234" t="s">
        <v>34</v>
      </c>
      <c r="BF240" s="234">
        <v>0.8919125</v>
      </c>
      <c r="BG240" s="234">
        <v>3</v>
      </c>
      <c r="BH240" s="234">
        <v>-415056</v>
      </c>
      <c r="BI240" s="234">
        <v>0</v>
      </c>
      <c r="BJ240" s="234">
        <v>0</v>
      </c>
      <c r="BK240" s="234">
        <v>1</v>
      </c>
      <c r="BL240" s="234">
        <v>0</v>
      </c>
      <c r="BM240" s="234">
        <v>0</v>
      </c>
      <c r="BN240" s="234">
        <f>IF(ECON_OUTPUT!BE240="Other",1,0)</f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6FB09-9CDE-4508-93F1-674599BF94CB}">
  <dimension ref="A2:P55"/>
  <sheetViews>
    <sheetView zoomScaleNormal="100" workbookViewId="0">
      <selection activeCell="J14" sqref="J1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47</v>
      </c>
    </row>
    <row r="4" spans="1:16" x14ac:dyDescent="0.25">
      <c r="D4" s="2" t="s">
        <v>0</v>
      </c>
      <c r="E4" s="1"/>
      <c r="F4" t="s">
        <v>1742</v>
      </c>
      <c r="I4" s="2" t="s">
        <v>4</v>
      </c>
      <c r="J4" t="s">
        <v>1619</v>
      </c>
    </row>
    <row r="5" spans="1:16" x14ac:dyDescent="0.25">
      <c r="D5" s="2" t="s">
        <v>1</v>
      </c>
      <c r="F5" t="s">
        <v>1743</v>
      </c>
    </row>
    <row r="6" spans="1:16" x14ac:dyDescent="0.25">
      <c r="D6" s="2" t="s">
        <v>2</v>
      </c>
      <c r="F6" s="6">
        <v>43727</v>
      </c>
      <c r="H6" s="11"/>
    </row>
    <row r="7" spans="1:16" x14ac:dyDescent="0.25">
      <c r="D7" s="2" t="s">
        <v>3</v>
      </c>
      <c r="F7" s="5">
        <f>+I7+J7</f>
        <v>3840000</v>
      </c>
      <c r="G7" s="2" t="s">
        <v>34</v>
      </c>
      <c r="H7" s="11"/>
      <c r="I7" s="19">
        <v>22000</v>
      </c>
      <c r="J7" s="19">
        <v>3818000</v>
      </c>
    </row>
    <row r="8" spans="1:16" x14ac:dyDescent="0.25">
      <c r="D8" s="2" t="s">
        <v>18</v>
      </c>
      <c r="F8" s="5">
        <f>MIN(K23:K42)</f>
        <v>2936000</v>
      </c>
      <c r="H8" s="11"/>
      <c r="I8" s="18" t="s">
        <v>43</v>
      </c>
      <c r="J8" s="18" t="s">
        <v>44</v>
      </c>
      <c r="P8" s="66">
        <f>+K26/K24</f>
        <v>2.5386596736596738</v>
      </c>
    </row>
    <row r="9" spans="1:16" x14ac:dyDescent="0.25">
      <c r="D9" s="2" t="s">
        <v>19</v>
      </c>
      <c r="F9" s="4">
        <f>+F8-F7</f>
        <v>-904000</v>
      </c>
      <c r="G9" s="16">
        <f>+F9/F7</f>
        <v>-0.23541666666666666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-841438.81818181835</v>
      </c>
      <c r="H10" s="11"/>
    </row>
    <row r="11" spans="1:16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SUM(K23:K42)/H12</f>
        <v>4681438.8181818184</v>
      </c>
      <c r="G12" s="14"/>
      <c r="H12" s="11">
        <f>COUNT(K23:K42)</f>
        <v>11</v>
      </c>
      <c r="I12" s="1" t="s">
        <v>31</v>
      </c>
      <c r="J12" s="4">
        <f>+F8*0.9</f>
        <v>2642400</v>
      </c>
      <c r="K12" s="1" t="s">
        <v>69</v>
      </c>
    </row>
    <row r="13" spans="1:16" x14ac:dyDescent="0.25">
      <c r="D13" s="2" t="s">
        <v>29</v>
      </c>
      <c r="F13" s="4">
        <f>MAX(K23:K42)-MIN(K23:K42)</f>
        <v>5776680</v>
      </c>
      <c r="G13" s="269">
        <f>MEDIAN(K23:K42)</f>
        <v>4422319</v>
      </c>
      <c r="H13" s="270"/>
      <c r="I13" s="1" t="s">
        <v>30</v>
      </c>
      <c r="J13" s="4">
        <f>+F12*1.1</f>
        <v>5149582.7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6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0.13016949152542373</v>
      </c>
    </row>
    <row r="18" spans="3:15" x14ac:dyDescent="0.25">
      <c r="F18" s="4">
        <f>+F7</f>
        <v>3840000</v>
      </c>
      <c r="G18" s="1" t="s">
        <v>12</v>
      </c>
      <c r="H18" s="11"/>
      <c r="I18" t="s">
        <v>16</v>
      </c>
      <c r="J18" s="7">
        <f>+F8/F18</f>
        <v>0.76458333333333328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9.7866666666666671E-2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1744</v>
      </c>
      <c r="E23" s="33"/>
      <c r="F23" t="s">
        <v>167</v>
      </c>
      <c r="G23" t="s">
        <v>93</v>
      </c>
      <c r="H23">
        <f>RANK(K23,K$23:K$43,1)</f>
        <v>9</v>
      </c>
      <c r="I23" s="175">
        <v>25000</v>
      </c>
      <c r="J23" s="4">
        <v>4711000</v>
      </c>
      <c r="K23" s="4">
        <f>+J23+I23</f>
        <v>4736000</v>
      </c>
      <c r="L23" s="4"/>
      <c r="M23" s="22"/>
      <c r="N23" s="22"/>
      <c r="O23" s="22"/>
    </row>
    <row r="24" spans="3:15" x14ac:dyDescent="0.25">
      <c r="C24" s="33" t="str">
        <f t="shared" ref="C24:C42" si="0">IF(H24=1,"u","")</f>
        <v/>
      </c>
      <c r="D24" s="11" t="s">
        <v>1745</v>
      </c>
      <c r="E24" s="33"/>
      <c r="F24" t="s">
        <v>92</v>
      </c>
      <c r="G24" t="s">
        <v>93</v>
      </c>
      <c r="H24">
        <f>RANK(K24,K$23:K$43,1)</f>
        <v>3</v>
      </c>
      <c r="I24" s="175">
        <v>41600</v>
      </c>
      <c r="J24" s="4">
        <v>3390400</v>
      </c>
      <c r="K24" s="4">
        <f>+J24+I24</f>
        <v>3432000</v>
      </c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870</v>
      </c>
      <c r="E25" s="33"/>
      <c r="F25" t="s">
        <v>871</v>
      </c>
      <c r="G25" t="s">
        <v>93</v>
      </c>
      <c r="H25">
        <f>RANK(K25,K$23:K$43,1)</f>
        <v>8</v>
      </c>
      <c r="I25" s="175">
        <v>26000</v>
      </c>
      <c r="J25" s="4">
        <v>4671804</v>
      </c>
      <c r="K25" s="4">
        <f>+J25+I25</f>
        <v>4697804</v>
      </c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 t="s">
        <v>1746</v>
      </c>
      <c r="E26" s="33"/>
      <c r="F26" t="s">
        <v>95</v>
      </c>
      <c r="G26" t="s">
        <v>93</v>
      </c>
      <c r="H26">
        <f>RANK(K26,K$23:K$43,1)</f>
        <v>11</v>
      </c>
      <c r="I26" s="175">
        <v>17680</v>
      </c>
      <c r="J26" s="4">
        <v>8695000</v>
      </c>
      <c r="K26" s="4">
        <f>+J26+I26</f>
        <v>8712680</v>
      </c>
      <c r="L26" s="4"/>
      <c r="M26" s="22"/>
      <c r="N26" s="22"/>
      <c r="O26" s="22"/>
    </row>
    <row r="27" spans="3:15" x14ac:dyDescent="0.25">
      <c r="C27" s="33"/>
      <c r="D27" s="11" t="s">
        <v>1034</v>
      </c>
      <c r="E27" s="33"/>
      <c r="F27" t="s">
        <v>391</v>
      </c>
      <c r="G27" t="s">
        <v>93</v>
      </c>
      <c r="H27">
        <f t="shared" ref="H27:H33" si="1">RANK(K27,K$23:K$43,1)</f>
        <v>2</v>
      </c>
      <c r="I27" s="175">
        <v>17763</v>
      </c>
      <c r="J27" s="4">
        <v>3407181</v>
      </c>
      <c r="K27" s="4">
        <f t="shared" ref="K27:K33" si="2">+J27+I27</f>
        <v>3424944</v>
      </c>
      <c r="L27" s="4"/>
      <c r="M27" s="22"/>
      <c r="N27" s="22"/>
      <c r="O27" s="22"/>
    </row>
    <row r="28" spans="3:15" x14ac:dyDescent="0.25">
      <c r="C28" s="33"/>
      <c r="D28" s="11" t="s">
        <v>491</v>
      </c>
      <c r="E28" s="33"/>
      <c r="F28" t="s">
        <v>203</v>
      </c>
      <c r="G28" t="s">
        <v>204</v>
      </c>
      <c r="H28">
        <f t="shared" si="1"/>
        <v>6</v>
      </c>
      <c r="I28" s="175">
        <v>19344</v>
      </c>
      <c r="J28" s="4">
        <v>4402975</v>
      </c>
      <c r="K28" s="4">
        <f t="shared" si="2"/>
        <v>4422319</v>
      </c>
      <c r="L28" s="4"/>
      <c r="M28" s="22"/>
      <c r="N28" s="22"/>
      <c r="O28" s="22"/>
    </row>
    <row r="29" spans="3:15" x14ac:dyDescent="0.25">
      <c r="C29" s="33"/>
      <c r="D29" s="11" t="s">
        <v>450</v>
      </c>
      <c r="E29" s="33"/>
      <c r="F29" t="s">
        <v>451</v>
      </c>
      <c r="G29" t="s">
        <v>93</v>
      </c>
      <c r="H29">
        <f t="shared" si="1"/>
        <v>1</v>
      </c>
      <c r="I29" s="175">
        <v>41184</v>
      </c>
      <c r="J29" s="4">
        <v>2894816</v>
      </c>
      <c r="K29" s="4">
        <f t="shared" si="2"/>
        <v>2936000</v>
      </c>
      <c r="L29" s="4"/>
      <c r="M29" s="22"/>
      <c r="N29" s="22"/>
      <c r="O29" s="22"/>
    </row>
    <row r="30" spans="3:15" x14ac:dyDescent="0.25">
      <c r="C30" s="33"/>
      <c r="D30" s="11" t="s">
        <v>347</v>
      </c>
      <c r="E30" s="33"/>
      <c r="F30" t="s">
        <v>147</v>
      </c>
      <c r="G30" t="s">
        <v>93</v>
      </c>
      <c r="H30">
        <f t="shared" si="1"/>
        <v>4</v>
      </c>
      <c r="I30" s="175">
        <v>31200</v>
      </c>
      <c r="J30" s="4">
        <v>3935743</v>
      </c>
      <c r="K30" s="4">
        <f t="shared" si="2"/>
        <v>3966943</v>
      </c>
      <c r="L30" s="4"/>
      <c r="M30" s="22" t="s">
        <v>1747</v>
      </c>
      <c r="N30" s="22"/>
      <c r="O30" s="22"/>
    </row>
    <row r="31" spans="3:15" x14ac:dyDescent="0.25">
      <c r="C31" s="33"/>
      <c r="D31" s="11" t="s">
        <v>1748</v>
      </c>
      <c r="E31" s="33"/>
      <c r="F31" t="s">
        <v>1749</v>
      </c>
      <c r="G31" t="s">
        <v>93</v>
      </c>
      <c r="H31">
        <f t="shared" si="1"/>
        <v>10</v>
      </c>
      <c r="I31" s="175">
        <v>6432830</v>
      </c>
      <c r="J31" s="4">
        <v>20000</v>
      </c>
      <c r="K31" s="4">
        <f t="shared" si="2"/>
        <v>6452830</v>
      </c>
      <c r="L31" s="4"/>
      <c r="M31" s="22" t="s">
        <v>1747</v>
      </c>
      <c r="N31" s="22"/>
      <c r="O31" s="22"/>
    </row>
    <row r="32" spans="3:15" x14ac:dyDescent="0.25">
      <c r="C32" s="33"/>
      <c r="D32" s="11" t="s">
        <v>874</v>
      </c>
      <c r="E32" s="33"/>
      <c r="F32" t="s">
        <v>532</v>
      </c>
      <c r="G32" t="s">
        <v>93</v>
      </c>
      <c r="H32">
        <f t="shared" si="1"/>
        <v>5</v>
      </c>
      <c r="I32" s="175">
        <v>39728</v>
      </c>
      <c r="J32" s="4">
        <v>4177579</v>
      </c>
      <c r="K32" s="4">
        <f t="shared" si="2"/>
        <v>4217307</v>
      </c>
      <c r="M32" s="21"/>
      <c r="N32" s="21"/>
      <c r="O32" s="21"/>
    </row>
    <row r="33" spans="3:15" x14ac:dyDescent="0.25">
      <c r="C33" s="33"/>
      <c r="D33" s="11" t="s">
        <v>502</v>
      </c>
      <c r="E33" s="33"/>
      <c r="F33" t="s">
        <v>95</v>
      </c>
      <c r="G33" t="s">
        <v>93</v>
      </c>
      <c r="H33">
        <f t="shared" si="1"/>
        <v>7</v>
      </c>
      <c r="I33" s="175">
        <v>14560</v>
      </c>
      <c r="J33" s="4">
        <v>4482440</v>
      </c>
      <c r="K33" s="4">
        <f t="shared" si="2"/>
        <v>4497000</v>
      </c>
      <c r="M33" s="21"/>
      <c r="N33" s="21"/>
      <c r="O33" s="21"/>
    </row>
    <row r="34" spans="3:15" x14ac:dyDescent="0.25">
      <c r="C34" s="33"/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/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/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>IF(H38=1,"t","")</f>
        <v/>
      </c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ht="6" customHeight="1" x14ac:dyDescent="0.25">
      <c r="C43" s="9"/>
      <c r="D43" s="9"/>
      <c r="E43" s="9"/>
      <c r="F43" s="9"/>
      <c r="G43" s="9"/>
      <c r="H43" s="9"/>
      <c r="I43" s="9"/>
      <c r="J43" s="9"/>
      <c r="K43" s="9"/>
      <c r="L43" s="9"/>
      <c r="M43" s="21"/>
      <c r="N43" s="21"/>
      <c r="O43" s="21"/>
    </row>
    <row r="44" spans="3:15" ht="6" customHeight="1" x14ac:dyDescent="0.25">
      <c r="M44" s="21"/>
      <c r="N44" s="21"/>
      <c r="O44" s="21"/>
    </row>
    <row r="45" spans="3:15" x14ac:dyDescent="0.25">
      <c r="C45" s="15" t="s">
        <v>79</v>
      </c>
      <c r="M45" s="21"/>
      <c r="N45" s="21"/>
      <c r="O45" s="21"/>
    </row>
    <row r="46" spans="3:15" x14ac:dyDescent="0.25">
      <c r="C46" s="15" t="s">
        <v>78</v>
      </c>
    </row>
    <row r="48" spans="3:15" x14ac:dyDescent="0.25">
      <c r="C48" s="31" t="s">
        <v>948</v>
      </c>
      <c r="D48" s="31"/>
      <c r="H48" t="s">
        <v>949</v>
      </c>
      <c r="I48" t="s">
        <v>784</v>
      </c>
      <c r="J48" s="6">
        <v>42802</v>
      </c>
    </row>
    <row r="49" spans="4:4" ht="6" customHeight="1" x14ac:dyDescent="0.25"/>
    <row r="50" spans="4:4" x14ac:dyDescent="0.25">
      <c r="D50" s="93" t="s">
        <v>950</v>
      </c>
    </row>
    <row r="51" spans="4:4" x14ac:dyDescent="0.25">
      <c r="D51" s="93" t="s">
        <v>951</v>
      </c>
    </row>
    <row r="52" spans="4:4" x14ac:dyDescent="0.25">
      <c r="D52" s="93" t="s">
        <v>952</v>
      </c>
    </row>
    <row r="53" spans="4:4" x14ac:dyDescent="0.25">
      <c r="D53" s="93" t="s">
        <v>953</v>
      </c>
    </row>
    <row r="54" spans="4:4" x14ac:dyDescent="0.25">
      <c r="D54" s="93" t="s">
        <v>954</v>
      </c>
    </row>
    <row r="55" spans="4:4" x14ac:dyDescent="0.25">
      <c r="D55" s="93" t="s">
        <v>955</v>
      </c>
    </row>
  </sheetData>
  <mergeCells count="1">
    <mergeCell ref="G13:H13"/>
  </mergeCells>
  <conditionalFormatting sqref="I9">
    <cfRule type="containsText" dxfId="4490" priority="30" operator="containsText" text="FAIL">
      <formula>NOT(ISERROR(SEARCH("FAIL",I9)))</formula>
    </cfRule>
  </conditionalFormatting>
  <conditionalFormatting sqref="I9">
    <cfRule type="containsText" dxfId="4489" priority="29" operator="containsText" text="GOOD">
      <formula>NOT(ISERROR(SEARCH("GOOD",I9)))</formula>
    </cfRule>
  </conditionalFormatting>
  <conditionalFormatting sqref="I9">
    <cfRule type="containsText" dxfId="4488" priority="28" operator="containsText" text="FAIL">
      <formula>NOT(ISERROR(SEARCH("FAIL",I9)))</formula>
    </cfRule>
  </conditionalFormatting>
  <conditionalFormatting sqref="I9">
    <cfRule type="containsText" dxfId="4487" priority="27" operator="containsText" text="GOOD">
      <formula>NOT(ISERROR(SEARCH("GOOD",I9)))</formula>
    </cfRule>
  </conditionalFormatting>
  <conditionalFormatting sqref="I9">
    <cfRule type="containsText" dxfId="4486" priority="26" operator="containsText" text="FAIL">
      <formula>NOT(ISERROR(SEARCH("FAIL",I9)))</formula>
    </cfRule>
  </conditionalFormatting>
  <conditionalFormatting sqref="I9">
    <cfRule type="containsText" dxfId="4485" priority="25" operator="containsText" text="GOOD">
      <formula>NOT(ISERROR(SEARCH("GOOD",I9)))</formula>
    </cfRule>
  </conditionalFormatting>
  <conditionalFormatting sqref="F11">
    <cfRule type="containsText" dxfId="4484" priority="24" operator="containsText" text="FAIL">
      <formula>NOT(ISERROR(SEARCH("FAIL",F11)))</formula>
    </cfRule>
  </conditionalFormatting>
  <conditionalFormatting sqref="F11">
    <cfRule type="containsText" dxfId="4483" priority="23" operator="containsText" text="GOOD">
      <formula>NOT(ISERROR(SEARCH("GOOD",F11)))</formula>
    </cfRule>
  </conditionalFormatting>
  <conditionalFormatting sqref="I9">
    <cfRule type="containsText" dxfId="4482" priority="22" operator="containsText" text="FAIL">
      <formula>NOT(ISERROR(SEARCH("FAIL",I9)))</formula>
    </cfRule>
  </conditionalFormatting>
  <conditionalFormatting sqref="I9">
    <cfRule type="containsText" dxfId="4481" priority="21" operator="containsText" text="GOOD">
      <formula>NOT(ISERROR(SEARCH("GOOD",I9)))</formula>
    </cfRule>
  </conditionalFormatting>
  <conditionalFormatting sqref="F11">
    <cfRule type="containsText" dxfId="4480" priority="20" operator="containsText" text="FAIL">
      <formula>NOT(ISERROR(SEARCH("FAIL",F11)))</formula>
    </cfRule>
  </conditionalFormatting>
  <conditionalFormatting sqref="F11">
    <cfRule type="containsText" dxfId="4479" priority="19" operator="containsText" text="GOOD">
      <formula>NOT(ISERROR(SEARCH("GOOD",F11)))</formula>
    </cfRule>
  </conditionalFormatting>
  <conditionalFormatting sqref="D38:D42">
    <cfRule type="expression" dxfId="4478" priority="18">
      <formula>H38=1</formula>
    </cfRule>
  </conditionalFormatting>
  <conditionalFormatting sqref="C38:C42 C29:C32">
    <cfRule type="expression" dxfId="4477" priority="17">
      <formula>H29=1</formula>
    </cfRule>
  </conditionalFormatting>
  <conditionalFormatting sqref="E38:E42">
    <cfRule type="expression" dxfId="4476" priority="16">
      <formula>H38=1</formula>
    </cfRule>
  </conditionalFormatting>
  <conditionalFormatting sqref="E38:E42">
    <cfRule type="expression" dxfId="4475" priority="15">
      <formula>H38=1</formula>
    </cfRule>
  </conditionalFormatting>
  <conditionalFormatting sqref="F11">
    <cfRule type="containsText" dxfId="4474" priority="14" operator="containsText" text="FAIL">
      <formula>NOT(ISERROR(SEARCH("FAIL",F11)))</formula>
    </cfRule>
  </conditionalFormatting>
  <conditionalFormatting sqref="F11">
    <cfRule type="containsText" dxfId="4473" priority="13" operator="containsText" text="GOOD">
      <formula>NOT(ISERROR(SEARCH("GOOD",F11)))</formula>
    </cfRule>
  </conditionalFormatting>
  <conditionalFormatting sqref="D34:D36">
    <cfRule type="expression" dxfId="4472" priority="12">
      <formula>H34=1</formula>
    </cfRule>
  </conditionalFormatting>
  <conditionalFormatting sqref="C33:C36">
    <cfRule type="expression" dxfId="4471" priority="11">
      <formula>H33=1</formula>
    </cfRule>
  </conditionalFormatting>
  <conditionalFormatting sqref="E34:E36">
    <cfRule type="expression" dxfId="4470" priority="10">
      <formula>H34=1</formula>
    </cfRule>
  </conditionalFormatting>
  <conditionalFormatting sqref="E34:E36">
    <cfRule type="expression" dxfId="4469" priority="9">
      <formula>H34=1</formula>
    </cfRule>
  </conditionalFormatting>
  <conditionalFormatting sqref="D37">
    <cfRule type="expression" dxfId="4468" priority="8">
      <formula>H37=1</formula>
    </cfRule>
  </conditionalFormatting>
  <conditionalFormatting sqref="C37">
    <cfRule type="expression" dxfId="4467" priority="7">
      <formula>H37=1</formula>
    </cfRule>
  </conditionalFormatting>
  <conditionalFormatting sqref="E37">
    <cfRule type="expression" dxfId="4466" priority="6">
      <formula>H37=1</formula>
    </cfRule>
  </conditionalFormatting>
  <conditionalFormatting sqref="E37">
    <cfRule type="expression" dxfId="4465" priority="5">
      <formula>H37=1</formula>
    </cfRule>
  </conditionalFormatting>
  <conditionalFormatting sqref="C23:C28">
    <cfRule type="expression" dxfId="4464" priority="4">
      <formula>H23=1</formula>
    </cfRule>
  </conditionalFormatting>
  <conditionalFormatting sqref="D23:D33">
    <cfRule type="expression" dxfId="4463" priority="3">
      <formula>H23=1</formula>
    </cfRule>
  </conditionalFormatting>
  <conditionalFormatting sqref="E23:E33">
    <cfRule type="expression" dxfId="4462" priority="2">
      <formula>H23=1</formula>
    </cfRule>
  </conditionalFormatting>
  <conditionalFormatting sqref="E23:E33">
    <cfRule type="expression" dxfId="4461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CE283-9E32-42D1-A6AE-D4DDBC5E7506}">
  <dimension ref="A2:P47"/>
  <sheetViews>
    <sheetView zoomScaleNormal="100" workbookViewId="0">
      <selection activeCell="M25" sqref="M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1737</v>
      </c>
      <c r="I4" s="2" t="s">
        <v>4</v>
      </c>
      <c r="J4" t="s">
        <v>816</v>
      </c>
    </row>
    <row r="5" spans="1:16" x14ac:dyDescent="0.25">
      <c r="D5" s="2" t="s">
        <v>1</v>
      </c>
      <c r="F5" t="s">
        <v>1738</v>
      </c>
    </row>
    <row r="6" spans="1:16" x14ac:dyDescent="0.25">
      <c r="D6" s="2" t="s">
        <v>2</v>
      </c>
      <c r="F6" s="6">
        <v>43720</v>
      </c>
      <c r="H6" s="11"/>
    </row>
    <row r="7" spans="1:16" x14ac:dyDescent="0.25">
      <c r="D7" s="2" t="s">
        <v>3</v>
      </c>
      <c r="F7" s="5">
        <v>1360000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1843700</v>
      </c>
      <c r="H8" s="11"/>
    </row>
    <row r="9" spans="1:16" x14ac:dyDescent="0.25">
      <c r="D9" s="2" t="s">
        <v>67</v>
      </c>
      <c r="F9" s="4">
        <f>+F8-F7</f>
        <v>483700</v>
      </c>
      <c r="G9" s="16">
        <f>+F9/F7</f>
        <v>0.35566176470588234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-1403542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2763542</v>
      </c>
      <c r="G12" s="14"/>
      <c r="H12" s="11">
        <f>COUNT(I23:I43)</f>
        <v>5</v>
      </c>
      <c r="I12" s="1" t="s">
        <v>31</v>
      </c>
      <c r="J12" s="4">
        <f>+F8*0.9</f>
        <v>1659330</v>
      </c>
      <c r="K12" s="1" t="s">
        <v>69</v>
      </c>
    </row>
    <row r="13" spans="1:16" x14ac:dyDescent="0.25">
      <c r="D13" s="2" t="s">
        <v>29</v>
      </c>
      <c r="F13" s="4">
        <f>MAX(I23:I43)-MIN(I23:I43)</f>
        <v>1717900</v>
      </c>
      <c r="G13" s="269">
        <f>MEDIAN(I23:I43)</f>
        <v>2806410</v>
      </c>
      <c r="H13" s="270"/>
      <c r="I13" s="1" t="s">
        <v>30</v>
      </c>
      <c r="J13" s="4">
        <f>+F12*1.1</f>
        <v>3039896.2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1739</v>
      </c>
      <c r="E23" s="33"/>
      <c r="F23" t="s">
        <v>215</v>
      </c>
      <c r="G23" t="s">
        <v>25</v>
      </c>
      <c r="H23">
        <f t="shared" ref="H23:H26" si="0">RANK(I23,I$23:I$43,1)</f>
        <v>2</v>
      </c>
      <c r="I23" s="4">
        <v>2765000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1">IF(H24=1,"u","")</f>
        <v/>
      </c>
      <c r="D24" s="11" t="s">
        <v>631</v>
      </c>
      <c r="E24" s="33"/>
      <c r="F24" t="s">
        <v>131</v>
      </c>
      <c r="G24" t="s">
        <v>25</v>
      </c>
      <c r="H24">
        <f t="shared" si="0"/>
        <v>4</v>
      </c>
      <c r="I24" s="4">
        <v>2841000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1"/>
        <v>u</v>
      </c>
      <c r="D25" s="11" t="s">
        <v>1740</v>
      </c>
      <c r="E25" s="33"/>
      <c r="F25" t="s">
        <v>1041</v>
      </c>
      <c r="G25" t="s">
        <v>93</v>
      </c>
      <c r="H25">
        <f t="shared" si="0"/>
        <v>1</v>
      </c>
      <c r="I25" s="4">
        <v>1843700</v>
      </c>
      <c r="J25" s="4"/>
      <c r="K25" s="4"/>
      <c r="L25" s="4"/>
      <c r="M25" s="22">
        <f>+I23-I25</f>
        <v>921300</v>
      </c>
      <c r="N25" s="22"/>
      <c r="O25" s="22"/>
    </row>
    <row r="26" spans="3:15" x14ac:dyDescent="0.25">
      <c r="C26" s="33" t="str">
        <f t="shared" si="1"/>
        <v/>
      </c>
      <c r="D26" s="11" t="s">
        <v>1741</v>
      </c>
      <c r="E26" s="33"/>
      <c r="F26" t="s">
        <v>445</v>
      </c>
      <c r="G26" t="s">
        <v>93</v>
      </c>
      <c r="H26">
        <f t="shared" si="0"/>
        <v>3</v>
      </c>
      <c r="I26" s="4">
        <v>2806410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ref="C27" si="2">IF(H27=1,"u","")</f>
        <v/>
      </c>
      <c r="D27" s="11" t="s">
        <v>725</v>
      </c>
      <c r="E27" s="33"/>
      <c r="F27" t="s">
        <v>594</v>
      </c>
      <c r="G27" t="s">
        <v>25</v>
      </c>
      <c r="H27">
        <f t="shared" ref="H27" si="3">RANK(I27,I$23:I$43,1)</f>
        <v>5</v>
      </c>
      <c r="I27" s="4">
        <v>3561600</v>
      </c>
      <c r="J27" s="4"/>
      <c r="K27" s="4"/>
      <c r="L27" s="4"/>
      <c r="M27" s="22"/>
      <c r="N27" s="22"/>
      <c r="O27" s="22"/>
    </row>
    <row r="28" spans="3:15" x14ac:dyDescent="0.25">
      <c r="C28" s="33" t="str">
        <f>IF(H28=1,"u","")</f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/>
      <c r="I36" s="4"/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/>
      <c r="I37" s="4"/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/>
      <c r="I38" s="4"/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ref="E39:E43" si="4">IF(H39=1,"t","")</f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4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4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4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4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460" priority="26" operator="containsText" text="FAIL">
      <formula>NOT(ISERROR(SEARCH("FAIL",I9)))</formula>
    </cfRule>
  </conditionalFormatting>
  <conditionalFormatting sqref="I9">
    <cfRule type="containsText" dxfId="4459" priority="25" operator="containsText" text="GOOD">
      <formula>NOT(ISERROR(SEARCH("GOOD",I9)))</formula>
    </cfRule>
  </conditionalFormatting>
  <conditionalFormatting sqref="F11">
    <cfRule type="containsText" dxfId="4458" priority="24" operator="containsText" text="FAIL">
      <formula>NOT(ISERROR(SEARCH("FAIL",F11)))</formula>
    </cfRule>
  </conditionalFormatting>
  <conditionalFormatting sqref="F11">
    <cfRule type="containsText" dxfId="4457" priority="23" operator="containsText" text="GOOD">
      <formula>NOT(ISERROR(SEARCH("GOOD",F11)))</formula>
    </cfRule>
  </conditionalFormatting>
  <conditionalFormatting sqref="D23:D25 D39:D43">
    <cfRule type="expression" dxfId="4456" priority="22">
      <formula>H23=1</formula>
    </cfRule>
  </conditionalFormatting>
  <conditionalFormatting sqref="C23:C25 C29:C36 C39:C43">
    <cfRule type="expression" dxfId="4455" priority="21">
      <formula>H23=1</formula>
    </cfRule>
  </conditionalFormatting>
  <conditionalFormatting sqref="E23:E25 E39:E43">
    <cfRule type="expression" dxfId="4454" priority="20">
      <formula>H23=1</formula>
    </cfRule>
  </conditionalFormatting>
  <conditionalFormatting sqref="F11">
    <cfRule type="containsText" dxfId="4453" priority="19" operator="containsText" text="FAIL">
      <formula>NOT(ISERROR(SEARCH("FAIL",F11)))</formula>
    </cfRule>
  </conditionalFormatting>
  <conditionalFormatting sqref="F11">
    <cfRule type="containsText" dxfId="4452" priority="18" operator="containsText" text="GOOD">
      <formula>NOT(ISERROR(SEARCH("GOOD",F11)))</formula>
    </cfRule>
  </conditionalFormatting>
  <conditionalFormatting sqref="D26:D27">
    <cfRule type="expression" dxfId="4451" priority="17">
      <formula>H26=1</formula>
    </cfRule>
  </conditionalFormatting>
  <conditionalFormatting sqref="C26:C27">
    <cfRule type="expression" dxfId="4450" priority="16">
      <formula>H26=1</formula>
    </cfRule>
  </conditionalFormatting>
  <conditionalFormatting sqref="E26:E27">
    <cfRule type="expression" dxfId="4449" priority="15">
      <formula>H26=1</formula>
    </cfRule>
  </conditionalFormatting>
  <conditionalFormatting sqref="D28">
    <cfRule type="expression" dxfId="4448" priority="11">
      <formula>H28=1</formula>
    </cfRule>
  </conditionalFormatting>
  <conditionalFormatting sqref="C28">
    <cfRule type="expression" dxfId="4447" priority="10">
      <formula>H28=1</formula>
    </cfRule>
  </conditionalFormatting>
  <conditionalFormatting sqref="E28">
    <cfRule type="expression" dxfId="4446" priority="9">
      <formula>H28=1</formula>
    </cfRule>
  </conditionalFormatting>
  <conditionalFormatting sqref="D29:D36">
    <cfRule type="expression" dxfId="4445" priority="8">
      <formula>H29=1</formula>
    </cfRule>
  </conditionalFormatting>
  <conditionalFormatting sqref="E29:E36">
    <cfRule type="expression" dxfId="4444" priority="7">
      <formula>H29=1</formula>
    </cfRule>
  </conditionalFormatting>
  <conditionalFormatting sqref="E38">
    <cfRule type="expression" dxfId="4443" priority="1">
      <formula>H38=1</formula>
    </cfRule>
  </conditionalFormatting>
  <conditionalFormatting sqref="C37">
    <cfRule type="expression" dxfId="4442" priority="6">
      <formula>H37=1</formula>
    </cfRule>
  </conditionalFormatting>
  <conditionalFormatting sqref="D37">
    <cfRule type="expression" dxfId="4441" priority="5">
      <formula>H37=1</formula>
    </cfRule>
  </conditionalFormatting>
  <conditionalFormatting sqref="E37">
    <cfRule type="expression" dxfId="4440" priority="4">
      <formula>H37=1</formula>
    </cfRule>
  </conditionalFormatting>
  <conditionalFormatting sqref="C38">
    <cfRule type="expression" dxfId="4439" priority="3">
      <formula>H38=1</formula>
    </cfRule>
  </conditionalFormatting>
  <conditionalFormatting sqref="D38">
    <cfRule type="expression" dxfId="4438" priority="2">
      <formula>H38=1</formula>
    </cfRule>
  </conditionalFormatting>
  <pageMargins left="0.7" right="0.7" top="0.75" bottom="0.75" header="0.3" footer="0.3"/>
  <pageSetup scale="68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6C94F-7FDE-4F43-88F0-091FC19AD7DB}">
  <dimension ref="A2:P47"/>
  <sheetViews>
    <sheetView zoomScaleNormal="100" workbookViewId="0">
      <selection activeCell="J13" sqref="J1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1735</v>
      </c>
      <c r="I4" s="2" t="s">
        <v>4</v>
      </c>
      <c r="J4" t="s">
        <v>1619</v>
      </c>
    </row>
    <row r="5" spans="1:16" x14ac:dyDescent="0.25">
      <c r="D5" s="2" t="s">
        <v>1</v>
      </c>
      <c r="F5" t="s">
        <v>1736</v>
      </c>
    </row>
    <row r="6" spans="1:16" x14ac:dyDescent="0.25">
      <c r="D6" s="2" t="s">
        <v>2</v>
      </c>
      <c r="F6" s="6">
        <v>43713</v>
      </c>
      <c r="H6" s="11"/>
    </row>
    <row r="7" spans="1:16" x14ac:dyDescent="0.25">
      <c r="D7" s="2" t="s">
        <v>3</v>
      </c>
      <c r="F7" s="5">
        <v>2030000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1887810</v>
      </c>
      <c r="H8" s="11"/>
    </row>
    <row r="9" spans="1:16" x14ac:dyDescent="0.25">
      <c r="D9" s="2" t="s">
        <v>67</v>
      </c>
      <c r="F9" s="4">
        <f>+F8-F7</f>
        <v>-142190</v>
      </c>
      <c r="G9" s="16">
        <f>+F9/F7</f>
        <v>-7.0044334975369452E-2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-524425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2554425</v>
      </c>
      <c r="G12" s="14"/>
      <c r="H12" s="11">
        <f>COUNT(I23:I43)</f>
        <v>4</v>
      </c>
      <c r="I12" s="1" t="s">
        <v>31</v>
      </c>
      <c r="J12" s="4">
        <f>+F8*0.9</f>
        <v>1699029</v>
      </c>
      <c r="K12" s="1" t="s">
        <v>69</v>
      </c>
    </row>
    <row r="13" spans="1:16" x14ac:dyDescent="0.25">
      <c r="D13" s="2" t="s">
        <v>29</v>
      </c>
      <c r="F13" s="4">
        <f>MAX(I23:I43)-MIN(I23:I43)</f>
        <v>1186315</v>
      </c>
      <c r="G13" s="269">
        <f>MEDIAN(I23:I43)</f>
        <v>2627882.5</v>
      </c>
      <c r="H13" s="270"/>
      <c r="I13" s="1" t="s">
        <v>30</v>
      </c>
      <c r="J13" s="4">
        <f>+F12*1.1</f>
        <v>2809867.5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347</v>
      </c>
      <c r="E23" s="33"/>
      <c r="F23" t="s">
        <v>147</v>
      </c>
      <c r="G23" t="s">
        <v>93</v>
      </c>
      <c r="H23">
        <f t="shared" ref="H23:H26" si="0">RANK(I23,I$23:I$43,1)</f>
        <v>2</v>
      </c>
      <c r="I23" s="4">
        <v>2397400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1">IF(H24=1,"u","")</f>
        <v/>
      </c>
      <c r="D24" s="11" t="s">
        <v>1556</v>
      </c>
      <c r="E24" s="33"/>
      <c r="F24" t="s">
        <v>199</v>
      </c>
      <c r="G24" t="s">
        <v>93</v>
      </c>
      <c r="H24">
        <f t="shared" si="0"/>
        <v>4</v>
      </c>
      <c r="I24" s="4">
        <v>3074125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1"/>
        <v>u</v>
      </c>
      <c r="D25" s="11" t="s">
        <v>676</v>
      </c>
      <c r="E25" s="33"/>
      <c r="F25" t="s">
        <v>85</v>
      </c>
      <c r="G25" t="s">
        <v>25</v>
      </c>
      <c r="H25">
        <f t="shared" si="0"/>
        <v>1</v>
      </c>
      <c r="I25" s="4">
        <v>1887810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1"/>
        <v/>
      </c>
      <c r="D26" s="11" t="s">
        <v>631</v>
      </c>
      <c r="E26" s="33"/>
      <c r="F26" t="s">
        <v>131</v>
      </c>
      <c r="G26" t="s">
        <v>25</v>
      </c>
      <c r="H26">
        <f t="shared" si="0"/>
        <v>3</v>
      </c>
      <c r="I26" s="4">
        <v>2858365</v>
      </c>
      <c r="J26" s="4"/>
      <c r="K26" s="4"/>
      <c r="L26" s="4"/>
      <c r="M26" s="22"/>
      <c r="N26" s="22"/>
      <c r="O26" s="22"/>
    </row>
    <row r="27" spans="3:15" x14ac:dyDescent="0.25">
      <c r="C27" s="33" t="str">
        <f>IF(H27=1,"u","")</f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>IF(H28=1,"u","")</f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/>
      <c r="I36" s="4"/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/>
      <c r="I37" s="4"/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/>
      <c r="I38" s="4"/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ref="E39:E43" si="2">IF(H39=1,"t","")</f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437" priority="26" operator="containsText" text="FAIL">
      <formula>NOT(ISERROR(SEARCH("FAIL",I9)))</formula>
    </cfRule>
  </conditionalFormatting>
  <conditionalFormatting sqref="I9">
    <cfRule type="containsText" dxfId="4436" priority="25" operator="containsText" text="GOOD">
      <formula>NOT(ISERROR(SEARCH("GOOD",I9)))</formula>
    </cfRule>
  </conditionalFormatting>
  <conditionalFormatting sqref="F11">
    <cfRule type="containsText" dxfId="4435" priority="24" operator="containsText" text="FAIL">
      <formula>NOT(ISERROR(SEARCH("FAIL",F11)))</formula>
    </cfRule>
  </conditionalFormatting>
  <conditionalFormatting sqref="F11">
    <cfRule type="containsText" dxfId="4434" priority="23" operator="containsText" text="GOOD">
      <formula>NOT(ISERROR(SEARCH("GOOD",F11)))</formula>
    </cfRule>
  </conditionalFormatting>
  <conditionalFormatting sqref="D23:D25 D39:D43">
    <cfRule type="expression" dxfId="4433" priority="22">
      <formula>H23=1</formula>
    </cfRule>
  </conditionalFormatting>
  <conditionalFormatting sqref="C23:C25 C29:C36 C39:C43">
    <cfRule type="expression" dxfId="4432" priority="21">
      <formula>H23=1</formula>
    </cfRule>
  </conditionalFormatting>
  <conditionalFormatting sqref="E23:E25 E39:E43">
    <cfRule type="expression" dxfId="4431" priority="20">
      <formula>H23=1</formula>
    </cfRule>
  </conditionalFormatting>
  <conditionalFormatting sqref="F11">
    <cfRule type="containsText" dxfId="4430" priority="19" operator="containsText" text="FAIL">
      <formula>NOT(ISERROR(SEARCH("FAIL",F11)))</formula>
    </cfRule>
  </conditionalFormatting>
  <conditionalFormatting sqref="F11">
    <cfRule type="containsText" dxfId="4429" priority="18" operator="containsText" text="GOOD">
      <formula>NOT(ISERROR(SEARCH("GOOD",F11)))</formula>
    </cfRule>
  </conditionalFormatting>
  <conditionalFormatting sqref="D26">
    <cfRule type="expression" dxfId="4428" priority="17">
      <formula>H26=1</formula>
    </cfRule>
  </conditionalFormatting>
  <conditionalFormatting sqref="C26">
    <cfRule type="expression" dxfId="4427" priority="16">
      <formula>H26=1</formula>
    </cfRule>
  </conditionalFormatting>
  <conditionalFormatting sqref="E26">
    <cfRule type="expression" dxfId="4426" priority="15">
      <formula>H26=1</formula>
    </cfRule>
  </conditionalFormatting>
  <conditionalFormatting sqref="D27">
    <cfRule type="expression" dxfId="4425" priority="14">
      <formula>H27=1</formula>
    </cfRule>
  </conditionalFormatting>
  <conditionalFormatting sqref="C27">
    <cfRule type="expression" dxfId="4424" priority="13">
      <formula>H27=1</formula>
    </cfRule>
  </conditionalFormatting>
  <conditionalFormatting sqref="E27">
    <cfRule type="expression" dxfId="4423" priority="12">
      <formula>H27=1</formula>
    </cfRule>
  </conditionalFormatting>
  <conditionalFormatting sqref="D28">
    <cfRule type="expression" dxfId="4422" priority="11">
      <formula>H28=1</formula>
    </cfRule>
  </conditionalFormatting>
  <conditionalFormatting sqref="C28">
    <cfRule type="expression" dxfId="4421" priority="10">
      <formula>H28=1</formula>
    </cfRule>
  </conditionalFormatting>
  <conditionalFormatting sqref="E28">
    <cfRule type="expression" dxfId="4420" priority="9">
      <formula>H28=1</formula>
    </cfRule>
  </conditionalFormatting>
  <conditionalFormatting sqref="D29:D36">
    <cfRule type="expression" dxfId="4419" priority="8">
      <formula>H29=1</formula>
    </cfRule>
  </conditionalFormatting>
  <conditionalFormatting sqref="E29:E36">
    <cfRule type="expression" dxfId="4418" priority="7">
      <formula>H29=1</formula>
    </cfRule>
  </conditionalFormatting>
  <conditionalFormatting sqref="E38">
    <cfRule type="expression" dxfId="4417" priority="1">
      <formula>H38=1</formula>
    </cfRule>
  </conditionalFormatting>
  <conditionalFormatting sqref="C37">
    <cfRule type="expression" dxfId="4416" priority="6">
      <formula>H37=1</formula>
    </cfRule>
  </conditionalFormatting>
  <conditionalFormatting sqref="D37">
    <cfRule type="expression" dxfId="4415" priority="5">
      <formula>H37=1</formula>
    </cfRule>
  </conditionalFormatting>
  <conditionalFormatting sqref="E37">
    <cfRule type="expression" dxfId="4414" priority="4">
      <formula>H37=1</formula>
    </cfRule>
  </conditionalFormatting>
  <conditionalFormatting sqref="C38">
    <cfRule type="expression" dxfId="4413" priority="3">
      <formula>H38=1</formula>
    </cfRule>
  </conditionalFormatting>
  <conditionalFormatting sqref="D38">
    <cfRule type="expression" dxfId="4412" priority="2">
      <formula>H38=1</formula>
    </cfRule>
  </conditionalFormatting>
  <pageMargins left="0.7" right="0.7" top="0.75" bottom="0.75" header="0.3" footer="0.3"/>
  <pageSetup scale="68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CE263-61F6-4DFA-8F62-12F4EED1B217}">
  <dimension ref="A2:P47"/>
  <sheetViews>
    <sheetView topLeftCell="A2" zoomScaleNormal="100" workbookViewId="0">
      <selection activeCell="G19" sqref="G1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1732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1733</v>
      </c>
    </row>
    <row r="6" spans="1:16" x14ac:dyDescent="0.25">
      <c r="D6" s="2" t="s">
        <v>2</v>
      </c>
      <c r="F6" s="6">
        <v>43712</v>
      </c>
      <c r="H6" s="11"/>
    </row>
    <row r="7" spans="1:16" x14ac:dyDescent="0.25">
      <c r="D7" s="2" t="s">
        <v>3</v>
      </c>
      <c r="F7" s="5">
        <v>1300000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919000</v>
      </c>
      <c r="H8" s="11"/>
    </row>
    <row r="9" spans="1:16" x14ac:dyDescent="0.25">
      <c r="D9" s="2" t="s">
        <v>67</v>
      </c>
      <c r="F9" s="4">
        <f>+F8-F7</f>
        <v>-381000</v>
      </c>
      <c r="G9" s="16">
        <f>+F9/F7</f>
        <v>-0.29307692307692307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-339305.4375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1639305.4375</v>
      </c>
      <c r="G12" s="14"/>
      <c r="H12" s="11">
        <f>COUNT(I23:I43)</f>
        <v>16</v>
      </c>
      <c r="I12" s="1" t="s">
        <v>31</v>
      </c>
      <c r="J12" s="4">
        <f>+F8*0.9</f>
        <v>827100</v>
      </c>
      <c r="K12" s="1" t="s">
        <v>69</v>
      </c>
    </row>
    <row r="13" spans="1:16" x14ac:dyDescent="0.25">
      <c r="D13" s="2" t="s">
        <v>29</v>
      </c>
      <c r="F13" s="4">
        <f>MAX(I23:I43)-MIN(I23:I43)</f>
        <v>2732000</v>
      </c>
      <c r="G13" s="269">
        <f>MEDIAN(I23:I43)</f>
        <v>1526967</v>
      </c>
      <c r="H13" s="270"/>
      <c r="I13" s="1" t="s">
        <v>30</v>
      </c>
      <c r="J13" s="4">
        <f>+F12*1.1</f>
        <v>1803235.9812500002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631</v>
      </c>
      <c r="E23" s="33"/>
      <c r="F23" t="s">
        <v>131</v>
      </c>
      <c r="G23" t="s">
        <v>25</v>
      </c>
      <c r="H23">
        <f t="shared" ref="H23:H38" si="0">RANK(I23,I$23:I$43,1)</f>
        <v>16</v>
      </c>
      <c r="I23" s="4">
        <v>3651000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1">IF(H24=1,"u","")</f>
        <v/>
      </c>
      <c r="D24" s="11" t="s">
        <v>1103</v>
      </c>
      <c r="E24" s="33"/>
      <c r="F24" t="s">
        <v>92</v>
      </c>
      <c r="G24" t="s">
        <v>93</v>
      </c>
      <c r="H24">
        <f t="shared" si="0"/>
        <v>14</v>
      </c>
      <c r="I24" s="4">
        <v>1985000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1"/>
        <v/>
      </c>
      <c r="D25" s="11" t="s">
        <v>499</v>
      </c>
      <c r="E25" s="33"/>
      <c r="F25" t="s">
        <v>100</v>
      </c>
      <c r="G25" t="s">
        <v>93</v>
      </c>
      <c r="H25">
        <f t="shared" si="0"/>
        <v>12</v>
      </c>
      <c r="I25" s="4">
        <v>1742000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1"/>
        <v/>
      </c>
      <c r="D26" s="11" t="s">
        <v>1734</v>
      </c>
      <c r="E26" s="33"/>
      <c r="F26" t="s">
        <v>289</v>
      </c>
      <c r="G26" t="s">
        <v>93</v>
      </c>
      <c r="H26">
        <f t="shared" si="0"/>
        <v>8</v>
      </c>
      <c r="I26" s="4">
        <v>1520700</v>
      </c>
      <c r="J26" s="4"/>
      <c r="K26" s="4"/>
      <c r="L26" s="4"/>
      <c r="M26" s="22"/>
      <c r="N26" s="22"/>
      <c r="O26" s="22"/>
    </row>
    <row r="27" spans="3:15" x14ac:dyDescent="0.25">
      <c r="C27" s="33" t="str">
        <f>IF(H27=1,"u","")</f>
        <v/>
      </c>
      <c r="D27" s="11" t="s">
        <v>605</v>
      </c>
      <c r="E27" s="33"/>
      <c r="F27" t="s">
        <v>120</v>
      </c>
      <c r="G27" t="s">
        <v>25</v>
      </c>
      <c r="H27">
        <f t="shared" si="0"/>
        <v>6</v>
      </c>
      <c r="I27" s="4">
        <v>1327465</v>
      </c>
      <c r="J27" s="4"/>
      <c r="K27" s="4"/>
      <c r="L27" s="4"/>
      <c r="M27" s="22"/>
      <c r="N27" s="22"/>
      <c r="O27" s="22"/>
    </row>
    <row r="28" spans="3:15" x14ac:dyDescent="0.25">
      <c r="C28" s="33" t="str">
        <f>IF(H28=1,"u","")</f>
        <v/>
      </c>
      <c r="D28" s="11" t="s">
        <v>874</v>
      </c>
      <c r="E28" s="33"/>
      <c r="F28" t="s">
        <v>532</v>
      </c>
      <c r="G28" t="s">
        <v>93</v>
      </c>
      <c r="H28">
        <f t="shared" si="0"/>
        <v>2</v>
      </c>
      <c r="I28" s="4">
        <v>1047850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 t="s">
        <v>491</v>
      </c>
      <c r="E29" s="33"/>
      <c r="F29" t="s">
        <v>203</v>
      </c>
      <c r="G29" t="s">
        <v>204</v>
      </c>
      <c r="H29">
        <f t="shared" si="0"/>
        <v>3</v>
      </c>
      <c r="I29" s="4">
        <v>1191122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 t="s">
        <v>607</v>
      </c>
      <c r="E30" s="33"/>
      <c r="F30" t="s">
        <v>532</v>
      </c>
      <c r="G30" t="s">
        <v>93</v>
      </c>
      <c r="H30">
        <f t="shared" si="0"/>
        <v>10</v>
      </c>
      <c r="I30" s="4">
        <v>1555375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>u</v>
      </c>
      <c r="D31" s="11" t="s">
        <v>1318</v>
      </c>
      <c r="E31" s="33"/>
      <c r="F31" t="s">
        <v>193</v>
      </c>
      <c r="G31" t="s">
        <v>25</v>
      </c>
      <c r="H31">
        <f t="shared" si="0"/>
        <v>1</v>
      </c>
      <c r="I31" s="4">
        <v>919000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 t="s">
        <v>450</v>
      </c>
      <c r="E32" s="33"/>
      <c r="F32" t="s">
        <v>451</v>
      </c>
      <c r="G32" t="s">
        <v>93</v>
      </c>
      <c r="H32">
        <f t="shared" si="0"/>
        <v>5</v>
      </c>
      <c r="I32" s="4">
        <v>1303383</v>
      </c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 t="s">
        <v>1034</v>
      </c>
      <c r="E33" s="33"/>
      <c r="F33" t="s">
        <v>391</v>
      </c>
      <c r="G33" t="s">
        <v>93</v>
      </c>
      <c r="H33">
        <f t="shared" si="0"/>
        <v>7</v>
      </c>
      <c r="I33" s="4">
        <v>1519232</v>
      </c>
      <c r="M33" s="21"/>
      <c r="N33" s="21"/>
      <c r="O33" s="21"/>
    </row>
    <row r="34" spans="3:15" x14ac:dyDescent="0.25">
      <c r="C34" s="33" t="str">
        <f t="shared" si="1"/>
        <v/>
      </c>
      <c r="D34" s="11" t="s">
        <v>497</v>
      </c>
      <c r="E34" s="33"/>
      <c r="F34" t="s">
        <v>1626</v>
      </c>
      <c r="G34" t="s">
        <v>93</v>
      </c>
      <c r="H34">
        <f t="shared" si="0"/>
        <v>15</v>
      </c>
      <c r="I34" s="4">
        <v>2250000</v>
      </c>
      <c r="M34" s="21"/>
      <c r="N34" s="21"/>
      <c r="O34" s="21"/>
    </row>
    <row r="35" spans="3:15" x14ac:dyDescent="0.25">
      <c r="C35" s="33" t="str">
        <f t="shared" si="1"/>
        <v/>
      </c>
      <c r="D35" s="11" t="s">
        <v>1207</v>
      </c>
      <c r="E35" s="33"/>
      <c r="F35" t="s">
        <v>131</v>
      </c>
      <c r="G35" t="s">
        <v>25</v>
      </c>
      <c r="H35">
        <f t="shared" si="0"/>
        <v>13</v>
      </c>
      <c r="I35" s="4">
        <v>1857431</v>
      </c>
      <c r="M35" s="21"/>
      <c r="N35" s="21"/>
      <c r="O35" s="21"/>
    </row>
    <row r="36" spans="3:15" x14ac:dyDescent="0.25">
      <c r="C36" s="33" t="str">
        <f t="shared" si="1"/>
        <v/>
      </c>
      <c r="D36" s="11" t="s">
        <v>601</v>
      </c>
      <c r="E36" s="33"/>
      <c r="F36" t="s">
        <v>201</v>
      </c>
      <c r="G36" t="s">
        <v>25</v>
      </c>
      <c r="H36">
        <f t="shared" si="0"/>
        <v>4</v>
      </c>
      <c r="I36" s="4">
        <v>1252095</v>
      </c>
      <c r="M36" s="21"/>
      <c r="N36" s="21"/>
      <c r="O36" s="21"/>
    </row>
    <row r="37" spans="3:15" x14ac:dyDescent="0.25">
      <c r="C37" s="33" t="str">
        <f t="shared" ref="C37:C38" si="2">IF(H37=1,"u","")</f>
        <v/>
      </c>
      <c r="D37" s="11" t="s">
        <v>1320</v>
      </c>
      <c r="E37" s="33"/>
      <c r="F37" t="s">
        <v>1321</v>
      </c>
      <c r="G37" t="s">
        <v>25</v>
      </c>
      <c r="H37">
        <f t="shared" si="0"/>
        <v>9</v>
      </c>
      <c r="I37" s="4">
        <v>1533234</v>
      </c>
      <c r="M37" s="21"/>
      <c r="N37" s="21"/>
      <c r="O37" s="21"/>
    </row>
    <row r="38" spans="3:15" x14ac:dyDescent="0.25">
      <c r="C38" s="33" t="str">
        <f t="shared" si="2"/>
        <v/>
      </c>
      <c r="D38" s="11" t="s">
        <v>487</v>
      </c>
      <c r="E38" s="33"/>
      <c r="F38" t="s">
        <v>113</v>
      </c>
      <c r="G38" t="s">
        <v>25</v>
      </c>
      <c r="H38">
        <f t="shared" si="0"/>
        <v>11</v>
      </c>
      <c r="I38" s="4">
        <v>1574000</v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ref="E39:E43" si="3">IF(H39=1,"t","")</f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3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3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3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3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411" priority="27" operator="containsText" text="FAIL">
      <formula>NOT(ISERROR(SEARCH("FAIL",I9)))</formula>
    </cfRule>
  </conditionalFormatting>
  <conditionalFormatting sqref="I9">
    <cfRule type="containsText" dxfId="4410" priority="26" operator="containsText" text="GOOD">
      <formula>NOT(ISERROR(SEARCH("GOOD",I9)))</formula>
    </cfRule>
  </conditionalFormatting>
  <conditionalFormatting sqref="F11">
    <cfRule type="containsText" dxfId="4409" priority="25" operator="containsText" text="FAIL">
      <formula>NOT(ISERROR(SEARCH("FAIL",F11)))</formula>
    </cfRule>
  </conditionalFormatting>
  <conditionalFormatting sqref="F11">
    <cfRule type="containsText" dxfId="4408" priority="24" operator="containsText" text="GOOD">
      <formula>NOT(ISERROR(SEARCH("GOOD",F11)))</formula>
    </cfRule>
  </conditionalFormatting>
  <conditionalFormatting sqref="D23:D25 D39:D43">
    <cfRule type="expression" dxfId="4407" priority="23">
      <formula>H23=1</formula>
    </cfRule>
  </conditionalFormatting>
  <conditionalFormatting sqref="C23:C25 C29:C36 C39:C43">
    <cfRule type="expression" dxfId="4406" priority="22">
      <formula>H23=1</formula>
    </cfRule>
  </conditionalFormatting>
  <conditionalFormatting sqref="E23:E25 E39:E43">
    <cfRule type="expression" dxfId="4405" priority="21">
      <formula>H23=1</formula>
    </cfRule>
  </conditionalFormatting>
  <conditionalFormatting sqref="F11">
    <cfRule type="containsText" dxfId="4404" priority="20" operator="containsText" text="FAIL">
      <formula>NOT(ISERROR(SEARCH("FAIL",F11)))</formula>
    </cfRule>
  </conditionalFormatting>
  <conditionalFormatting sqref="F11">
    <cfRule type="containsText" dxfId="4403" priority="19" operator="containsText" text="GOOD">
      <formula>NOT(ISERROR(SEARCH("GOOD",F11)))</formula>
    </cfRule>
  </conditionalFormatting>
  <conditionalFormatting sqref="D26">
    <cfRule type="expression" dxfId="4402" priority="17">
      <formula>H26=1</formula>
    </cfRule>
  </conditionalFormatting>
  <conditionalFormatting sqref="C26">
    <cfRule type="expression" dxfId="4401" priority="16">
      <formula>H26=1</formula>
    </cfRule>
  </conditionalFormatting>
  <conditionalFormatting sqref="E26">
    <cfRule type="expression" dxfId="4400" priority="15">
      <formula>H26=1</formula>
    </cfRule>
  </conditionalFormatting>
  <conditionalFormatting sqref="D27">
    <cfRule type="expression" dxfId="4399" priority="14">
      <formula>H27=1</formula>
    </cfRule>
  </conditionalFormatting>
  <conditionalFormatting sqref="C27">
    <cfRule type="expression" dxfId="4398" priority="13">
      <formula>H27=1</formula>
    </cfRule>
  </conditionalFormatting>
  <conditionalFormatting sqref="E27">
    <cfRule type="expression" dxfId="4397" priority="12">
      <formula>H27=1</formula>
    </cfRule>
  </conditionalFormatting>
  <conditionalFormatting sqref="D28">
    <cfRule type="expression" dxfId="4396" priority="11">
      <formula>H28=1</formula>
    </cfRule>
  </conditionalFormatting>
  <conditionalFormatting sqref="C28">
    <cfRule type="expression" dxfId="4395" priority="10">
      <formula>H28=1</formula>
    </cfRule>
  </conditionalFormatting>
  <conditionalFormatting sqref="E28">
    <cfRule type="expression" dxfId="4394" priority="9">
      <formula>H28=1</formula>
    </cfRule>
  </conditionalFormatting>
  <conditionalFormatting sqref="D29:D36">
    <cfRule type="expression" dxfId="4393" priority="8">
      <formula>H29=1</formula>
    </cfRule>
  </conditionalFormatting>
  <conditionalFormatting sqref="E29:E36">
    <cfRule type="expression" dxfId="4392" priority="7">
      <formula>H29=1</formula>
    </cfRule>
  </conditionalFormatting>
  <conditionalFormatting sqref="E38">
    <cfRule type="expression" dxfId="4391" priority="1">
      <formula>H38=1</formula>
    </cfRule>
  </conditionalFormatting>
  <conditionalFormatting sqref="C37">
    <cfRule type="expression" dxfId="4390" priority="6">
      <formula>H37=1</formula>
    </cfRule>
  </conditionalFormatting>
  <conditionalFormatting sqref="D37">
    <cfRule type="expression" dxfId="4389" priority="5">
      <formula>H37=1</formula>
    </cfRule>
  </conditionalFormatting>
  <conditionalFormatting sqref="E37">
    <cfRule type="expression" dxfId="4388" priority="4">
      <formula>H37=1</formula>
    </cfRule>
  </conditionalFormatting>
  <conditionalFormatting sqref="C38">
    <cfRule type="expression" dxfId="4387" priority="3">
      <formula>H38=1</formula>
    </cfRule>
  </conditionalFormatting>
  <conditionalFormatting sqref="D38">
    <cfRule type="expression" dxfId="4386" priority="2">
      <formula>H38=1</formula>
    </cfRule>
  </conditionalFormatting>
  <pageMargins left="0.7" right="0.7" top="0.75" bottom="0.75" header="0.3" footer="0.3"/>
  <pageSetup scale="68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E1D6E-48D3-4F41-9CD8-6ED925BF0E80}">
  <dimension ref="A2:P47"/>
  <sheetViews>
    <sheetView topLeftCell="A4" zoomScaleNormal="100" workbookViewId="0">
      <selection activeCell="L27" sqref="L2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1718</v>
      </c>
      <c r="I4" s="2" t="s">
        <v>4</v>
      </c>
      <c r="J4" t="s">
        <v>1619</v>
      </c>
    </row>
    <row r="5" spans="1:16" x14ac:dyDescent="0.25">
      <c r="D5" s="2" t="s">
        <v>1</v>
      </c>
      <c r="F5" t="s">
        <v>1719</v>
      </c>
    </row>
    <row r="6" spans="1:16" x14ac:dyDescent="0.25">
      <c r="D6" s="2" t="s">
        <v>2</v>
      </c>
      <c r="F6" s="6">
        <v>43704</v>
      </c>
      <c r="H6" s="11"/>
    </row>
    <row r="7" spans="1:16" x14ac:dyDescent="0.25">
      <c r="D7" s="2" t="s">
        <v>3</v>
      </c>
      <c r="F7" s="5">
        <v>1260000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1201422</v>
      </c>
      <c r="H8" s="11"/>
    </row>
    <row r="9" spans="1:16" x14ac:dyDescent="0.25">
      <c r="D9" s="2" t="s">
        <v>67</v>
      </c>
      <c r="F9" s="4">
        <f>+F8-F7</f>
        <v>-58578</v>
      </c>
      <c r="G9" s="16">
        <f>+F9/F7</f>
        <v>-4.6490476190476193E-2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-831721.16666666674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2091721.1666666667</v>
      </c>
      <c r="G12" s="14"/>
      <c r="H12" s="11">
        <f>COUNT(I23:I43)</f>
        <v>6</v>
      </c>
      <c r="I12" s="1" t="s">
        <v>31</v>
      </c>
      <c r="J12" s="4">
        <f>+F8*0.9</f>
        <v>1081279.8</v>
      </c>
      <c r="K12" s="1" t="s">
        <v>69</v>
      </c>
    </row>
    <row r="13" spans="1:16" x14ac:dyDescent="0.25">
      <c r="D13" s="2" t="s">
        <v>29</v>
      </c>
      <c r="F13" s="4">
        <f>MAX(I23:I43)-MIN(I23:I43)</f>
        <v>2038578</v>
      </c>
      <c r="G13" s="269">
        <f>MEDIAN(I23:I43)</f>
        <v>2103064</v>
      </c>
      <c r="H13" s="270"/>
      <c r="I13" s="1" t="s">
        <v>30</v>
      </c>
      <c r="J13" s="4">
        <f>+F12*1.1</f>
        <v>2300893.2833333337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676</v>
      </c>
      <c r="E23" s="33"/>
      <c r="F23" t="s">
        <v>85</v>
      </c>
      <c r="G23" t="s">
        <v>25</v>
      </c>
      <c r="H23">
        <f t="shared" ref="H23:H28" si="0">RANK(I23,I$23:I$43,1)</f>
        <v>2</v>
      </c>
      <c r="I23" s="4">
        <v>1534777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1">IF(H24=1,"u","")</f>
        <v/>
      </c>
      <c r="D24" s="11" t="s">
        <v>1720</v>
      </c>
      <c r="E24" s="33"/>
      <c r="F24" t="s">
        <v>1721</v>
      </c>
      <c r="G24" t="s">
        <v>93</v>
      </c>
      <c r="H24">
        <f t="shared" si="0"/>
        <v>6</v>
      </c>
      <c r="I24" s="4">
        <v>3240000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1"/>
        <v/>
      </c>
      <c r="D25" s="11" t="s">
        <v>347</v>
      </c>
      <c r="E25" s="33"/>
      <c r="F25" t="s">
        <v>147</v>
      </c>
      <c r="G25" t="s">
        <v>93</v>
      </c>
      <c r="H25">
        <f t="shared" si="0"/>
        <v>3</v>
      </c>
      <c r="I25" s="4">
        <v>1880888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1"/>
        <v/>
      </c>
      <c r="D26" s="11" t="s">
        <v>631</v>
      </c>
      <c r="E26" s="33"/>
      <c r="F26" t="s">
        <v>131</v>
      </c>
      <c r="G26" t="s">
        <v>25</v>
      </c>
      <c r="H26">
        <f t="shared" si="0"/>
        <v>5</v>
      </c>
      <c r="I26" s="4">
        <v>2368000</v>
      </c>
      <c r="J26" s="4"/>
      <c r="K26" s="4"/>
      <c r="L26" s="4"/>
      <c r="M26" s="22"/>
      <c r="N26" s="22"/>
      <c r="O26" s="22"/>
    </row>
    <row r="27" spans="3:15" x14ac:dyDescent="0.25">
      <c r="C27" s="33" t="str">
        <f>IF(H27=1,"u","")</f>
        <v>u</v>
      </c>
      <c r="D27" s="11" t="s">
        <v>605</v>
      </c>
      <c r="E27" s="33"/>
      <c r="F27" t="s">
        <v>120</v>
      </c>
      <c r="G27" t="s">
        <v>25</v>
      </c>
      <c r="H27">
        <f t="shared" si="0"/>
        <v>1</v>
      </c>
      <c r="I27" s="4">
        <v>1201422</v>
      </c>
      <c r="J27" s="4"/>
      <c r="K27" s="4"/>
      <c r="L27" s="4"/>
      <c r="M27" s="22"/>
      <c r="N27" s="22"/>
      <c r="O27" s="22"/>
    </row>
    <row r="28" spans="3:15" x14ac:dyDescent="0.25">
      <c r="C28" s="33" t="str">
        <f>IF(H28=1,"u","")</f>
        <v/>
      </c>
      <c r="D28" s="11" t="s">
        <v>1722</v>
      </c>
      <c r="E28" s="33"/>
      <c r="F28" t="s">
        <v>147</v>
      </c>
      <c r="G28" t="s">
        <v>93</v>
      </c>
      <c r="H28">
        <f t="shared" si="0"/>
        <v>4</v>
      </c>
      <c r="I28" s="4">
        <v>2325240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11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11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11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385" priority="19" operator="containsText" text="FAIL">
      <formula>NOT(ISERROR(SEARCH("FAIL",I9)))</formula>
    </cfRule>
  </conditionalFormatting>
  <conditionalFormatting sqref="I9">
    <cfRule type="containsText" dxfId="4384" priority="18" operator="containsText" text="GOOD">
      <formula>NOT(ISERROR(SEARCH("GOOD",I9)))</formula>
    </cfRule>
  </conditionalFormatting>
  <conditionalFormatting sqref="F11">
    <cfRule type="containsText" dxfId="4383" priority="17" operator="containsText" text="FAIL">
      <formula>NOT(ISERROR(SEARCH("FAIL",F11)))</formula>
    </cfRule>
  </conditionalFormatting>
  <conditionalFormatting sqref="F11">
    <cfRule type="containsText" dxfId="4382" priority="16" operator="containsText" text="GOOD">
      <formula>NOT(ISERROR(SEARCH("GOOD",F11)))</formula>
    </cfRule>
  </conditionalFormatting>
  <conditionalFormatting sqref="D23:D25 D31:D43">
    <cfRule type="expression" dxfId="4381" priority="15">
      <formula>H23=1</formula>
    </cfRule>
  </conditionalFormatting>
  <conditionalFormatting sqref="C23:C25 C29:C43">
    <cfRule type="expression" dxfId="4380" priority="14">
      <formula>H23=1</formula>
    </cfRule>
  </conditionalFormatting>
  <conditionalFormatting sqref="E23:E25 E34:E43">
    <cfRule type="expression" dxfId="4379" priority="13">
      <formula>H23=1</formula>
    </cfRule>
  </conditionalFormatting>
  <conditionalFormatting sqref="F11">
    <cfRule type="containsText" dxfId="4378" priority="12" operator="containsText" text="FAIL">
      <formula>NOT(ISERROR(SEARCH("FAIL",F11)))</formula>
    </cfRule>
  </conditionalFormatting>
  <conditionalFormatting sqref="F11">
    <cfRule type="containsText" dxfId="4377" priority="11" operator="containsText" text="GOOD">
      <formula>NOT(ISERROR(SEARCH("GOOD",F11)))</formula>
    </cfRule>
  </conditionalFormatting>
  <conditionalFormatting sqref="E31:E33">
    <cfRule type="expression" dxfId="4376" priority="10">
      <formula>I31=1</formula>
    </cfRule>
  </conditionalFormatting>
  <conditionalFormatting sqref="D26 D29:D30">
    <cfRule type="expression" dxfId="4375" priority="9">
      <formula>H26=1</formula>
    </cfRule>
  </conditionalFormatting>
  <conditionalFormatting sqref="C26">
    <cfRule type="expression" dxfId="4374" priority="8">
      <formula>H26=1</formula>
    </cfRule>
  </conditionalFormatting>
  <conditionalFormatting sqref="E26 E29:E30">
    <cfRule type="expression" dxfId="4373" priority="7">
      <formula>H26=1</formula>
    </cfRule>
  </conditionalFormatting>
  <conditionalFormatting sqref="D27">
    <cfRule type="expression" dxfId="4372" priority="6">
      <formula>H27=1</formula>
    </cfRule>
  </conditionalFormatting>
  <conditionalFormatting sqref="C27">
    <cfRule type="expression" dxfId="4371" priority="5">
      <formula>H27=1</formula>
    </cfRule>
  </conditionalFormatting>
  <conditionalFormatting sqref="E27">
    <cfRule type="expression" dxfId="4370" priority="4">
      <formula>H27=1</formula>
    </cfRule>
  </conditionalFormatting>
  <conditionalFormatting sqref="D28">
    <cfRule type="expression" dxfId="4369" priority="3">
      <formula>H28=1</formula>
    </cfRule>
  </conditionalFormatting>
  <conditionalFormatting sqref="C28">
    <cfRule type="expression" dxfId="4368" priority="2">
      <formula>H28=1</formula>
    </cfRule>
  </conditionalFormatting>
  <conditionalFormatting sqref="E28">
    <cfRule type="expression" dxfId="4367" priority="1">
      <formula>H28=1</formula>
    </cfRule>
  </conditionalFormatting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EC074-5309-479C-BFA6-DB1A0F2A4CA9}">
  <dimension ref="A2:P47"/>
  <sheetViews>
    <sheetView zoomScaleNormal="100" workbookViewId="0">
      <selection activeCell="N14" sqref="N1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1712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1714</v>
      </c>
    </row>
    <row r="6" spans="1:16" x14ac:dyDescent="0.25">
      <c r="D6" s="2" t="s">
        <v>2</v>
      </c>
      <c r="F6" s="6">
        <v>43700</v>
      </c>
      <c r="H6" s="11"/>
    </row>
    <row r="7" spans="1:16" x14ac:dyDescent="0.25">
      <c r="D7" s="2" t="s">
        <v>3</v>
      </c>
      <c r="F7" s="5">
        <v>55300000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43999000</v>
      </c>
      <c r="H8" s="11"/>
    </row>
    <row r="9" spans="1:16" x14ac:dyDescent="0.25">
      <c r="D9" s="2" t="s">
        <v>67</v>
      </c>
      <c r="F9" s="4">
        <f>+F8-F7</f>
        <v>-11301000</v>
      </c>
      <c r="G9" s="16">
        <f>+F9/F7</f>
        <v>-0.20435804701627486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4768552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50531448</v>
      </c>
      <c r="G12" s="14"/>
      <c r="H12" s="11">
        <f>COUNT(I23:I43)</f>
        <v>5</v>
      </c>
      <c r="I12" s="1" t="s">
        <v>31</v>
      </c>
      <c r="J12" s="4">
        <f>+F8*0.9</f>
        <v>39599100</v>
      </c>
      <c r="K12" s="1" t="s">
        <v>69</v>
      </c>
    </row>
    <row r="13" spans="1:16" x14ac:dyDescent="0.25">
      <c r="D13" s="2" t="s">
        <v>29</v>
      </c>
      <c r="F13" s="4">
        <f>MAX(I23:I43)-MIN(I23:I43)</f>
        <v>18897240</v>
      </c>
      <c r="G13" s="269">
        <f>MEDIAN(I23:I43)</f>
        <v>48497000</v>
      </c>
      <c r="H13" s="270"/>
      <c r="I13" s="1" t="s">
        <v>30</v>
      </c>
      <c r="J13" s="4">
        <f>+F12*1.1</f>
        <v>55584592.800000004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1713</v>
      </c>
      <c r="E23" s="33"/>
      <c r="F23" t="s">
        <v>109</v>
      </c>
      <c r="G23" t="s">
        <v>25</v>
      </c>
      <c r="H23">
        <f>RANK(I23,I$23:I$43,1)</f>
        <v>2</v>
      </c>
      <c r="I23" s="4">
        <v>47275000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0">IF(H24=1,"u","")</f>
        <v/>
      </c>
      <c r="D24" s="11" t="s">
        <v>491</v>
      </c>
      <c r="E24" s="33"/>
      <c r="F24" t="s">
        <v>203</v>
      </c>
      <c r="G24" t="s">
        <v>204</v>
      </c>
      <c r="H24">
        <f>RANK(I24,I$23:I$43,1)</f>
        <v>5</v>
      </c>
      <c r="I24" s="4">
        <v>62896240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0"/>
        <v>u</v>
      </c>
      <c r="D25" s="11" t="s">
        <v>1461</v>
      </c>
      <c r="E25" s="33"/>
      <c r="F25" t="s">
        <v>145</v>
      </c>
      <c r="G25" t="s">
        <v>25</v>
      </c>
      <c r="H25">
        <f>RANK(I25,I$23:I$43,1)</f>
        <v>1</v>
      </c>
      <c r="I25" s="4">
        <v>43999000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 t="s">
        <v>547</v>
      </c>
      <c r="E26" s="33"/>
      <c r="F26" t="s">
        <v>88</v>
      </c>
      <c r="G26" t="s">
        <v>25</v>
      </c>
      <c r="H26">
        <f>RANK(I26,I$23:I$43,1)</f>
        <v>4</v>
      </c>
      <c r="I26" s="4">
        <v>49990000</v>
      </c>
      <c r="J26" s="4"/>
      <c r="K26" s="4"/>
      <c r="L26" s="4"/>
      <c r="M26" s="22"/>
      <c r="N26" s="22"/>
      <c r="O26" s="22"/>
    </row>
    <row r="27" spans="3:15" x14ac:dyDescent="0.25">
      <c r="C27" s="33" t="str">
        <f>IF(H27=1,"u","")</f>
        <v/>
      </c>
      <c r="D27" s="11" t="s">
        <v>1415</v>
      </c>
      <c r="E27" s="33"/>
      <c r="F27" t="s">
        <v>302</v>
      </c>
      <c r="G27" t="s">
        <v>25</v>
      </c>
      <c r="H27">
        <f>RANK(I27,I$23:I$43,1)</f>
        <v>3</v>
      </c>
      <c r="I27" s="4">
        <v>48497000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11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11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11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366" priority="17" operator="containsText" text="FAIL">
      <formula>NOT(ISERROR(SEARCH("FAIL",I9)))</formula>
    </cfRule>
  </conditionalFormatting>
  <conditionalFormatting sqref="I9">
    <cfRule type="containsText" dxfId="4365" priority="16" operator="containsText" text="GOOD">
      <formula>NOT(ISERROR(SEARCH("GOOD",I9)))</formula>
    </cfRule>
  </conditionalFormatting>
  <conditionalFormatting sqref="F11">
    <cfRule type="containsText" dxfId="4364" priority="15" operator="containsText" text="FAIL">
      <formula>NOT(ISERROR(SEARCH("FAIL",F11)))</formula>
    </cfRule>
  </conditionalFormatting>
  <conditionalFormatting sqref="F11">
    <cfRule type="containsText" dxfId="4363" priority="14" operator="containsText" text="GOOD">
      <formula>NOT(ISERROR(SEARCH("GOOD",F11)))</formula>
    </cfRule>
  </conditionalFormatting>
  <conditionalFormatting sqref="D23:D25 D31:D43">
    <cfRule type="expression" dxfId="4362" priority="13">
      <formula>H23=1</formula>
    </cfRule>
  </conditionalFormatting>
  <conditionalFormatting sqref="C23:C25 C28:C43">
    <cfRule type="expression" dxfId="4361" priority="12">
      <formula>H23=1</formula>
    </cfRule>
  </conditionalFormatting>
  <conditionalFormatting sqref="E23:E25 E34:E43">
    <cfRule type="expression" dxfId="4360" priority="11">
      <formula>H23=1</formula>
    </cfRule>
  </conditionalFormatting>
  <conditionalFormatting sqref="F11">
    <cfRule type="containsText" dxfId="4359" priority="10" operator="containsText" text="FAIL">
      <formula>NOT(ISERROR(SEARCH("FAIL",F11)))</formula>
    </cfRule>
  </conditionalFormatting>
  <conditionalFormatting sqref="F11">
    <cfRule type="containsText" dxfId="4358" priority="9" operator="containsText" text="GOOD">
      <formula>NOT(ISERROR(SEARCH("GOOD",F11)))</formula>
    </cfRule>
  </conditionalFormatting>
  <conditionalFormatting sqref="E31:E33">
    <cfRule type="expression" dxfId="4357" priority="8">
      <formula>I31=1</formula>
    </cfRule>
  </conditionalFormatting>
  <conditionalFormatting sqref="D26 D28:D30">
    <cfRule type="expression" dxfId="4356" priority="6">
      <formula>H26=1</formula>
    </cfRule>
  </conditionalFormatting>
  <conditionalFormatting sqref="C26">
    <cfRule type="expression" dxfId="4355" priority="5">
      <formula>H26=1</formula>
    </cfRule>
  </conditionalFormatting>
  <conditionalFormatting sqref="E26 E28:E30">
    <cfRule type="expression" dxfId="4354" priority="4">
      <formula>H26=1</formula>
    </cfRule>
  </conditionalFormatting>
  <conditionalFormatting sqref="D27">
    <cfRule type="expression" dxfId="4353" priority="3">
      <formula>H27=1</formula>
    </cfRule>
  </conditionalFormatting>
  <conditionalFormatting sqref="C27">
    <cfRule type="expression" dxfId="4352" priority="2">
      <formula>H27=1</formula>
    </cfRule>
  </conditionalFormatting>
  <conditionalFormatting sqref="E27">
    <cfRule type="expression" dxfId="4351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13DA0-F168-4A29-8267-881F17C9DD18}">
  <dimension ref="A2:P47"/>
  <sheetViews>
    <sheetView topLeftCell="A4" zoomScaleNormal="100" workbookViewId="0">
      <selection activeCell="G30" sqref="G30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1706</v>
      </c>
      <c r="I4" s="2" t="s">
        <v>4</v>
      </c>
      <c r="J4" t="s">
        <v>1251</v>
      </c>
    </row>
    <row r="5" spans="1:15" x14ac:dyDescent="0.25">
      <c r="D5" s="2" t="s">
        <v>1</v>
      </c>
      <c r="F5" t="s">
        <v>1707</v>
      </c>
    </row>
    <row r="6" spans="1:15" x14ac:dyDescent="0.25">
      <c r="D6" s="2" t="s">
        <v>2</v>
      </c>
      <c r="F6" s="6">
        <v>43699</v>
      </c>
      <c r="H6" s="11"/>
    </row>
    <row r="7" spans="1:15" x14ac:dyDescent="0.25">
      <c r="D7" s="2" t="s">
        <v>3</v>
      </c>
      <c r="F7" s="5">
        <f>+L7+K7+J7+I7+(M7*K7)</f>
        <v>194071979</v>
      </c>
      <c r="G7" s="2" t="s">
        <v>34</v>
      </c>
      <c r="H7" s="11"/>
      <c r="I7" s="19">
        <v>4430000</v>
      </c>
      <c r="J7" s="19">
        <v>166875696</v>
      </c>
      <c r="K7" s="19">
        <v>19305000</v>
      </c>
      <c r="L7" s="19">
        <v>565533</v>
      </c>
      <c r="M7" s="20">
        <v>0.15</v>
      </c>
    </row>
    <row r="8" spans="1:15" x14ac:dyDescent="0.25">
      <c r="D8" s="2" t="s">
        <v>18</v>
      </c>
      <c r="F8" s="5">
        <f>MIN(M23:M43)</f>
        <v>171330900</v>
      </c>
      <c r="H8" s="11"/>
      <c r="I8" s="18" t="s">
        <v>43</v>
      </c>
      <c r="J8" s="18" t="s">
        <v>44</v>
      </c>
      <c r="K8" s="18" t="s">
        <v>49</v>
      </c>
      <c r="L8" s="18" t="s">
        <v>934</v>
      </c>
      <c r="M8" s="18" t="s">
        <v>50</v>
      </c>
    </row>
    <row r="9" spans="1:15" x14ac:dyDescent="0.25">
      <c r="D9" s="2" t="s">
        <v>19</v>
      </c>
      <c r="F9" s="4">
        <f>+F8-F7</f>
        <v>-22741079</v>
      </c>
      <c r="G9" s="16">
        <f>+F9/F7</f>
        <v>-0.11717858042762577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5" x14ac:dyDescent="0.25">
      <c r="D10" s="2" t="s">
        <v>68</v>
      </c>
      <c r="F10" s="4">
        <f>+F7-F12</f>
        <v>11380993.666666657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GOOD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182690985.33333334</v>
      </c>
      <c r="G12" s="14"/>
      <c r="H12" s="11">
        <f>COUNT(M23:M43)</f>
        <v>6</v>
      </c>
      <c r="I12" s="1" t="s">
        <v>31</v>
      </c>
      <c r="J12" s="4">
        <f>+F8*0.9</f>
        <v>154197810</v>
      </c>
      <c r="K12" s="1" t="s">
        <v>69</v>
      </c>
      <c r="L12" s="1"/>
      <c r="O12" t="str">
        <f>INDEX(D23:D43,MATCH(1,H23:H43,0))</f>
        <v>American Bridge</v>
      </c>
    </row>
    <row r="13" spans="1:15" x14ac:dyDescent="0.25">
      <c r="D13" s="2" t="s">
        <v>29</v>
      </c>
      <c r="F13" s="4">
        <f>MAX(M23:M43)-MIN(M23:M43)</f>
        <v>22813100</v>
      </c>
      <c r="G13" s="269">
        <f>MEDIAN(M23:M43)</f>
        <v>184365756</v>
      </c>
      <c r="H13" s="270"/>
      <c r="I13" s="1" t="s">
        <v>30</v>
      </c>
      <c r="J13" s="4">
        <f>+F12*1.1</f>
        <v>200960083.8666667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5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6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6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>IF(H23=1,"u","")</f>
        <v>u</v>
      </c>
      <c r="D23" s="11" t="s">
        <v>913</v>
      </c>
      <c r="E23" s="33"/>
      <c r="F23" t="s">
        <v>1708</v>
      </c>
      <c r="G23" t="s">
        <v>333</v>
      </c>
      <c r="H23">
        <f t="shared" ref="H23:H28" si="0">RANK(M23,M$23:M$43,1)</f>
        <v>1</v>
      </c>
      <c r="I23" s="4">
        <v>4988200</v>
      </c>
      <c r="J23" s="4">
        <v>141399200</v>
      </c>
      <c r="K23" s="4">
        <v>1391400</v>
      </c>
      <c r="L23" s="7">
        <v>0.22</v>
      </c>
      <c r="M23" s="4">
        <f t="shared" ref="M23:M28" si="1">+K23+I23+J23+(L23*K$7)+$K$7</f>
        <v>171330900</v>
      </c>
      <c r="N23" s="22"/>
      <c r="O23" s="22">
        <f t="shared" ref="O23:O29" si="2">+L23*$K$7</f>
        <v>4247100</v>
      </c>
      <c r="P23" s="22"/>
    </row>
    <row r="24" spans="3:16" x14ac:dyDescent="0.25">
      <c r="C24" s="33" t="str">
        <f>IF(H24=1,"u","")</f>
        <v/>
      </c>
      <c r="D24" s="11" t="s">
        <v>1709</v>
      </c>
      <c r="E24" s="33"/>
      <c r="F24" t="s">
        <v>145</v>
      </c>
      <c r="G24" t="s">
        <v>25</v>
      </c>
      <c r="H24">
        <f t="shared" si="0"/>
        <v>6</v>
      </c>
      <c r="I24" s="4">
        <v>4312269</v>
      </c>
      <c r="J24" s="4">
        <v>167229731</v>
      </c>
      <c r="K24" s="4">
        <v>980400</v>
      </c>
      <c r="L24" s="7">
        <v>0.12</v>
      </c>
      <c r="M24" s="4">
        <f t="shared" si="1"/>
        <v>194144000</v>
      </c>
      <c r="N24" s="22"/>
      <c r="O24" s="22">
        <f t="shared" si="2"/>
        <v>2316600</v>
      </c>
      <c r="P24" s="22"/>
    </row>
    <row r="25" spans="3:16" x14ac:dyDescent="0.25">
      <c r="C25" s="33" t="str">
        <f>IF(H25=1,"u","")</f>
        <v/>
      </c>
      <c r="D25" s="11" t="s">
        <v>1565</v>
      </c>
      <c r="E25" s="33"/>
      <c r="F25" t="s">
        <v>92</v>
      </c>
      <c r="G25" t="s">
        <v>93</v>
      </c>
      <c r="H25">
        <f t="shared" si="0"/>
        <v>5</v>
      </c>
      <c r="I25" s="4">
        <v>7416500</v>
      </c>
      <c r="J25" s="4">
        <v>161519350</v>
      </c>
      <c r="K25" s="4">
        <v>540000</v>
      </c>
      <c r="L25" s="7">
        <v>0.03</v>
      </c>
      <c r="M25" s="4">
        <f t="shared" si="1"/>
        <v>189360000</v>
      </c>
      <c r="N25" s="22"/>
      <c r="O25" s="22">
        <f t="shared" si="2"/>
        <v>579150</v>
      </c>
      <c r="P25" s="22"/>
    </row>
    <row r="26" spans="3:16" x14ac:dyDescent="0.25">
      <c r="C26" s="33" t="str">
        <f t="shared" ref="C26:C43" si="3">IF(H26=1,"u","")</f>
        <v/>
      </c>
      <c r="D26" s="11" t="s">
        <v>506</v>
      </c>
      <c r="E26" s="33"/>
      <c r="F26" t="s">
        <v>40</v>
      </c>
      <c r="G26" t="s">
        <v>25</v>
      </c>
      <c r="H26">
        <f t="shared" si="0"/>
        <v>2</v>
      </c>
      <c r="I26" s="4">
        <v>6653700</v>
      </c>
      <c r="J26" s="4">
        <v>142800000</v>
      </c>
      <c r="K26" s="4">
        <v>732000</v>
      </c>
      <c r="L26" s="7">
        <v>0.16</v>
      </c>
      <c r="M26" s="4">
        <f t="shared" si="1"/>
        <v>172579500</v>
      </c>
      <c r="N26" s="22"/>
      <c r="O26" s="22">
        <f t="shared" si="2"/>
        <v>3088800</v>
      </c>
      <c r="P26" s="22"/>
    </row>
    <row r="27" spans="3:16" x14ac:dyDescent="0.25">
      <c r="C27" s="33" t="str">
        <f t="shared" si="3"/>
        <v/>
      </c>
      <c r="D27" s="11" t="s">
        <v>1710</v>
      </c>
      <c r="E27" s="33"/>
      <c r="F27" t="s">
        <v>159</v>
      </c>
      <c r="G27" t="s">
        <v>93</v>
      </c>
      <c r="H27">
        <f t="shared" si="0"/>
        <v>3</v>
      </c>
      <c r="I27" s="4">
        <v>5661520</v>
      </c>
      <c r="J27" s="4">
        <v>152300000</v>
      </c>
      <c r="K27" s="4">
        <v>576000</v>
      </c>
      <c r="L27" s="7">
        <v>0.1</v>
      </c>
      <c r="M27" s="4">
        <f t="shared" si="1"/>
        <v>179773020</v>
      </c>
      <c r="N27" s="22"/>
      <c r="O27" s="22">
        <f t="shared" si="2"/>
        <v>1930500</v>
      </c>
      <c r="P27" s="22"/>
    </row>
    <row r="28" spans="3:16" x14ac:dyDescent="0.25">
      <c r="C28" s="33" t="str">
        <f>IF(H28=1,"u","")</f>
        <v/>
      </c>
      <c r="D28" s="11" t="s">
        <v>515</v>
      </c>
      <c r="E28" s="33"/>
      <c r="F28" t="s">
        <v>92</v>
      </c>
      <c r="G28" t="s">
        <v>93</v>
      </c>
      <c r="H28">
        <f t="shared" si="0"/>
        <v>4</v>
      </c>
      <c r="I28" s="4">
        <v>4870800</v>
      </c>
      <c r="J28" s="4">
        <v>163483542</v>
      </c>
      <c r="K28" s="4">
        <v>720000</v>
      </c>
      <c r="L28" s="7">
        <v>0.03</v>
      </c>
      <c r="M28" s="4">
        <f t="shared" si="1"/>
        <v>188958492</v>
      </c>
      <c r="N28" s="22" t="s">
        <v>1711</v>
      </c>
      <c r="O28" s="22">
        <f t="shared" si="2"/>
        <v>579150</v>
      </c>
      <c r="P28" s="22"/>
    </row>
    <row r="29" spans="3:16" x14ac:dyDescent="0.25">
      <c r="C29" s="33" t="str">
        <f>IF(H29=1,"u","")</f>
        <v/>
      </c>
      <c r="D29" s="11" t="s">
        <v>517</v>
      </c>
      <c r="E29" s="33"/>
      <c r="F29" t="s">
        <v>170</v>
      </c>
      <c r="G29" t="s">
        <v>93</v>
      </c>
      <c r="I29" s="4">
        <v>4295100</v>
      </c>
      <c r="J29" s="4">
        <v>113959500</v>
      </c>
      <c r="K29" s="4">
        <v>696000</v>
      </c>
      <c r="L29" s="7">
        <v>0.08</v>
      </c>
      <c r="M29" s="4"/>
      <c r="N29" s="22" t="s">
        <v>1716</v>
      </c>
      <c r="O29" s="22">
        <f t="shared" si="2"/>
        <v>1544400</v>
      </c>
      <c r="P29" s="22"/>
    </row>
    <row r="30" spans="3:16" x14ac:dyDescent="0.25">
      <c r="C30" s="33" t="str">
        <f t="shared" si="3"/>
        <v/>
      </c>
      <c r="D30" s="11"/>
      <c r="E30" s="33" t="str">
        <f t="shared" ref="E30:E43" si="4">IF(H30=1,"t","")</f>
        <v/>
      </c>
      <c r="I30" s="4"/>
      <c r="J30" s="4"/>
      <c r="K30" s="7"/>
      <c r="L30" s="7"/>
      <c r="M30" s="4"/>
      <c r="N30" s="22"/>
      <c r="O30" s="22"/>
      <c r="P30" s="22"/>
    </row>
    <row r="31" spans="3:16" x14ac:dyDescent="0.25">
      <c r="C31" s="33" t="str">
        <f t="shared" si="3"/>
        <v/>
      </c>
      <c r="D31" s="11"/>
      <c r="E31" s="33" t="str">
        <f t="shared" si="4"/>
        <v/>
      </c>
      <c r="I31" s="4"/>
      <c r="J31" s="4"/>
      <c r="K31" s="7"/>
      <c r="L31" s="7"/>
      <c r="M31" s="4"/>
      <c r="N31" s="22"/>
      <c r="O31" s="22"/>
      <c r="P31" s="22"/>
    </row>
    <row r="32" spans="3:16" x14ac:dyDescent="0.25">
      <c r="C32" s="33" t="str">
        <f t="shared" si="3"/>
        <v/>
      </c>
      <c r="D32" s="11"/>
      <c r="E32" s="33" t="str">
        <f t="shared" si="4"/>
        <v/>
      </c>
      <c r="I32" s="4"/>
      <c r="J32" s="4"/>
      <c r="K32" s="7"/>
      <c r="L32" s="7"/>
      <c r="M32" s="4"/>
      <c r="N32" s="22"/>
      <c r="O32" s="22"/>
      <c r="P32" s="22"/>
    </row>
    <row r="33" spans="3:16" x14ac:dyDescent="0.25">
      <c r="C33" s="33" t="str">
        <f t="shared" si="3"/>
        <v/>
      </c>
      <c r="D33" s="11"/>
      <c r="E33" s="33" t="str">
        <f t="shared" si="4"/>
        <v/>
      </c>
      <c r="I33" s="4"/>
      <c r="J33" s="4"/>
      <c r="K33" s="7"/>
      <c r="L33" s="7"/>
      <c r="M33" s="4"/>
      <c r="N33" s="21"/>
      <c r="O33" s="21"/>
      <c r="P33" s="21"/>
    </row>
    <row r="34" spans="3:16" x14ac:dyDescent="0.25">
      <c r="C34" s="33" t="str">
        <f t="shared" si="3"/>
        <v/>
      </c>
      <c r="D34" s="11"/>
      <c r="E34" s="33" t="str">
        <f t="shared" si="4"/>
        <v/>
      </c>
      <c r="K34" s="7"/>
      <c r="L34" s="7"/>
      <c r="N34" s="21"/>
      <c r="O34" s="21"/>
      <c r="P34" s="21"/>
    </row>
    <row r="35" spans="3:16" x14ac:dyDescent="0.25">
      <c r="C35" s="33" t="str">
        <f t="shared" si="3"/>
        <v/>
      </c>
      <c r="D35" s="11"/>
      <c r="E35" s="33" t="str">
        <f t="shared" si="4"/>
        <v/>
      </c>
      <c r="K35" s="7"/>
      <c r="L35" s="7"/>
      <c r="N35" s="21"/>
      <c r="O35" s="21"/>
      <c r="P35" s="21"/>
    </row>
    <row r="36" spans="3:16" x14ac:dyDescent="0.25">
      <c r="C36" s="33" t="str">
        <f t="shared" si="3"/>
        <v/>
      </c>
      <c r="D36" s="11"/>
      <c r="E36" s="33" t="str">
        <f t="shared" si="4"/>
        <v/>
      </c>
      <c r="K36" s="7"/>
      <c r="L36" s="7"/>
      <c r="N36" s="21"/>
      <c r="O36" s="21"/>
      <c r="P36" s="21"/>
    </row>
    <row r="37" spans="3:16" x14ac:dyDescent="0.25">
      <c r="C37" s="33" t="str">
        <f t="shared" si="3"/>
        <v/>
      </c>
      <c r="D37" s="11"/>
      <c r="E37" s="33" t="str">
        <f t="shared" si="4"/>
        <v/>
      </c>
      <c r="K37" s="7"/>
      <c r="L37" s="7"/>
      <c r="N37" s="21"/>
      <c r="O37" s="21"/>
      <c r="P37" s="21"/>
    </row>
    <row r="38" spans="3:16" x14ac:dyDescent="0.25">
      <c r="C38" s="33" t="str">
        <f t="shared" si="3"/>
        <v/>
      </c>
      <c r="D38" s="11"/>
      <c r="E38" s="33" t="str">
        <f t="shared" si="4"/>
        <v/>
      </c>
      <c r="K38" s="7"/>
      <c r="L38" s="7"/>
      <c r="N38" s="21"/>
      <c r="O38" s="21"/>
      <c r="P38" s="21"/>
    </row>
    <row r="39" spans="3:16" x14ac:dyDescent="0.25">
      <c r="C39" s="33" t="str">
        <f t="shared" si="3"/>
        <v/>
      </c>
      <c r="D39" s="11"/>
      <c r="E39" s="33" t="str">
        <f t="shared" si="4"/>
        <v/>
      </c>
      <c r="K39" s="7"/>
      <c r="L39" s="7"/>
      <c r="N39" s="21"/>
      <c r="O39" s="21"/>
      <c r="P39" s="21"/>
    </row>
    <row r="40" spans="3:16" x14ac:dyDescent="0.25">
      <c r="C40" s="33" t="str">
        <f t="shared" si="3"/>
        <v/>
      </c>
      <c r="D40" s="11"/>
      <c r="E40" s="33" t="str">
        <f t="shared" si="4"/>
        <v/>
      </c>
      <c r="K40" s="7"/>
      <c r="L40" s="7"/>
      <c r="N40" s="21"/>
      <c r="O40" s="21"/>
      <c r="P40" s="21"/>
    </row>
    <row r="41" spans="3:16" x14ac:dyDescent="0.25">
      <c r="C41" s="33" t="str">
        <f t="shared" si="3"/>
        <v/>
      </c>
      <c r="D41" s="11"/>
      <c r="E41" s="33" t="str">
        <f t="shared" si="4"/>
        <v/>
      </c>
      <c r="K41" s="7"/>
      <c r="L41" s="7"/>
      <c r="N41" s="21"/>
      <c r="O41" s="21"/>
      <c r="P41" s="21"/>
    </row>
    <row r="42" spans="3:16" x14ac:dyDescent="0.25">
      <c r="C42" s="33" t="str">
        <f t="shared" si="3"/>
        <v/>
      </c>
      <c r="D42" s="11"/>
      <c r="E42" s="33" t="str">
        <f t="shared" si="4"/>
        <v/>
      </c>
      <c r="K42" s="7"/>
      <c r="L42" s="7"/>
      <c r="N42" s="21"/>
      <c r="O42" s="21"/>
      <c r="P42" s="21"/>
    </row>
    <row r="43" spans="3:16" x14ac:dyDescent="0.25">
      <c r="C43" s="33" t="str">
        <f t="shared" si="3"/>
        <v/>
      </c>
      <c r="D43" s="11"/>
      <c r="E43" s="33" t="str">
        <f t="shared" si="4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4350" priority="11" operator="containsText" text="FAIL">
      <formula>NOT(ISERROR(SEARCH("FAIL",F9)))</formula>
    </cfRule>
  </conditionalFormatting>
  <conditionalFormatting sqref="I9 F11">
    <cfRule type="containsText" dxfId="4349" priority="10" operator="containsText" text="GOOD">
      <formula>NOT(ISERROR(SEARCH("GOOD",F9)))</formula>
    </cfRule>
  </conditionalFormatting>
  <conditionalFormatting sqref="I9">
    <cfRule type="containsText" dxfId="4348" priority="9" operator="containsText" text="FAIL">
      <formula>NOT(ISERROR(SEARCH("FAIL",I9)))</formula>
    </cfRule>
  </conditionalFormatting>
  <conditionalFormatting sqref="I9">
    <cfRule type="containsText" dxfId="4347" priority="8" operator="containsText" text="GOOD">
      <formula>NOT(ISERROR(SEARCH("GOOD",I9)))</formula>
    </cfRule>
  </conditionalFormatting>
  <conditionalFormatting sqref="D25">
    <cfRule type="expression" dxfId="4346" priority="7" stopIfTrue="1">
      <formula>IF($H$25=1,0)</formula>
    </cfRule>
  </conditionalFormatting>
  <conditionalFormatting sqref="D23:D27 D30:D43">
    <cfRule type="expression" dxfId="4345" priority="6">
      <formula>H23=1</formula>
    </cfRule>
  </conditionalFormatting>
  <conditionalFormatting sqref="C23:C27 C30:C43">
    <cfRule type="expression" dxfId="4344" priority="5">
      <formula>H23=1</formula>
    </cfRule>
  </conditionalFormatting>
  <conditionalFormatting sqref="E23:E27 E30:E43">
    <cfRule type="expression" dxfId="4343" priority="4">
      <formula>H23=1</formula>
    </cfRule>
  </conditionalFormatting>
  <conditionalFormatting sqref="D28:D29">
    <cfRule type="expression" dxfId="4342" priority="3">
      <formula>H28=1</formula>
    </cfRule>
  </conditionalFormatting>
  <conditionalFormatting sqref="C28:C29">
    <cfRule type="expression" dxfId="4341" priority="2">
      <formula>H28=1</formula>
    </cfRule>
  </conditionalFormatting>
  <conditionalFormatting sqref="E28:E29">
    <cfRule type="expression" dxfId="4340" priority="1">
      <formula>H28=1</formula>
    </cfRule>
  </conditionalFormatting>
  <pageMargins left="0.7" right="0.7" top="0.75" bottom="0.75" header="0.3" footer="0.3"/>
  <pageSetup scale="77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3D5ED-3185-45BD-ACEF-3EECFE405D27}">
  <dimension ref="A2:P47"/>
  <sheetViews>
    <sheetView zoomScaleNormal="100" workbookViewId="0">
      <selection activeCell="L8" sqref="L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1704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1705</v>
      </c>
    </row>
    <row r="6" spans="1:16" x14ac:dyDescent="0.25">
      <c r="D6" s="2" t="s">
        <v>2</v>
      </c>
      <c r="F6" s="6">
        <v>43699</v>
      </c>
      <c r="H6" s="11"/>
    </row>
    <row r="7" spans="1:16" x14ac:dyDescent="0.25">
      <c r="D7" s="2" t="s">
        <v>3</v>
      </c>
      <c r="F7" s="5">
        <v>1980000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1993000</v>
      </c>
      <c r="H8" s="11"/>
    </row>
    <row r="9" spans="1:16" x14ac:dyDescent="0.25">
      <c r="D9" s="2" t="s">
        <v>67</v>
      </c>
      <c r="F9" s="4">
        <f>+F8-F7</f>
        <v>13000</v>
      </c>
      <c r="G9" s="16">
        <f>+F9/F7</f>
        <v>6.5656565656565654E-3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-1109812.5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3089812.5</v>
      </c>
      <c r="G12" s="14"/>
      <c r="H12" s="11">
        <f>COUNT(I23:I43)</f>
        <v>4</v>
      </c>
      <c r="I12" s="1" t="s">
        <v>31</v>
      </c>
      <c r="J12" s="4">
        <f>+F8*0.9</f>
        <v>1793700</v>
      </c>
      <c r="K12" s="1" t="s">
        <v>69</v>
      </c>
    </row>
    <row r="13" spans="1:16" x14ac:dyDescent="0.25">
      <c r="D13" s="2" t="s">
        <v>29</v>
      </c>
      <c r="F13" s="4">
        <f>MAX(I23:I43)-MIN(I23:I43)</f>
        <v>2706250</v>
      </c>
      <c r="G13" s="269">
        <f>MEDIAN(I23:I43)</f>
        <v>2833500</v>
      </c>
      <c r="H13" s="270"/>
      <c r="I13" s="1" t="s">
        <v>30</v>
      </c>
      <c r="J13" s="4">
        <f>+F12*1.1</f>
        <v>3398793.7500000005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1463</v>
      </c>
      <c r="E23" s="33"/>
      <c r="F23" t="s">
        <v>199</v>
      </c>
      <c r="G23" t="s">
        <v>93</v>
      </c>
      <c r="H23">
        <f>RANK(I23,I$23:I$43,1)</f>
        <v>2</v>
      </c>
      <c r="I23" s="4">
        <v>2568000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0">IF(H24=1,"u","")</f>
        <v/>
      </c>
      <c r="D24" s="11" t="s">
        <v>631</v>
      </c>
      <c r="E24" s="33"/>
      <c r="F24" t="s">
        <v>131</v>
      </c>
      <c r="G24" t="s">
        <v>25</v>
      </c>
      <c r="H24">
        <f>RANK(I24,I$23:I$43,1)</f>
        <v>4</v>
      </c>
      <c r="I24" s="4">
        <v>4699250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676</v>
      </c>
      <c r="E25" s="33"/>
      <c r="F25" t="s">
        <v>85</v>
      </c>
      <c r="G25" t="s">
        <v>25</v>
      </c>
      <c r="H25">
        <f>RANK(I25,I$23:I$43,1)</f>
        <v>3</v>
      </c>
      <c r="I25" s="4">
        <v>3099000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0"/>
        <v>u</v>
      </c>
      <c r="D26" s="11" t="s">
        <v>347</v>
      </c>
      <c r="E26" s="33"/>
      <c r="F26" t="s">
        <v>147</v>
      </c>
      <c r="G26" t="s">
        <v>93</v>
      </c>
      <c r="H26">
        <f>RANK(I26,I$23:I$43,1)</f>
        <v>1</v>
      </c>
      <c r="I26" s="4">
        <v>1993000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11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11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11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339" priority="14" operator="containsText" text="FAIL">
      <formula>NOT(ISERROR(SEARCH("FAIL",I9)))</formula>
    </cfRule>
  </conditionalFormatting>
  <conditionalFormatting sqref="I9">
    <cfRule type="containsText" dxfId="4338" priority="13" operator="containsText" text="GOOD">
      <formula>NOT(ISERROR(SEARCH("GOOD",I9)))</formula>
    </cfRule>
  </conditionalFormatting>
  <conditionalFormatting sqref="F11">
    <cfRule type="containsText" dxfId="4337" priority="12" operator="containsText" text="FAIL">
      <formula>NOT(ISERROR(SEARCH("FAIL",F11)))</formula>
    </cfRule>
  </conditionalFormatting>
  <conditionalFormatting sqref="F11">
    <cfRule type="containsText" dxfId="4336" priority="11" operator="containsText" text="GOOD">
      <formula>NOT(ISERROR(SEARCH("GOOD",F11)))</formula>
    </cfRule>
  </conditionalFormatting>
  <conditionalFormatting sqref="D23:D25 D31:D43">
    <cfRule type="expression" dxfId="4335" priority="10">
      <formula>H23=1</formula>
    </cfRule>
  </conditionalFormatting>
  <conditionalFormatting sqref="C23:C25 C28:C43">
    <cfRule type="expression" dxfId="4334" priority="9">
      <formula>H23=1</formula>
    </cfRule>
  </conditionalFormatting>
  <conditionalFormatting sqref="E23:E25 E34:E43">
    <cfRule type="expression" dxfId="4333" priority="8">
      <formula>H23=1</formula>
    </cfRule>
  </conditionalFormatting>
  <conditionalFormatting sqref="F11">
    <cfRule type="containsText" dxfId="4332" priority="7" operator="containsText" text="FAIL">
      <formula>NOT(ISERROR(SEARCH("FAIL",F11)))</formula>
    </cfRule>
  </conditionalFormatting>
  <conditionalFormatting sqref="F11">
    <cfRule type="containsText" dxfId="4331" priority="6" operator="containsText" text="GOOD">
      <formula>NOT(ISERROR(SEARCH("GOOD",F11)))</formula>
    </cfRule>
  </conditionalFormatting>
  <conditionalFormatting sqref="E31:E33">
    <cfRule type="expression" dxfId="4330" priority="5">
      <formula>I31=1</formula>
    </cfRule>
  </conditionalFormatting>
  <conditionalFormatting sqref="C27">
    <cfRule type="expression" dxfId="4329" priority="4">
      <formula>H27=1</formula>
    </cfRule>
  </conditionalFormatting>
  <conditionalFormatting sqref="D26:D30">
    <cfRule type="expression" dxfId="4328" priority="3">
      <formula>H26=1</formula>
    </cfRule>
  </conditionalFormatting>
  <conditionalFormatting sqref="C26">
    <cfRule type="expression" dxfId="4327" priority="2">
      <formula>H26=1</formula>
    </cfRule>
  </conditionalFormatting>
  <conditionalFormatting sqref="E26:E30">
    <cfRule type="expression" dxfId="4326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68A2-54AF-46A2-9A6C-C7681D0B7E98}">
  <dimension ref="A2:P47"/>
  <sheetViews>
    <sheetView zoomScaleNormal="100" workbookViewId="0">
      <selection activeCell="L24" sqref="L2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1700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1701</v>
      </c>
    </row>
    <row r="6" spans="1:16" x14ac:dyDescent="0.25">
      <c r="D6" s="2" t="s">
        <v>2</v>
      </c>
      <c r="F6" s="6">
        <v>43690</v>
      </c>
      <c r="H6" s="11"/>
    </row>
    <row r="7" spans="1:16" x14ac:dyDescent="0.25">
      <c r="D7" s="2" t="s">
        <v>3</v>
      </c>
      <c r="F7" s="5">
        <v>21500000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23111450</v>
      </c>
      <c r="H8" s="11"/>
    </row>
    <row r="9" spans="1:16" x14ac:dyDescent="0.25">
      <c r="D9" s="2" t="s">
        <v>67</v>
      </c>
      <c r="F9" s="4">
        <f>+F8-F7</f>
        <v>1611450</v>
      </c>
      <c r="G9" s="16">
        <f>+F9/F7</f>
        <v>7.4951162790697676E-2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-7957812.4285714291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29457812.428571429</v>
      </c>
      <c r="G12" s="14"/>
      <c r="H12" s="11">
        <f>COUNT(I23:I43)</f>
        <v>7</v>
      </c>
      <c r="I12" s="1" t="s">
        <v>31</v>
      </c>
      <c r="J12" s="4">
        <f>+F8*0.9</f>
        <v>20800305</v>
      </c>
      <c r="K12" s="1" t="s">
        <v>69</v>
      </c>
    </row>
    <row r="13" spans="1:16" x14ac:dyDescent="0.25">
      <c r="D13" s="2" t="s">
        <v>29</v>
      </c>
      <c r="F13" s="4">
        <f>MAX(I23:I43)-MIN(I23:I43)</f>
        <v>14688550</v>
      </c>
      <c r="G13" s="269">
        <f>MEDIAN(I23:I43)</f>
        <v>30116755</v>
      </c>
      <c r="H13" s="270"/>
      <c r="I13" s="1" t="s">
        <v>30</v>
      </c>
      <c r="J13" s="4">
        <f>+F12*1.1</f>
        <v>32403593.671428576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517</v>
      </c>
      <c r="E23" s="33"/>
      <c r="F23" t="s">
        <v>170</v>
      </c>
      <c r="G23" t="s">
        <v>93</v>
      </c>
      <c r="H23">
        <f>RANK(I23,I$23:I$43,1)</f>
        <v>7</v>
      </c>
      <c r="I23" s="4">
        <v>37800000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0">IF(H24=1,"u","")</f>
        <v/>
      </c>
      <c r="D24" s="11" t="s">
        <v>1083</v>
      </c>
      <c r="E24" s="33"/>
      <c r="F24" t="s">
        <v>95</v>
      </c>
      <c r="G24" t="s">
        <v>93</v>
      </c>
      <c r="I24" s="4"/>
      <c r="J24" s="4" t="s">
        <v>1703</v>
      </c>
      <c r="K24" s="4"/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1702</v>
      </c>
      <c r="E25" s="33"/>
      <c r="F25" t="s">
        <v>685</v>
      </c>
      <c r="G25" t="s">
        <v>25</v>
      </c>
      <c r="H25">
        <f t="shared" ref="H25:H30" si="1">RANK(I25,I$23:I$43,1)</f>
        <v>3</v>
      </c>
      <c r="I25" s="4">
        <v>27974482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 t="s">
        <v>508</v>
      </c>
      <c r="E26" s="33"/>
      <c r="F26" t="s">
        <v>181</v>
      </c>
      <c r="G26" t="s">
        <v>93</v>
      </c>
      <c r="H26">
        <f t="shared" si="1"/>
        <v>6</v>
      </c>
      <c r="I26" s="4">
        <v>32885000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1017</v>
      </c>
      <c r="E27" s="33"/>
      <c r="F27" t="s">
        <v>201</v>
      </c>
      <c r="G27" t="s">
        <v>25</v>
      </c>
      <c r="H27">
        <f t="shared" si="1"/>
        <v>2</v>
      </c>
      <c r="I27" s="4">
        <v>23950000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1539</v>
      </c>
      <c r="E28" s="33"/>
      <c r="F28" t="s">
        <v>289</v>
      </c>
      <c r="G28" t="s">
        <v>93</v>
      </c>
      <c r="H28">
        <f t="shared" si="1"/>
        <v>1</v>
      </c>
      <c r="I28" s="4">
        <v>23111450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 t="s">
        <v>533</v>
      </c>
      <c r="E29" s="33"/>
      <c r="F29" t="s">
        <v>92</v>
      </c>
      <c r="G29" t="s">
        <v>93</v>
      </c>
      <c r="H29">
        <f t="shared" si="1"/>
        <v>5</v>
      </c>
      <c r="I29" s="4">
        <v>30367000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 t="s">
        <v>485</v>
      </c>
      <c r="E30" s="33"/>
      <c r="F30" t="s">
        <v>486</v>
      </c>
      <c r="G30" t="s">
        <v>25</v>
      </c>
      <c r="H30">
        <f t="shared" si="1"/>
        <v>4</v>
      </c>
      <c r="I30" s="4">
        <v>30116755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11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11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11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325" priority="14" operator="containsText" text="FAIL">
      <formula>NOT(ISERROR(SEARCH("FAIL",I9)))</formula>
    </cfRule>
  </conditionalFormatting>
  <conditionalFormatting sqref="I9">
    <cfRule type="containsText" dxfId="4324" priority="13" operator="containsText" text="GOOD">
      <formula>NOT(ISERROR(SEARCH("GOOD",I9)))</formula>
    </cfRule>
  </conditionalFormatting>
  <conditionalFormatting sqref="F11">
    <cfRule type="containsText" dxfId="4323" priority="12" operator="containsText" text="FAIL">
      <formula>NOT(ISERROR(SEARCH("FAIL",F11)))</formula>
    </cfRule>
  </conditionalFormatting>
  <conditionalFormatting sqref="F11">
    <cfRule type="containsText" dxfId="4322" priority="11" operator="containsText" text="GOOD">
      <formula>NOT(ISERROR(SEARCH("GOOD",F11)))</formula>
    </cfRule>
  </conditionalFormatting>
  <conditionalFormatting sqref="D23:D25 D31:D43">
    <cfRule type="expression" dxfId="4321" priority="10">
      <formula>H23=1</formula>
    </cfRule>
  </conditionalFormatting>
  <conditionalFormatting sqref="C23:C25 C28:C43">
    <cfRule type="expression" dxfId="4320" priority="9">
      <formula>H23=1</formula>
    </cfRule>
  </conditionalFormatting>
  <conditionalFormatting sqref="E23:E25 E34:E43">
    <cfRule type="expression" dxfId="4319" priority="8">
      <formula>H23=1</formula>
    </cfRule>
  </conditionalFormatting>
  <conditionalFormatting sqref="F11">
    <cfRule type="containsText" dxfId="4318" priority="7" operator="containsText" text="FAIL">
      <formula>NOT(ISERROR(SEARCH("FAIL",F11)))</formula>
    </cfRule>
  </conditionalFormatting>
  <conditionalFormatting sqref="F11">
    <cfRule type="containsText" dxfId="4317" priority="6" operator="containsText" text="GOOD">
      <formula>NOT(ISERROR(SEARCH("GOOD",F11)))</formula>
    </cfRule>
  </conditionalFormatting>
  <conditionalFormatting sqref="E31:E33">
    <cfRule type="expression" dxfId="4316" priority="5">
      <formula>I31=1</formula>
    </cfRule>
  </conditionalFormatting>
  <conditionalFormatting sqref="C27">
    <cfRule type="expression" dxfId="4315" priority="4">
      <formula>H27=1</formula>
    </cfRule>
  </conditionalFormatting>
  <conditionalFormatting sqref="D26:D30">
    <cfRule type="expression" dxfId="4314" priority="3">
      <formula>H26=1</formula>
    </cfRule>
  </conditionalFormatting>
  <conditionalFormatting sqref="C26">
    <cfRule type="expression" dxfId="4313" priority="2">
      <formula>H26=1</formula>
    </cfRule>
  </conditionalFormatting>
  <conditionalFormatting sqref="E26:E30">
    <cfRule type="expression" dxfId="4312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40968-1EEE-432C-8E2C-E4AAE6801B1E}">
  <dimension ref="A2:P47"/>
  <sheetViews>
    <sheetView topLeftCell="A4" zoomScaleNormal="100" workbookViewId="0">
      <selection activeCell="M21" sqref="M21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1699</v>
      </c>
      <c r="I4" s="2" t="s">
        <v>4</v>
      </c>
      <c r="J4" t="s">
        <v>1447</v>
      </c>
    </row>
    <row r="5" spans="1:16" x14ac:dyDescent="0.25">
      <c r="D5" s="2" t="s">
        <v>1</v>
      </c>
      <c r="F5" t="s">
        <v>717</v>
      </c>
    </row>
    <row r="6" spans="1:16" x14ac:dyDescent="0.25">
      <c r="D6" s="2" t="s">
        <v>2</v>
      </c>
      <c r="F6" s="6">
        <v>43685</v>
      </c>
      <c r="H6" s="11"/>
    </row>
    <row r="7" spans="1:16" x14ac:dyDescent="0.25">
      <c r="D7" s="2" t="s">
        <v>3</v>
      </c>
      <c r="F7" s="5">
        <v>1755000</v>
      </c>
      <c r="G7" s="2" t="s">
        <v>190</v>
      </c>
      <c r="H7" s="11"/>
    </row>
    <row r="8" spans="1:16" x14ac:dyDescent="0.25">
      <c r="D8" s="2" t="s">
        <v>18</v>
      </c>
      <c r="F8" s="5">
        <f>MIN(I23:I43)</f>
        <v>1312300</v>
      </c>
      <c r="H8" s="11"/>
    </row>
    <row r="9" spans="1:16" x14ac:dyDescent="0.25">
      <c r="D9" s="2" t="s">
        <v>67</v>
      </c>
      <c r="F9" s="4">
        <f>+F8-F7</f>
        <v>-442700</v>
      </c>
      <c r="G9" s="16">
        <f>+F9/F7</f>
        <v>-0.25225071225071227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-246831.71428571432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2001831.7142857143</v>
      </c>
      <c r="G12" s="14"/>
      <c r="H12" s="11">
        <f>COUNT(I23:I43)</f>
        <v>7</v>
      </c>
      <c r="I12" s="1" t="s">
        <v>31</v>
      </c>
      <c r="J12" s="4">
        <f>+F8*0.9</f>
        <v>1181070</v>
      </c>
      <c r="K12" s="1" t="s">
        <v>69</v>
      </c>
    </row>
    <row r="13" spans="1:16" x14ac:dyDescent="0.25">
      <c r="D13" s="2" t="s">
        <v>29</v>
      </c>
      <c r="F13" s="4">
        <f>MAX(I23:I43)-MIN(I23:I43)</f>
        <v>1640322</v>
      </c>
      <c r="G13" s="269">
        <f>MEDIAN(I23:I43)</f>
        <v>1890000</v>
      </c>
      <c r="H13" s="270"/>
      <c r="I13" s="1" t="s">
        <v>30</v>
      </c>
      <c r="J13" s="4">
        <f>+F12*1.1</f>
        <v>2202014.885714286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440</v>
      </c>
      <c r="E23" s="33"/>
      <c r="F23" t="s">
        <v>193</v>
      </c>
      <c r="G23" t="s">
        <v>25</v>
      </c>
      <c r="H23">
        <f t="shared" ref="H23:H29" si="0">RANK(I23,I$23:I$43,1)</f>
        <v>7</v>
      </c>
      <c r="I23" s="4">
        <v>2952622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1">IF(H24=1,"u","")</f>
        <v/>
      </c>
      <c r="D24" s="11" t="s">
        <v>1540</v>
      </c>
      <c r="E24" s="33"/>
      <c r="F24" t="s">
        <v>147</v>
      </c>
      <c r="G24" t="s">
        <v>93</v>
      </c>
      <c r="H24">
        <f t="shared" si="0"/>
        <v>5</v>
      </c>
      <c r="I24" s="4">
        <v>1992000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1"/>
        <v/>
      </c>
      <c r="D25" s="11" t="s">
        <v>1197</v>
      </c>
      <c r="E25" s="33"/>
      <c r="F25" t="s">
        <v>131</v>
      </c>
      <c r="G25" t="s">
        <v>25</v>
      </c>
      <c r="H25">
        <f t="shared" si="0"/>
        <v>2</v>
      </c>
      <c r="I25" s="4">
        <v>1378680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1"/>
        <v/>
      </c>
      <c r="D26" s="11" t="s">
        <v>542</v>
      </c>
      <c r="E26" s="33"/>
      <c r="F26" t="s">
        <v>161</v>
      </c>
      <c r="G26" t="s">
        <v>93</v>
      </c>
      <c r="H26">
        <f t="shared" si="0"/>
        <v>6</v>
      </c>
      <c r="I26" s="4">
        <v>2863740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665</v>
      </c>
      <c r="E27" s="33"/>
      <c r="F27" t="s">
        <v>391</v>
      </c>
      <c r="G27" t="s">
        <v>93</v>
      </c>
      <c r="H27">
        <f t="shared" si="0"/>
        <v>3</v>
      </c>
      <c r="I27" s="4">
        <v>1623480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541</v>
      </c>
      <c r="E28" s="33"/>
      <c r="F28" t="s">
        <v>159</v>
      </c>
      <c r="G28" t="s">
        <v>93</v>
      </c>
      <c r="H28">
        <f t="shared" si="0"/>
        <v>1</v>
      </c>
      <c r="I28" s="4">
        <v>1312300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 t="s">
        <v>529</v>
      </c>
      <c r="E29" s="33"/>
      <c r="F29" t="s">
        <v>170</v>
      </c>
      <c r="G29" t="s">
        <v>93</v>
      </c>
      <c r="H29">
        <f t="shared" si="0"/>
        <v>4</v>
      </c>
      <c r="I29" s="4">
        <v>1890000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11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11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11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11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311" priority="16" operator="containsText" text="FAIL">
      <formula>NOT(ISERROR(SEARCH("FAIL",I9)))</formula>
    </cfRule>
  </conditionalFormatting>
  <conditionalFormatting sqref="I9">
    <cfRule type="containsText" dxfId="4310" priority="15" operator="containsText" text="GOOD">
      <formula>NOT(ISERROR(SEARCH("GOOD",I9)))</formula>
    </cfRule>
  </conditionalFormatting>
  <conditionalFormatting sqref="F11">
    <cfRule type="containsText" dxfId="4309" priority="14" operator="containsText" text="FAIL">
      <formula>NOT(ISERROR(SEARCH("FAIL",F11)))</formula>
    </cfRule>
  </conditionalFormatting>
  <conditionalFormatting sqref="F11">
    <cfRule type="containsText" dxfId="4308" priority="13" operator="containsText" text="GOOD">
      <formula>NOT(ISERROR(SEARCH("GOOD",F11)))</formula>
    </cfRule>
  </conditionalFormatting>
  <conditionalFormatting sqref="D23:D25 D30:D43">
    <cfRule type="expression" dxfId="4307" priority="12">
      <formula>H23=1</formula>
    </cfRule>
  </conditionalFormatting>
  <conditionalFormatting sqref="C23:C25 C28:C43">
    <cfRule type="expression" dxfId="4306" priority="11">
      <formula>H23=1</formula>
    </cfRule>
  </conditionalFormatting>
  <conditionalFormatting sqref="E23:E25 E34:E43">
    <cfRule type="expression" dxfId="4305" priority="10">
      <formula>H23=1</formula>
    </cfRule>
  </conditionalFormatting>
  <conditionalFormatting sqref="F11">
    <cfRule type="containsText" dxfId="4304" priority="9" operator="containsText" text="FAIL">
      <formula>NOT(ISERROR(SEARCH("FAIL",F11)))</formula>
    </cfRule>
  </conditionalFormatting>
  <conditionalFormatting sqref="F11">
    <cfRule type="containsText" dxfId="4303" priority="8" operator="containsText" text="GOOD">
      <formula>NOT(ISERROR(SEARCH("GOOD",F11)))</formula>
    </cfRule>
  </conditionalFormatting>
  <conditionalFormatting sqref="E30:E33">
    <cfRule type="expression" dxfId="4302" priority="7">
      <formula>I30=1</formula>
    </cfRule>
  </conditionalFormatting>
  <conditionalFormatting sqref="C27">
    <cfRule type="expression" dxfId="4301" priority="5">
      <formula>H27=1</formula>
    </cfRule>
  </conditionalFormatting>
  <conditionalFormatting sqref="D26:D29">
    <cfRule type="expression" dxfId="4300" priority="3">
      <formula>H26=1</formula>
    </cfRule>
  </conditionalFormatting>
  <conditionalFormatting sqref="C26">
    <cfRule type="expression" dxfId="4299" priority="2">
      <formula>H26=1</formula>
    </cfRule>
  </conditionalFormatting>
  <conditionalFormatting sqref="E26:E29">
    <cfRule type="expression" dxfId="4298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A64FF-DC52-468C-8852-AFCD71B265A7}">
  <dimension ref="A2:P55"/>
  <sheetViews>
    <sheetView zoomScaleNormal="100" workbookViewId="0">
      <selection activeCell="M27" sqref="M2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47</v>
      </c>
    </row>
    <row r="4" spans="1:16" x14ac:dyDescent="0.25">
      <c r="D4" s="2" t="s">
        <v>0</v>
      </c>
      <c r="E4" s="1"/>
      <c r="F4" t="s">
        <v>1692</v>
      </c>
      <c r="I4" s="2" t="s">
        <v>4</v>
      </c>
      <c r="J4" t="s">
        <v>816</v>
      </c>
    </row>
    <row r="5" spans="1:16" x14ac:dyDescent="0.25">
      <c r="D5" s="2" t="s">
        <v>1</v>
      </c>
      <c r="F5" t="s">
        <v>1693</v>
      </c>
    </row>
    <row r="6" spans="1:16" x14ac:dyDescent="0.25">
      <c r="D6" s="2" t="s">
        <v>2</v>
      </c>
      <c r="F6" s="6">
        <v>43669</v>
      </c>
      <c r="H6" s="11"/>
    </row>
    <row r="7" spans="1:16" x14ac:dyDescent="0.25">
      <c r="D7" s="2" t="s">
        <v>3</v>
      </c>
      <c r="F7" s="5">
        <f>+I7+J7</f>
        <v>249010000</v>
      </c>
      <c r="G7" s="2" t="s">
        <v>34</v>
      </c>
      <c r="H7" s="11"/>
      <c r="I7" s="19">
        <v>57809957</v>
      </c>
      <c r="J7" s="19">
        <v>191200043</v>
      </c>
    </row>
    <row r="8" spans="1:16" x14ac:dyDescent="0.25">
      <c r="D8" s="2" t="s">
        <v>18</v>
      </c>
      <c r="F8" s="5">
        <f>MIN(K23:K42)</f>
        <v>135022488</v>
      </c>
      <c r="H8" s="11"/>
      <c r="I8" s="18" t="s">
        <v>43</v>
      </c>
      <c r="J8" s="18" t="s">
        <v>44</v>
      </c>
      <c r="P8" s="66">
        <f>+K26/K24</f>
        <v>0.72350815750061181</v>
      </c>
    </row>
    <row r="9" spans="1:16" x14ac:dyDescent="0.25">
      <c r="D9" s="2" t="s">
        <v>19</v>
      </c>
      <c r="F9" s="4">
        <f>+F8-F7</f>
        <v>-113987512</v>
      </c>
      <c r="G9" s="16">
        <f>+F9/F7</f>
        <v>-0.45776278864302639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84023752.599999994</v>
      </c>
      <c r="H10" s="11"/>
    </row>
    <row r="11" spans="1:16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SUM(K23:K42)/H12</f>
        <v>164986247.40000001</v>
      </c>
      <c r="G12" s="14"/>
      <c r="H12" s="11">
        <f>COUNT(K23:K42)</f>
        <v>5</v>
      </c>
      <c r="I12" s="1" t="s">
        <v>31</v>
      </c>
      <c r="J12" s="4">
        <f>+F8*0.9</f>
        <v>121520239.2</v>
      </c>
      <c r="K12" s="1" t="s">
        <v>69</v>
      </c>
    </row>
    <row r="13" spans="1:16" x14ac:dyDescent="0.25">
      <c r="D13" s="2" t="s">
        <v>29</v>
      </c>
      <c r="F13" s="4">
        <f>MAX(K23:K42)-MIN(K23:K42)</f>
        <v>51599441</v>
      </c>
      <c r="G13" s="269">
        <f>MEDIAN(K23:K42)</f>
        <v>169890000</v>
      </c>
      <c r="H13" s="270"/>
      <c r="I13" s="1" t="s">
        <v>30</v>
      </c>
      <c r="J13" s="4">
        <f>+F12*1.1</f>
        <v>181484872.14000002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6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8.4410169491525426</v>
      </c>
    </row>
    <row r="18" spans="3:15" x14ac:dyDescent="0.25">
      <c r="F18" s="4">
        <f>+F7</f>
        <v>249010000</v>
      </c>
      <c r="G18" s="1" t="s">
        <v>12</v>
      </c>
      <c r="H18" s="11"/>
      <c r="I18" t="s">
        <v>16</v>
      </c>
      <c r="J18" s="7">
        <f>+F8/F18</f>
        <v>0.54223721135697367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4.5007495999999998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505</v>
      </c>
      <c r="E23" s="33"/>
      <c r="F23" t="s">
        <v>289</v>
      </c>
      <c r="G23" t="s">
        <v>93</v>
      </c>
      <c r="H23">
        <f>RANK(K23,K$23:K$43,1)</f>
        <v>2</v>
      </c>
      <c r="I23" s="175">
        <v>25575680</v>
      </c>
      <c r="J23" s="4">
        <v>133936140</v>
      </c>
      <c r="K23" s="4">
        <f>+J23+I23</f>
        <v>159511820</v>
      </c>
      <c r="L23" s="4"/>
      <c r="M23" s="22"/>
      <c r="N23" s="22"/>
      <c r="O23" s="22"/>
    </row>
    <row r="24" spans="3:15" x14ac:dyDescent="0.25">
      <c r="C24" s="33" t="str">
        <f t="shared" ref="C24:C42" si="0">IF(H24=1,"u","")</f>
        <v/>
      </c>
      <c r="D24" s="11" t="s">
        <v>1344</v>
      </c>
      <c r="E24" s="33"/>
      <c r="F24" t="s">
        <v>92</v>
      </c>
      <c r="G24" t="s">
        <v>93</v>
      </c>
      <c r="H24">
        <f>RANK(K24,K$23:K$43,1)</f>
        <v>5</v>
      </c>
      <c r="I24" s="175">
        <v>47858150</v>
      </c>
      <c r="J24" s="4">
        <v>138763779</v>
      </c>
      <c r="K24" s="4">
        <f>+J24+I24</f>
        <v>186621929</v>
      </c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1309</v>
      </c>
      <c r="E25" s="33"/>
      <c r="F25" t="s">
        <v>1694</v>
      </c>
      <c r="G25" t="s">
        <v>25</v>
      </c>
      <c r="H25">
        <f>RANK(K25,K$23:K$43,1)</f>
        <v>3</v>
      </c>
      <c r="I25" s="175">
        <v>39738635</v>
      </c>
      <c r="J25" s="4">
        <v>130151365</v>
      </c>
      <c r="K25" s="4">
        <f>+J25+I25</f>
        <v>169890000</v>
      </c>
      <c r="L25" s="4"/>
      <c r="M25" s="22"/>
      <c r="N25" s="22"/>
      <c r="O25" s="22"/>
    </row>
    <row r="26" spans="3:15" x14ac:dyDescent="0.25">
      <c r="C26" s="33" t="str">
        <f t="shared" si="0"/>
        <v>u</v>
      </c>
      <c r="D26" s="11" t="s">
        <v>541</v>
      </c>
      <c r="E26" s="33"/>
      <c r="F26" t="s">
        <v>159</v>
      </c>
      <c r="G26" t="s">
        <v>93</v>
      </c>
      <c r="H26">
        <f>RANK(K26,K$23:K$43,1)</f>
        <v>1</v>
      </c>
      <c r="I26" s="175">
        <v>20022488</v>
      </c>
      <c r="J26" s="4">
        <v>115000000</v>
      </c>
      <c r="K26" s="4">
        <f>+J26+I26</f>
        <v>135022488</v>
      </c>
      <c r="L26" s="4"/>
      <c r="M26" s="22"/>
      <c r="N26" s="22"/>
      <c r="O26" s="22"/>
    </row>
    <row r="27" spans="3:15" x14ac:dyDescent="0.25">
      <c r="C27" s="33" t="str">
        <f>IF(H27=1,"u","")</f>
        <v/>
      </c>
      <c r="D27" s="11" t="s">
        <v>1695</v>
      </c>
      <c r="E27" s="33"/>
      <c r="F27" t="s">
        <v>181</v>
      </c>
      <c r="G27" t="s">
        <v>93</v>
      </c>
      <c r="H27">
        <f>RANK(K27,K$23:K$43,1)</f>
        <v>4</v>
      </c>
      <c r="I27" s="175">
        <v>45141578</v>
      </c>
      <c r="J27" s="4">
        <v>128743422</v>
      </c>
      <c r="K27" s="4">
        <f>+J27+I27</f>
        <v>173885000</v>
      </c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/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/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/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/>
      <c r="D32" s="11"/>
      <c r="E32" s="33"/>
      <c r="I32" s="4"/>
      <c r="J32" s="4"/>
      <c r="K32" s="4"/>
      <c r="M32" s="21"/>
      <c r="N32" s="21"/>
      <c r="O32" s="21"/>
    </row>
    <row r="33" spans="3:15" x14ac:dyDescent="0.25">
      <c r="C33" s="33"/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/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/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/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>IF(H38=1,"t","")</f>
        <v/>
      </c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ht="6" customHeight="1" x14ac:dyDescent="0.25">
      <c r="C43" s="9"/>
      <c r="D43" s="9"/>
      <c r="E43" s="9"/>
      <c r="F43" s="9"/>
      <c r="G43" s="9"/>
      <c r="H43" s="9"/>
      <c r="I43" s="9"/>
      <c r="J43" s="9"/>
      <c r="K43" s="9"/>
      <c r="L43" s="9"/>
      <c r="M43" s="21"/>
      <c r="N43" s="21"/>
      <c r="O43" s="21"/>
    </row>
    <row r="44" spans="3:15" ht="6" customHeight="1" x14ac:dyDescent="0.25">
      <c r="M44" s="21"/>
      <c r="N44" s="21"/>
      <c r="O44" s="21"/>
    </row>
    <row r="45" spans="3:15" x14ac:dyDescent="0.25">
      <c r="C45" s="15" t="s">
        <v>79</v>
      </c>
      <c r="M45" s="21"/>
      <c r="N45" s="21"/>
      <c r="O45" s="21"/>
    </row>
    <row r="46" spans="3:15" x14ac:dyDescent="0.25">
      <c r="C46" s="15" t="s">
        <v>78</v>
      </c>
    </row>
    <row r="48" spans="3:15" x14ac:dyDescent="0.25">
      <c r="C48" s="31" t="s">
        <v>948</v>
      </c>
      <c r="D48" s="31"/>
      <c r="H48" t="s">
        <v>949</v>
      </c>
      <c r="I48" t="s">
        <v>784</v>
      </c>
      <c r="J48" s="6">
        <v>42802</v>
      </c>
    </row>
    <row r="49" spans="4:4" ht="6" customHeight="1" x14ac:dyDescent="0.25"/>
    <row r="50" spans="4:4" x14ac:dyDescent="0.25">
      <c r="D50" s="93" t="s">
        <v>950</v>
      </c>
    </row>
    <row r="51" spans="4:4" x14ac:dyDescent="0.25">
      <c r="D51" s="93" t="s">
        <v>951</v>
      </c>
    </row>
    <row r="52" spans="4:4" x14ac:dyDescent="0.25">
      <c r="D52" s="93" t="s">
        <v>952</v>
      </c>
    </row>
    <row r="53" spans="4:4" x14ac:dyDescent="0.25">
      <c r="D53" s="93" t="s">
        <v>953</v>
      </c>
    </row>
    <row r="54" spans="4:4" x14ac:dyDescent="0.25">
      <c r="D54" s="93" t="s">
        <v>954</v>
      </c>
    </row>
    <row r="55" spans="4:4" x14ac:dyDescent="0.25">
      <c r="D55" s="93" t="s">
        <v>955</v>
      </c>
    </row>
  </sheetData>
  <mergeCells count="1">
    <mergeCell ref="G13:H13"/>
  </mergeCells>
  <conditionalFormatting sqref="I9">
    <cfRule type="containsText" dxfId="4297" priority="30" operator="containsText" text="FAIL">
      <formula>NOT(ISERROR(SEARCH("FAIL",I9)))</formula>
    </cfRule>
  </conditionalFormatting>
  <conditionalFormatting sqref="I9">
    <cfRule type="containsText" dxfId="4296" priority="29" operator="containsText" text="GOOD">
      <formula>NOT(ISERROR(SEARCH("GOOD",I9)))</formula>
    </cfRule>
  </conditionalFormatting>
  <conditionalFormatting sqref="I9">
    <cfRule type="containsText" dxfId="4295" priority="28" operator="containsText" text="FAIL">
      <formula>NOT(ISERROR(SEARCH("FAIL",I9)))</formula>
    </cfRule>
  </conditionalFormatting>
  <conditionalFormatting sqref="I9">
    <cfRule type="containsText" dxfId="4294" priority="27" operator="containsText" text="GOOD">
      <formula>NOT(ISERROR(SEARCH("GOOD",I9)))</formula>
    </cfRule>
  </conditionalFormatting>
  <conditionalFormatting sqref="I9">
    <cfRule type="containsText" dxfId="4293" priority="26" operator="containsText" text="FAIL">
      <formula>NOT(ISERROR(SEARCH("FAIL",I9)))</formula>
    </cfRule>
  </conditionalFormatting>
  <conditionalFormatting sqref="I9">
    <cfRule type="containsText" dxfId="4292" priority="25" operator="containsText" text="GOOD">
      <formula>NOT(ISERROR(SEARCH("GOOD",I9)))</formula>
    </cfRule>
  </conditionalFormatting>
  <conditionalFormatting sqref="F11">
    <cfRule type="containsText" dxfId="4291" priority="24" operator="containsText" text="FAIL">
      <formula>NOT(ISERROR(SEARCH("FAIL",F11)))</formula>
    </cfRule>
  </conditionalFormatting>
  <conditionalFormatting sqref="F11">
    <cfRule type="containsText" dxfId="4290" priority="23" operator="containsText" text="GOOD">
      <formula>NOT(ISERROR(SEARCH("GOOD",F11)))</formula>
    </cfRule>
  </conditionalFormatting>
  <conditionalFormatting sqref="I9">
    <cfRule type="containsText" dxfId="4289" priority="22" operator="containsText" text="FAIL">
      <formula>NOT(ISERROR(SEARCH("FAIL",I9)))</formula>
    </cfRule>
  </conditionalFormatting>
  <conditionalFormatting sqref="I9">
    <cfRule type="containsText" dxfId="4288" priority="21" operator="containsText" text="GOOD">
      <formula>NOT(ISERROR(SEARCH("GOOD",I9)))</formula>
    </cfRule>
  </conditionalFormatting>
  <conditionalFormatting sqref="F11">
    <cfRule type="containsText" dxfId="4287" priority="20" operator="containsText" text="FAIL">
      <formula>NOT(ISERROR(SEARCH("FAIL",F11)))</formula>
    </cfRule>
  </conditionalFormatting>
  <conditionalFormatting sqref="F11">
    <cfRule type="containsText" dxfId="4286" priority="19" operator="containsText" text="GOOD">
      <formula>NOT(ISERROR(SEARCH("GOOD",F11)))</formula>
    </cfRule>
  </conditionalFormatting>
  <conditionalFormatting sqref="D38:D42 D29:D32">
    <cfRule type="expression" dxfId="4285" priority="18">
      <formula>H29=1</formula>
    </cfRule>
  </conditionalFormatting>
  <conditionalFormatting sqref="C38:C42 C29:C32">
    <cfRule type="expression" dxfId="4284" priority="17">
      <formula>H29=1</formula>
    </cfRule>
  </conditionalFormatting>
  <conditionalFormatting sqref="E38:E42 E29:E32">
    <cfRule type="expression" dxfId="4283" priority="16">
      <formula>H29=1</formula>
    </cfRule>
  </conditionalFormatting>
  <conditionalFormatting sqref="E38:E42 E30:E32">
    <cfRule type="expression" dxfId="4282" priority="15">
      <formula>H30=1</formula>
    </cfRule>
  </conditionalFormatting>
  <conditionalFormatting sqref="F11">
    <cfRule type="containsText" dxfId="4281" priority="14" operator="containsText" text="FAIL">
      <formula>NOT(ISERROR(SEARCH("FAIL",F11)))</formula>
    </cfRule>
  </conditionalFormatting>
  <conditionalFormatting sqref="F11">
    <cfRule type="containsText" dxfId="4280" priority="13" operator="containsText" text="GOOD">
      <formula>NOT(ISERROR(SEARCH("GOOD",F11)))</formula>
    </cfRule>
  </conditionalFormatting>
  <conditionalFormatting sqref="D33:D36">
    <cfRule type="expression" dxfId="4279" priority="12">
      <formula>H33=1</formula>
    </cfRule>
  </conditionalFormatting>
  <conditionalFormatting sqref="C33:C36">
    <cfRule type="expression" dxfId="4278" priority="11">
      <formula>H33=1</formula>
    </cfRule>
  </conditionalFormatting>
  <conditionalFormatting sqref="E33:E36">
    <cfRule type="expression" dxfId="4277" priority="10">
      <formula>H33=1</formula>
    </cfRule>
  </conditionalFormatting>
  <conditionalFormatting sqref="E33:E36">
    <cfRule type="expression" dxfId="4276" priority="9">
      <formula>H33=1</formula>
    </cfRule>
  </conditionalFormatting>
  <conditionalFormatting sqref="D37">
    <cfRule type="expression" dxfId="4275" priority="8">
      <formula>H37=1</formula>
    </cfRule>
  </conditionalFormatting>
  <conditionalFormatting sqref="C37">
    <cfRule type="expression" dxfId="4274" priority="7">
      <formula>H37=1</formula>
    </cfRule>
  </conditionalFormatting>
  <conditionalFormatting sqref="E37">
    <cfRule type="expression" dxfId="4273" priority="6">
      <formula>H37=1</formula>
    </cfRule>
  </conditionalFormatting>
  <conditionalFormatting sqref="E37">
    <cfRule type="expression" dxfId="4272" priority="5">
      <formula>H37=1</formula>
    </cfRule>
  </conditionalFormatting>
  <conditionalFormatting sqref="C23:C28">
    <cfRule type="expression" dxfId="4271" priority="4">
      <formula>H23=1</formula>
    </cfRule>
  </conditionalFormatting>
  <conditionalFormatting sqref="D23:D28">
    <cfRule type="expression" dxfId="4270" priority="3">
      <formula>H23=1</formula>
    </cfRule>
  </conditionalFormatting>
  <conditionalFormatting sqref="E23:E28">
    <cfRule type="expression" dxfId="4269" priority="2">
      <formula>H23=1</formula>
    </cfRule>
  </conditionalFormatting>
  <conditionalFormatting sqref="E23:E28">
    <cfRule type="expression" dxfId="4268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CB1D-C6EF-4E0F-9CFF-68A30AE33172}">
  <dimension ref="A2:P55"/>
  <sheetViews>
    <sheetView topLeftCell="A4" zoomScaleNormal="100" workbookViewId="0">
      <selection activeCell="N30" sqref="N30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47</v>
      </c>
    </row>
    <row r="4" spans="1:16" x14ac:dyDescent="0.25">
      <c r="D4" s="2" t="s">
        <v>0</v>
      </c>
      <c r="E4" s="1"/>
      <c r="F4" t="s">
        <v>1688</v>
      </c>
      <c r="I4" s="2" t="s">
        <v>4</v>
      </c>
      <c r="J4" t="s">
        <v>1447</v>
      </c>
    </row>
    <row r="5" spans="1:16" x14ac:dyDescent="0.25">
      <c r="D5" s="2" t="s">
        <v>1</v>
      </c>
      <c r="F5" t="s">
        <v>1689</v>
      </c>
    </row>
    <row r="6" spans="1:16" x14ac:dyDescent="0.25">
      <c r="D6" s="2" t="s">
        <v>2</v>
      </c>
      <c r="F6" s="6">
        <v>43664</v>
      </c>
      <c r="H6" s="11"/>
    </row>
    <row r="7" spans="1:16" x14ac:dyDescent="0.25">
      <c r="D7" s="2" t="s">
        <v>3</v>
      </c>
      <c r="F7" s="5">
        <f>+I7+J7</f>
        <v>5660000</v>
      </c>
      <c r="G7" s="2" t="s">
        <v>34</v>
      </c>
      <c r="H7" s="11"/>
      <c r="I7" s="19">
        <v>651000</v>
      </c>
      <c r="J7" s="19">
        <v>5009000</v>
      </c>
    </row>
    <row r="8" spans="1:16" x14ac:dyDescent="0.25">
      <c r="D8" s="2" t="s">
        <v>18</v>
      </c>
      <c r="F8" s="5">
        <f>MIN(K23:K42)</f>
        <v>3930000</v>
      </c>
      <c r="H8" s="11"/>
      <c r="I8" s="18" t="s">
        <v>43</v>
      </c>
      <c r="J8" s="18" t="s">
        <v>44</v>
      </c>
      <c r="P8" s="66">
        <f>+K26/K24</f>
        <v>1.0912790985912417</v>
      </c>
    </row>
    <row r="9" spans="1:16" x14ac:dyDescent="0.25">
      <c r="D9" s="2" t="s">
        <v>19</v>
      </c>
      <c r="F9" s="4">
        <f>+F8-F7</f>
        <v>-1730000</v>
      </c>
      <c r="G9" s="16">
        <f>+F9/F7</f>
        <v>-0.30565371024734983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54803.75</v>
      </c>
      <c r="H10" s="11"/>
    </row>
    <row r="11" spans="1:16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SUM(K23:K42)/H12</f>
        <v>5605196.25</v>
      </c>
      <c r="G12" s="14"/>
      <c r="H12" s="11">
        <f>COUNT(K23:K42)</f>
        <v>4</v>
      </c>
      <c r="I12" s="1" t="s">
        <v>31</v>
      </c>
      <c r="J12" s="4">
        <f>+F8*0.9</f>
        <v>3537000</v>
      </c>
      <c r="K12" s="1" t="s">
        <v>69</v>
      </c>
    </row>
    <row r="13" spans="1:16" x14ac:dyDescent="0.25">
      <c r="D13" s="2" t="s">
        <v>29</v>
      </c>
      <c r="F13" s="4">
        <f>MAX(K23:K42)-MIN(K23:K42)</f>
        <v>5365000</v>
      </c>
      <c r="G13" s="269">
        <f>MEDIAN(K23:K42)</f>
        <v>4597892.5</v>
      </c>
      <c r="H13" s="270"/>
      <c r="I13" s="1" t="s">
        <v>30</v>
      </c>
      <c r="J13" s="4">
        <f>+F12*1.1</f>
        <v>6165715.8750000009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6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0.19186440677966102</v>
      </c>
    </row>
    <row r="18" spans="3:15" x14ac:dyDescent="0.25">
      <c r="F18" s="4">
        <f>+F7</f>
        <v>5660000</v>
      </c>
      <c r="G18" s="1" t="s">
        <v>12</v>
      </c>
      <c r="H18" s="11"/>
      <c r="I18" t="s">
        <v>16</v>
      </c>
      <c r="J18" s="7">
        <f>+F8/F18</f>
        <v>0.69434628975265023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0.13100000000000001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1690</v>
      </c>
      <c r="E23" s="33"/>
      <c r="F23" t="s">
        <v>1626</v>
      </c>
      <c r="G23" t="s">
        <v>93</v>
      </c>
      <c r="H23">
        <f>RANK(K23,K$23:K$43,1)</f>
        <v>4</v>
      </c>
      <c r="I23" s="175">
        <v>962900</v>
      </c>
      <c r="J23" s="4">
        <v>8332100</v>
      </c>
      <c r="K23" s="4">
        <f>+J23+I23</f>
        <v>9295000</v>
      </c>
      <c r="L23" s="4"/>
      <c r="M23" s="22"/>
      <c r="N23" s="22"/>
      <c r="O23" s="22"/>
    </row>
    <row r="24" spans="3:15" x14ac:dyDescent="0.25">
      <c r="C24" s="33" t="str">
        <f t="shared" ref="C24:C42" si="0">IF(H24=1,"u","")</f>
        <v/>
      </c>
      <c r="D24" s="11" t="s">
        <v>834</v>
      </c>
      <c r="E24" s="33"/>
      <c r="F24" t="s">
        <v>835</v>
      </c>
      <c r="G24" t="s">
        <v>25</v>
      </c>
      <c r="H24">
        <f>RANK(K24,K$23:K$43,1)</f>
        <v>2</v>
      </c>
      <c r="I24" s="175">
        <v>491482</v>
      </c>
      <c r="J24" s="4">
        <v>3905724</v>
      </c>
      <c r="K24" s="4">
        <f>+J24+I24</f>
        <v>4397206</v>
      </c>
      <c r="L24" s="4"/>
      <c r="M24" s="22"/>
      <c r="N24" s="22"/>
      <c r="O24" s="22"/>
    </row>
    <row r="25" spans="3:15" x14ac:dyDescent="0.25">
      <c r="C25" s="33" t="str">
        <f t="shared" si="0"/>
        <v>u</v>
      </c>
      <c r="D25" s="11" t="s">
        <v>836</v>
      </c>
      <c r="E25" s="33"/>
      <c r="F25" t="s">
        <v>486</v>
      </c>
      <c r="G25" t="s">
        <v>25</v>
      </c>
      <c r="H25">
        <f>RANK(K25,K$23:K$43,1)</f>
        <v>1</v>
      </c>
      <c r="I25" s="175">
        <v>415397</v>
      </c>
      <c r="J25" s="4">
        <v>3514603</v>
      </c>
      <c r="K25" s="4">
        <f>+J25+I25</f>
        <v>3930000</v>
      </c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 t="s">
        <v>1017</v>
      </c>
      <c r="E26" s="33"/>
      <c r="F26" t="s">
        <v>201</v>
      </c>
      <c r="G26" t="s">
        <v>25</v>
      </c>
      <c r="H26">
        <f>RANK(K26,K$23:K$43,1)</f>
        <v>3</v>
      </c>
      <c r="I26" s="175">
        <v>537192</v>
      </c>
      <c r="J26" s="4">
        <v>4261387</v>
      </c>
      <c r="K26" s="4">
        <f>+J26+I26</f>
        <v>4798579</v>
      </c>
      <c r="L26" s="4"/>
      <c r="M26" s="22"/>
      <c r="N26" s="22"/>
      <c r="O26" s="22"/>
    </row>
    <row r="27" spans="3:15" x14ac:dyDescent="0.25">
      <c r="C27" s="33"/>
      <c r="D27" s="11"/>
      <c r="E27" s="33"/>
      <c r="I27" s="175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/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/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/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/>
      <c r="D32" s="11"/>
      <c r="E32" s="33"/>
      <c r="I32" s="4"/>
      <c r="J32" s="4"/>
      <c r="K32" s="4"/>
      <c r="M32" s="21"/>
      <c r="N32" s="21"/>
      <c r="O32" s="21"/>
    </row>
    <row r="33" spans="3:15" x14ac:dyDescent="0.25">
      <c r="C33" s="33"/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/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/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/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>IF(H38=1,"t","")</f>
        <v/>
      </c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ht="6" customHeight="1" x14ac:dyDescent="0.25">
      <c r="C43" s="9"/>
      <c r="D43" s="9"/>
      <c r="E43" s="9"/>
      <c r="F43" s="9"/>
      <c r="G43" s="9"/>
      <c r="H43" s="9"/>
      <c r="I43" s="9"/>
      <c r="J43" s="9"/>
      <c r="K43" s="9"/>
      <c r="L43" s="9"/>
      <c r="M43" s="21"/>
      <c r="N43" s="21"/>
      <c r="O43" s="21"/>
    </row>
    <row r="44" spans="3:15" ht="6" customHeight="1" x14ac:dyDescent="0.25">
      <c r="M44" s="21"/>
      <c r="N44" s="21"/>
      <c r="O44" s="21"/>
    </row>
    <row r="45" spans="3:15" x14ac:dyDescent="0.25">
      <c r="C45" s="15" t="s">
        <v>79</v>
      </c>
      <c r="M45" s="21"/>
      <c r="N45" s="21"/>
      <c r="O45" s="21"/>
    </row>
    <row r="46" spans="3:15" x14ac:dyDescent="0.25">
      <c r="C46" s="15" t="s">
        <v>78</v>
      </c>
    </row>
    <row r="48" spans="3:15" x14ac:dyDescent="0.25">
      <c r="C48" s="31" t="s">
        <v>948</v>
      </c>
      <c r="D48" s="31"/>
      <c r="H48" t="s">
        <v>949</v>
      </c>
      <c r="I48" t="s">
        <v>784</v>
      </c>
      <c r="J48" s="6">
        <v>42802</v>
      </c>
    </row>
    <row r="49" spans="4:4" ht="6" customHeight="1" x14ac:dyDescent="0.25"/>
    <row r="50" spans="4:4" x14ac:dyDescent="0.25">
      <c r="D50" s="93" t="s">
        <v>950</v>
      </c>
    </row>
    <row r="51" spans="4:4" x14ac:dyDescent="0.25">
      <c r="D51" s="93" t="s">
        <v>951</v>
      </c>
    </row>
    <row r="52" spans="4:4" x14ac:dyDescent="0.25">
      <c r="D52" s="93" t="s">
        <v>952</v>
      </c>
    </row>
    <row r="53" spans="4:4" x14ac:dyDescent="0.25">
      <c r="D53" s="93" t="s">
        <v>953</v>
      </c>
    </row>
    <row r="54" spans="4:4" x14ac:dyDescent="0.25">
      <c r="D54" s="93" t="s">
        <v>954</v>
      </c>
    </row>
    <row r="55" spans="4:4" x14ac:dyDescent="0.25">
      <c r="D55" s="93" t="s">
        <v>955</v>
      </c>
    </row>
  </sheetData>
  <mergeCells count="1">
    <mergeCell ref="G13:H13"/>
  </mergeCells>
  <conditionalFormatting sqref="I9">
    <cfRule type="containsText" dxfId="4267" priority="30" operator="containsText" text="FAIL">
      <formula>NOT(ISERROR(SEARCH("FAIL",I9)))</formula>
    </cfRule>
  </conditionalFormatting>
  <conditionalFormatting sqref="I9">
    <cfRule type="containsText" dxfId="4266" priority="29" operator="containsText" text="GOOD">
      <formula>NOT(ISERROR(SEARCH("GOOD",I9)))</formula>
    </cfRule>
  </conditionalFormatting>
  <conditionalFormatting sqref="I9">
    <cfRule type="containsText" dxfId="4265" priority="28" operator="containsText" text="FAIL">
      <formula>NOT(ISERROR(SEARCH("FAIL",I9)))</formula>
    </cfRule>
  </conditionalFormatting>
  <conditionalFormatting sqref="I9">
    <cfRule type="containsText" dxfId="4264" priority="27" operator="containsText" text="GOOD">
      <formula>NOT(ISERROR(SEARCH("GOOD",I9)))</formula>
    </cfRule>
  </conditionalFormatting>
  <conditionalFormatting sqref="I9">
    <cfRule type="containsText" dxfId="4263" priority="26" operator="containsText" text="FAIL">
      <formula>NOT(ISERROR(SEARCH("FAIL",I9)))</formula>
    </cfRule>
  </conditionalFormatting>
  <conditionalFormatting sqref="I9">
    <cfRule type="containsText" dxfId="4262" priority="25" operator="containsText" text="GOOD">
      <formula>NOT(ISERROR(SEARCH("GOOD",I9)))</formula>
    </cfRule>
  </conditionalFormatting>
  <conditionalFormatting sqref="F11">
    <cfRule type="containsText" dxfId="4261" priority="24" operator="containsText" text="FAIL">
      <formula>NOT(ISERROR(SEARCH("FAIL",F11)))</formula>
    </cfRule>
  </conditionalFormatting>
  <conditionalFormatting sqref="F11">
    <cfRule type="containsText" dxfId="4260" priority="23" operator="containsText" text="GOOD">
      <formula>NOT(ISERROR(SEARCH("GOOD",F11)))</formula>
    </cfRule>
  </conditionalFormatting>
  <conditionalFormatting sqref="I9">
    <cfRule type="containsText" dxfId="4259" priority="22" operator="containsText" text="FAIL">
      <formula>NOT(ISERROR(SEARCH("FAIL",I9)))</formula>
    </cfRule>
  </conditionalFormatting>
  <conditionalFormatting sqref="I9">
    <cfRule type="containsText" dxfId="4258" priority="21" operator="containsText" text="GOOD">
      <formula>NOT(ISERROR(SEARCH("GOOD",I9)))</formula>
    </cfRule>
  </conditionalFormatting>
  <conditionalFormatting sqref="F11">
    <cfRule type="containsText" dxfId="4257" priority="20" operator="containsText" text="FAIL">
      <formula>NOT(ISERROR(SEARCH("FAIL",F11)))</formula>
    </cfRule>
  </conditionalFormatting>
  <conditionalFormatting sqref="F11">
    <cfRule type="containsText" dxfId="4256" priority="19" operator="containsText" text="GOOD">
      <formula>NOT(ISERROR(SEARCH("GOOD",F11)))</formula>
    </cfRule>
  </conditionalFormatting>
  <conditionalFormatting sqref="D38:D42 D29:D32">
    <cfRule type="expression" dxfId="4255" priority="18">
      <formula>H29=1</formula>
    </cfRule>
  </conditionalFormatting>
  <conditionalFormatting sqref="C38:C42 C29:C32">
    <cfRule type="expression" dxfId="4254" priority="17">
      <formula>H29=1</formula>
    </cfRule>
  </conditionalFormatting>
  <conditionalFormatting sqref="E38:E42 E29:E32">
    <cfRule type="expression" dxfId="4253" priority="16">
      <formula>H29=1</formula>
    </cfRule>
  </conditionalFormatting>
  <conditionalFormatting sqref="E38:E42 E30:E32">
    <cfRule type="expression" dxfId="4252" priority="15">
      <formula>H30=1</formula>
    </cfRule>
  </conditionalFormatting>
  <conditionalFormatting sqref="F11">
    <cfRule type="containsText" dxfId="4251" priority="14" operator="containsText" text="FAIL">
      <formula>NOT(ISERROR(SEARCH("FAIL",F11)))</formula>
    </cfRule>
  </conditionalFormatting>
  <conditionalFormatting sqref="F11">
    <cfRule type="containsText" dxfId="4250" priority="13" operator="containsText" text="GOOD">
      <formula>NOT(ISERROR(SEARCH("GOOD",F11)))</formula>
    </cfRule>
  </conditionalFormatting>
  <conditionalFormatting sqref="D33:D36">
    <cfRule type="expression" dxfId="4249" priority="12">
      <formula>H33=1</formula>
    </cfRule>
  </conditionalFormatting>
  <conditionalFormatting sqref="C33:C36">
    <cfRule type="expression" dxfId="4248" priority="11">
      <formula>H33=1</formula>
    </cfRule>
  </conditionalFormatting>
  <conditionalFormatting sqref="E33:E36">
    <cfRule type="expression" dxfId="4247" priority="10">
      <formula>H33=1</formula>
    </cfRule>
  </conditionalFormatting>
  <conditionalFormatting sqref="E33:E36">
    <cfRule type="expression" dxfId="4246" priority="9">
      <formula>H33=1</formula>
    </cfRule>
  </conditionalFormatting>
  <conditionalFormatting sqref="D37">
    <cfRule type="expression" dxfId="4245" priority="8">
      <formula>H37=1</formula>
    </cfRule>
  </conditionalFormatting>
  <conditionalFormatting sqref="C37">
    <cfRule type="expression" dxfId="4244" priority="7">
      <formula>H37=1</formula>
    </cfRule>
  </conditionalFormatting>
  <conditionalFormatting sqref="E37">
    <cfRule type="expression" dxfId="4243" priority="6">
      <formula>H37=1</formula>
    </cfRule>
  </conditionalFormatting>
  <conditionalFormatting sqref="E37">
    <cfRule type="expression" dxfId="4242" priority="5">
      <formula>H37=1</formula>
    </cfRule>
  </conditionalFormatting>
  <conditionalFormatting sqref="C23:C28">
    <cfRule type="expression" dxfId="4241" priority="4">
      <formula>H23=1</formula>
    </cfRule>
  </conditionalFormatting>
  <conditionalFormatting sqref="D23:D28">
    <cfRule type="expression" dxfId="4240" priority="3">
      <formula>H23=1</formula>
    </cfRule>
  </conditionalFormatting>
  <conditionalFormatting sqref="E23:E28">
    <cfRule type="expression" dxfId="4239" priority="2">
      <formula>H23=1</formula>
    </cfRule>
  </conditionalFormatting>
  <conditionalFormatting sqref="E23:E28">
    <cfRule type="expression" dxfId="4238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3D0B4-B186-433A-8789-EC6505123A57}">
  <dimension ref="A2:P47"/>
  <sheetViews>
    <sheetView topLeftCell="A4" zoomScaleNormal="100" workbookViewId="0">
      <selection activeCell="J8" sqref="J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1682</v>
      </c>
      <c r="I4" s="2" t="s">
        <v>4</v>
      </c>
      <c r="J4" t="s">
        <v>1447</v>
      </c>
    </row>
    <row r="5" spans="1:16" x14ac:dyDescent="0.25">
      <c r="D5" s="2" t="s">
        <v>1</v>
      </c>
      <c r="F5" t="s">
        <v>1683</v>
      </c>
    </row>
    <row r="6" spans="1:16" x14ac:dyDescent="0.25">
      <c r="D6" s="2" t="s">
        <v>2</v>
      </c>
      <c r="F6" s="6">
        <v>43662</v>
      </c>
      <c r="H6" s="11"/>
    </row>
    <row r="7" spans="1:16" x14ac:dyDescent="0.25">
      <c r="D7" s="2" t="s">
        <v>3</v>
      </c>
      <c r="F7" s="5">
        <v>2060000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2899873</v>
      </c>
      <c r="H8" s="11"/>
    </row>
    <row r="9" spans="1:16" x14ac:dyDescent="0.25">
      <c r="D9" s="2" t="s">
        <v>67</v>
      </c>
      <c r="F9" s="4">
        <f>+F8-F7</f>
        <v>839873</v>
      </c>
      <c r="G9" s="16">
        <f>+F9/F7</f>
        <v>0.40770533980582524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-1983908.25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4043908.25</v>
      </c>
      <c r="G12" s="14"/>
      <c r="H12" s="11">
        <f>COUNT(I23:I43)</f>
        <v>4</v>
      </c>
      <c r="I12" s="1" t="s">
        <v>31</v>
      </c>
      <c r="J12" s="4">
        <f>+F8*0.9</f>
        <v>2609885.7000000002</v>
      </c>
      <c r="K12" s="1" t="s">
        <v>69</v>
      </c>
    </row>
    <row r="13" spans="1:16" x14ac:dyDescent="0.25">
      <c r="D13" s="2" t="s">
        <v>29</v>
      </c>
      <c r="F13" s="4">
        <f>MAX(I23:I43)-MIN(I23:I43)</f>
        <v>3890027</v>
      </c>
      <c r="G13" s="269">
        <f>MEDIAN(I23:I43)</f>
        <v>3242930</v>
      </c>
      <c r="H13" s="270"/>
      <c r="I13" s="1" t="s">
        <v>30</v>
      </c>
      <c r="J13" s="4">
        <f>+F12*1.1</f>
        <v>4448299.0750000002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1684</v>
      </c>
      <c r="E23" s="33"/>
      <c r="F23" t="s">
        <v>1686</v>
      </c>
      <c r="G23" t="s">
        <v>25</v>
      </c>
      <c r="H23">
        <f>RANK(I23,I$23:I$43,1)</f>
        <v>3</v>
      </c>
      <c r="I23" s="4">
        <v>3385860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0">IF(H24=1,"u","")</f>
        <v>u</v>
      </c>
      <c r="D24" s="11" t="s">
        <v>1685</v>
      </c>
      <c r="E24" s="33"/>
      <c r="F24" t="s">
        <v>95</v>
      </c>
      <c r="G24" t="s">
        <v>93</v>
      </c>
      <c r="H24">
        <f>RANK(I24,I$23:I$43,1)</f>
        <v>1</v>
      </c>
      <c r="I24" s="4">
        <v>2899873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725</v>
      </c>
      <c r="E25" s="33"/>
      <c r="F25" t="s">
        <v>594</v>
      </c>
      <c r="G25" t="s">
        <v>25</v>
      </c>
      <c r="H25">
        <f>RANK(I25,I$23:I$43,1)</f>
        <v>2</v>
      </c>
      <c r="I25" s="4">
        <v>3100000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 t="s">
        <v>1687</v>
      </c>
      <c r="E26" s="33"/>
      <c r="F26" t="s">
        <v>147</v>
      </c>
      <c r="G26" t="s">
        <v>93</v>
      </c>
      <c r="H26">
        <f>RANK(I26,I$23:I$43,1)</f>
        <v>4</v>
      </c>
      <c r="I26" s="4">
        <v>6789900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11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11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11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11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11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237" priority="16" operator="containsText" text="FAIL">
      <formula>NOT(ISERROR(SEARCH("FAIL",I9)))</formula>
    </cfRule>
  </conditionalFormatting>
  <conditionalFormatting sqref="I9">
    <cfRule type="containsText" dxfId="4236" priority="15" operator="containsText" text="GOOD">
      <formula>NOT(ISERROR(SEARCH("GOOD",I9)))</formula>
    </cfRule>
  </conditionalFormatting>
  <conditionalFormatting sqref="F11">
    <cfRule type="containsText" dxfId="4235" priority="14" operator="containsText" text="FAIL">
      <formula>NOT(ISERROR(SEARCH("FAIL",F11)))</formula>
    </cfRule>
  </conditionalFormatting>
  <conditionalFormatting sqref="F11">
    <cfRule type="containsText" dxfId="4234" priority="13" operator="containsText" text="GOOD">
      <formula>NOT(ISERROR(SEARCH("GOOD",F11)))</formula>
    </cfRule>
  </conditionalFormatting>
  <conditionalFormatting sqref="D23:D25 D28:D43">
    <cfRule type="expression" dxfId="4233" priority="12">
      <formula>H23=1</formula>
    </cfRule>
  </conditionalFormatting>
  <conditionalFormatting sqref="C23:C25 C28:C43">
    <cfRule type="expression" dxfId="4232" priority="11">
      <formula>H23=1</formula>
    </cfRule>
  </conditionalFormatting>
  <conditionalFormatting sqref="E23:E25 E34:E43 E28">
    <cfRule type="expression" dxfId="4231" priority="10">
      <formula>H23=1</formula>
    </cfRule>
  </conditionalFormatting>
  <conditionalFormatting sqref="F11">
    <cfRule type="containsText" dxfId="4230" priority="9" operator="containsText" text="FAIL">
      <formula>NOT(ISERROR(SEARCH("FAIL",F11)))</formula>
    </cfRule>
  </conditionalFormatting>
  <conditionalFormatting sqref="F11">
    <cfRule type="containsText" dxfId="4229" priority="8" operator="containsText" text="GOOD">
      <formula>NOT(ISERROR(SEARCH("GOOD",F11)))</formula>
    </cfRule>
  </conditionalFormatting>
  <conditionalFormatting sqref="E29:E33">
    <cfRule type="expression" dxfId="4228" priority="7">
      <formula>I29=1</formula>
    </cfRule>
  </conditionalFormatting>
  <conditionalFormatting sqref="D27">
    <cfRule type="expression" dxfId="4227" priority="6">
      <formula>H27=1</formula>
    </cfRule>
  </conditionalFormatting>
  <conditionalFormatting sqref="C27">
    <cfRule type="expression" dxfId="4226" priority="5">
      <formula>H27=1</formula>
    </cfRule>
  </conditionalFormatting>
  <conditionalFormatting sqref="E27">
    <cfRule type="expression" dxfId="4225" priority="4">
      <formula>H27=1</formula>
    </cfRule>
  </conditionalFormatting>
  <conditionalFormatting sqref="D26">
    <cfRule type="expression" dxfId="4224" priority="3">
      <formula>H26=1</formula>
    </cfRule>
  </conditionalFormatting>
  <conditionalFormatting sqref="C26">
    <cfRule type="expression" dxfId="4223" priority="2">
      <formula>H26=1</formula>
    </cfRule>
  </conditionalFormatting>
  <conditionalFormatting sqref="E26">
    <cfRule type="expression" dxfId="4222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1EF35-D7D4-4C62-9B51-25A8A3BB0AD5}">
  <dimension ref="A2:P47"/>
  <sheetViews>
    <sheetView topLeftCell="A4" zoomScaleNormal="100" workbookViewId="0">
      <selection activeCell="K28" sqref="K2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1674</v>
      </c>
      <c r="I4" s="2" t="s">
        <v>4</v>
      </c>
      <c r="J4" t="s">
        <v>1251</v>
      </c>
    </row>
    <row r="5" spans="1:16" x14ac:dyDescent="0.25">
      <c r="D5" s="2" t="s">
        <v>1</v>
      </c>
      <c r="F5" t="s">
        <v>1675</v>
      </c>
    </row>
    <row r="6" spans="1:16" x14ac:dyDescent="0.25">
      <c r="D6" s="2" t="s">
        <v>2</v>
      </c>
      <c r="F6" s="6">
        <v>43655</v>
      </c>
      <c r="H6" s="11"/>
    </row>
    <row r="7" spans="1:16" x14ac:dyDescent="0.25">
      <c r="D7" s="2" t="s">
        <v>3</v>
      </c>
      <c r="F7" s="5">
        <v>400000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396784</v>
      </c>
      <c r="H8" s="11"/>
    </row>
    <row r="9" spans="1:16" x14ac:dyDescent="0.25">
      <c r="D9" s="2" t="s">
        <v>67</v>
      </c>
      <c r="F9" s="4">
        <f>+F8-F7</f>
        <v>-3216</v>
      </c>
      <c r="G9" s="16">
        <f>+F9/F7</f>
        <v>-8.0400000000000003E-3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-186062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586062</v>
      </c>
      <c r="G12" s="14"/>
      <c r="H12" s="11">
        <f>COUNT(I23:I43)</f>
        <v>6</v>
      </c>
      <c r="I12" s="1" t="s">
        <v>31</v>
      </c>
      <c r="J12" s="4">
        <f>+F8*0.9</f>
        <v>357105.60000000003</v>
      </c>
      <c r="K12" s="1" t="s">
        <v>69</v>
      </c>
    </row>
    <row r="13" spans="1:16" x14ac:dyDescent="0.25">
      <c r="D13" s="2" t="s">
        <v>29</v>
      </c>
      <c r="F13" s="4">
        <f>MAX(I23:I43)-MIN(I23:I43)</f>
        <v>436450</v>
      </c>
      <c r="G13" s="269">
        <f>MEDIAN(I23:I43)</f>
        <v>574964.5</v>
      </c>
      <c r="H13" s="270"/>
      <c r="I13" s="1" t="s">
        <v>30</v>
      </c>
      <c r="J13" s="4">
        <f>+F12*1.1</f>
        <v>644668.20000000007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824</v>
      </c>
      <c r="E23" s="33"/>
      <c r="F23" t="s">
        <v>186</v>
      </c>
      <c r="G23" t="s">
        <v>25</v>
      </c>
      <c r="H23">
        <f t="shared" ref="H23:H28" si="0">RANK(I23,I$23:I$43,1)</f>
        <v>5</v>
      </c>
      <c r="I23" s="4">
        <v>627500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1">IF(H24=1,"u","")</f>
        <v/>
      </c>
      <c r="D24" s="11" t="s">
        <v>959</v>
      </c>
      <c r="E24" s="33"/>
      <c r="F24" t="s">
        <v>199</v>
      </c>
      <c r="G24" t="s">
        <v>93</v>
      </c>
      <c r="H24">
        <f t="shared" si="0"/>
        <v>3</v>
      </c>
      <c r="I24" s="4">
        <v>570025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1"/>
        <v/>
      </c>
      <c r="D25" s="11" t="s">
        <v>1296</v>
      </c>
      <c r="E25" s="33"/>
      <c r="F25" t="s">
        <v>100</v>
      </c>
      <c r="G25" t="s">
        <v>93</v>
      </c>
      <c r="H25">
        <f t="shared" si="0"/>
        <v>4</v>
      </c>
      <c r="I25" s="4">
        <v>579904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1"/>
        <v/>
      </c>
      <c r="D26" s="11" t="s">
        <v>676</v>
      </c>
      <c r="E26" s="33"/>
      <c r="F26" t="s">
        <v>85</v>
      </c>
      <c r="G26" t="s">
        <v>25</v>
      </c>
      <c r="H26">
        <f t="shared" si="0"/>
        <v>2</v>
      </c>
      <c r="I26" s="4">
        <v>508925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1404</v>
      </c>
      <c r="E27" s="33"/>
      <c r="F27" t="s">
        <v>289</v>
      </c>
      <c r="G27" t="s">
        <v>93</v>
      </c>
      <c r="H27">
        <f t="shared" si="0"/>
        <v>6</v>
      </c>
      <c r="I27" s="4">
        <v>833234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>u</v>
      </c>
      <c r="D28" s="11" t="s">
        <v>793</v>
      </c>
      <c r="E28" s="33"/>
      <c r="F28" t="s">
        <v>181</v>
      </c>
      <c r="G28" t="s">
        <v>93</v>
      </c>
      <c r="H28">
        <f t="shared" si="0"/>
        <v>1</v>
      </c>
      <c r="I28" s="4">
        <v>396784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11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11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11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11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11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221" priority="16" operator="containsText" text="FAIL">
      <formula>NOT(ISERROR(SEARCH("FAIL",I9)))</formula>
    </cfRule>
  </conditionalFormatting>
  <conditionalFormatting sqref="I9">
    <cfRule type="containsText" dxfId="4220" priority="15" operator="containsText" text="GOOD">
      <formula>NOT(ISERROR(SEARCH("GOOD",I9)))</formula>
    </cfRule>
  </conditionalFormatting>
  <conditionalFormatting sqref="F11">
    <cfRule type="containsText" dxfId="4219" priority="14" operator="containsText" text="FAIL">
      <formula>NOT(ISERROR(SEARCH("FAIL",F11)))</formula>
    </cfRule>
  </conditionalFormatting>
  <conditionalFormatting sqref="F11">
    <cfRule type="containsText" dxfId="4218" priority="13" operator="containsText" text="GOOD">
      <formula>NOT(ISERROR(SEARCH("GOOD",F11)))</formula>
    </cfRule>
  </conditionalFormatting>
  <conditionalFormatting sqref="D23:D25 D28:D43">
    <cfRule type="expression" dxfId="4217" priority="12">
      <formula>H23=1</formula>
    </cfRule>
  </conditionalFormatting>
  <conditionalFormatting sqref="C23:C25 C28:C43">
    <cfRule type="expression" dxfId="4216" priority="11">
      <formula>H23=1</formula>
    </cfRule>
  </conditionalFormatting>
  <conditionalFormatting sqref="E23:E25 E34:E43 E28">
    <cfRule type="expression" dxfId="4215" priority="10">
      <formula>H23=1</formula>
    </cfRule>
  </conditionalFormatting>
  <conditionalFormatting sqref="F11">
    <cfRule type="containsText" dxfId="4214" priority="9" operator="containsText" text="FAIL">
      <formula>NOT(ISERROR(SEARCH("FAIL",F11)))</formula>
    </cfRule>
  </conditionalFormatting>
  <conditionalFormatting sqref="F11">
    <cfRule type="containsText" dxfId="4213" priority="8" operator="containsText" text="GOOD">
      <formula>NOT(ISERROR(SEARCH("GOOD",F11)))</formula>
    </cfRule>
  </conditionalFormatting>
  <conditionalFormatting sqref="E29:E33">
    <cfRule type="expression" dxfId="4212" priority="7">
      <formula>I29=1</formula>
    </cfRule>
  </conditionalFormatting>
  <conditionalFormatting sqref="D27">
    <cfRule type="expression" dxfId="4211" priority="6">
      <formula>H27=1</formula>
    </cfRule>
  </conditionalFormatting>
  <conditionalFormatting sqref="C27">
    <cfRule type="expression" dxfId="4210" priority="5">
      <formula>H27=1</formula>
    </cfRule>
  </conditionalFormatting>
  <conditionalFormatting sqref="E27">
    <cfRule type="expression" dxfId="4209" priority="4">
      <formula>H27=1</formula>
    </cfRule>
  </conditionalFormatting>
  <conditionalFormatting sqref="D26">
    <cfRule type="expression" dxfId="4208" priority="3">
      <formula>H26=1</formula>
    </cfRule>
  </conditionalFormatting>
  <conditionalFormatting sqref="C26">
    <cfRule type="expression" dxfId="4207" priority="2">
      <formula>H26=1</formula>
    </cfRule>
  </conditionalFormatting>
  <conditionalFormatting sqref="E26">
    <cfRule type="expression" dxfId="4206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P55"/>
  <sheetViews>
    <sheetView zoomScaleNormal="100" workbookViewId="0">
      <selection activeCell="M30" sqref="M30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47</v>
      </c>
    </row>
    <row r="4" spans="1:16" x14ac:dyDescent="0.25">
      <c r="D4" s="2" t="s">
        <v>0</v>
      </c>
      <c r="E4" s="1"/>
      <c r="F4" t="s">
        <v>1666</v>
      </c>
      <c r="I4" s="2" t="s">
        <v>4</v>
      </c>
      <c r="J4" t="s">
        <v>816</v>
      </c>
    </row>
    <row r="5" spans="1:16" x14ac:dyDescent="0.25">
      <c r="D5" s="2" t="s">
        <v>1</v>
      </c>
      <c r="F5" t="s">
        <v>1667</v>
      </c>
    </row>
    <row r="6" spans="1:16" x14ac:dyDescent="0.25">
      <c r="D6" s="2" t="s">
        <v>2</v>
      </c>
      <c r="F6" s="6">
        <v>43641</v>
      </c>
      <c r="H6" s="11"/>
    </row>
    <row r="7" spans="1:16" x14ac:dyDescent="0.25">
      <c r="D7" s="2" t="s">
        <v>3</v>
      </c>
      <c r="F7" s="5">
        <f>+I7+J7</f>
        <v>5280000</v>
      </c>
      <c r="G7" s="2" t="s">
        <v>34</v>
      </c>
      <c r="H7" s="11"/>
      <c r="I7" s="19">
        <v>908000</v>
      </c>
      <c r="J7" s="19">
        <v>4372000</v>
      </c>
    </row>
    <row r="8" spans="1:16" x14ac:dyDescent="0.25">
      <c r="D8" s="2" t="s">
        <v>18</v>
      </c>
      <c r="F8" s="5">
        <f>MIN(K23:K42)</f>
        <v>5097757</v>
      </c>
      <c r="H8" s="11"/>
      <c r="I8" s="18" t="s">
        <v>43</v>
      </c>
      <c r="J8" s="18" t="s">
        <v>44</v>
      </c>
      <c r="P8" s="66">
        <f>+K26/K24</f>
        <v>1.0032730559818368</v>
      </c>
    </row>
    <row r="9" spans="1:16" x14ac:dyDescent="0.25">
      <c r="D9" s="2" t="s">
        <v>19</v>
      </c>
      <c r="F9" s="4">
        <f>+F8-F7</f>
        <v>-182243</v>
      </c>
      <c r="G9" s="16">
        <f>+F9/F7</f>
        <v>-3.4515719696969697E-2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-1824621.7857142854</v>
      </c>
      <c r="H10" s="11"/>
    </row>
    <row r="11" spans="1:16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SUM(K23:K42)/H12</f>
        <v>7104621.7857142854</v>
      </c>
      <c r="G12" s="14"/>
      <c r="H12" s="11">
        <f>COUNT(K23:K42)</f>
        <v>14</v>
      </c>
      <c r="I12" s="1" t="s">
        <v>31</v>
      </c>
      <c r="J12" s="4">
        <f>+F8*0.9</f>
        <v>4587981.3</v>
      </c>
      <c r="K12" s="1" t="s">
        <v>69</v>
      </c>
    </row>
    <row r="13" spans="1:16" x14ac:dyDescent="0.25">
      <c r="D13" s="2" t="s">
        <v>29</v>
      </c>
      <c r="F13" s="4">
        <f>MAX(K23:K42)-MIN(K23:K42)</f>
        <v>10712993</v>
      </c>
      <c r="G13" s="269">
        <f>MEDIAN(K23:K42)</f>
        <v>6037188.5</v>
      </c>
      <c r="H13" s="270"/>
      <c r="I13" s="1" t="s">
        <v>30</v>
      </c>
      <c r="J13" s="4">
        <f>+F12*1.1</f>
        <v>7815083.9642857146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6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0.17898305084745764</v>
      </c>
    </row>
    <row r="18" spans="3:15" x14ac:dyDescent="0.25">
      <c r="F18" s="4">
        <f>+F7</f>
        <v>5280000</v>
      </c>
      <c r="G18" s="1" t="s">
        <v>12</v>
      </c>
      <c r="H18" s="11"/>
      <c r="I18" t="s">
        <v>16</v>
      </c>
      <c r="J18" s="7">
        <f>+F8/F18</f>
        <v>0.96548428030303035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0.16992523333333334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554</v>
      </c>
      <c r="E23" s="33"/>
      <c r="F23" t="s">
        <v>397</v>
      </c>
      <c r="G23" t="s">
        <v>25</v>
      </c>
      <c r="H23">
        <f t="shared" ref="H23:H36" si="0">RANK(K23,K$23:K$43,1)</f>
        <v>2</v>
      </c>
      <c r="I23" s="175">
        <v>836037</v>
      </c>
      <c r="J23" s="4">
        <v>4317963</v>
      </c>
      <c r="K23" s="4">
        <f>+J23+I23</f>
        <v>5154000</v>
      </c>
      <c r="L23" s="4"/>
      <c r="M23" s="22"/>
      <c r="N23" s="22"/>
      <c r="O23" s="22"/>
    </row>
    <row r="24" spans="3:15" x14ac:dyDescent="0.25">
      <c r="C24" s="33" t="str">
        <f t="shared" ref="C24:C42" si="1">IF(H24=1,"u","")</f>
        <v/>
      </c>
      <c r="D24" s="11" t="s">
        <v>1439</v>
      </c>
      <c r="E24" s="33"/>
      <c r="F24" t="s">
        <v>749</v>
      </c>
      <c r="G24" t="s">
        <v>25</v>
      </c>
      <c r="H24">
        <f t="shared" si="0"/>
        <v>6</v>
      </c>
      <c r="I24" s="175">
        <v>700950</v>
      </c>
      <c r="J24" s="4">
        <v>5245175</v>
      </c>
      <c r="K24" s="4">
        <f>+J24+I24</f>
        <v>5946125</v>
      </c>
      <c r="L24" s="4"/>
      <c r="M24" s="22"/>
      <c r="N24" s="22"/>
      <c r="O24" s="22"/>
    </row>
    <row r="25" spans="3:15" x14ac:dyDescent="0.25">
      <c r="C25" s="33" t="str">
        <f t="shared" si="1"/>
        <v>u</v>
      </c>
      <c r="D25" s="11" t="s">
        <v>561</v>
      </c>
      <c r="E25" s="33"/>
      <c r="F25" t="s">
        <v>215</v>
      </c>
      <c r="G25" t="s">
        <v>25</v>
      </c>
      <c r="H25">
        <f t="shared" si="0"/>
        <v>1</v>
      </c>
      <c r="I25" s="175">
        <v>924356</v>
      </c>
      <c r="J25" s="4">
        <v>4173401</v>
      </c>
      <c r="K25" s="4">
        <f>+J25+I25</f>
        <v>5097757</v>
      </c>
      <c r="L25" s="4"/>
      <c r="M25" s="22"/>
      <c r="N25" s="22"/>
      <c r="O25" s="22"/>
    </row>
    <row r="26" spans="3:15" x14ac:dyDescent="0.25">
      <c r="C26" s="33" t="str">
        <f t="shared" si="1"/>
        <v/>
      </c>
      <c r="D26" s="11" t="s">
        <v>637</v>
      </c>
      <c r="E26" s="33"/>
      <c r="F26" t="s">
        <v>131</v>
      </c>
      <c r="G26" t="s">
        <v>25</v>
      </c>
      <c r="H26">
        <f t="shared" si="0"/>
        <v>7</v>
      </c>
      <c r="I26" s="175">
        <v>896587</v>
      </c>
      <c r="J26" s="4">
        <v>5069000</v>
      </c>
      <c r="K26" s="4">
        <f t="shared" ref="K26:K36" si="2">+J26+I26</f>
        <v>5965587</v>
      </c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907</v>
      </c>
      <c r="E27" s="33"/>
      <c r="F27" t="s">
        <v>312</v>
      </c>
      <c r="G27" t="s">
        <v>25</v>
      </c>
      <c r="H27">
        <f t="shared" si="0"/>
        <v>3</v>
      </c>
      <c r="I27" s="175">
        <v>632156</v>
      </c>
      <c r="J27" s="4">
        <v>4640045</v>
      </c>
      <c r="K27" s="4">
        <f t="shared" si="2"/>
        <v>5272201</v>
      </c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1668</v>
      </c>
      <c r="E28" s="33"/>
      <c r="F28" t="s">
        <v>302</v>
      </c>
      <c r="G28" t="s">
        <v>25</v>
      </c>
      <c r="H28">
        <f t="shared" si="0"/>
        <v>5</v>
      </c>
      <c r="I28" s="4">
        <v>596775</v>
      </c>
      <c r="J28" s="4">
        <v>5185500</v>
      </c>
      <c r="K28" s="4">
        <f t="shared" si="2"/>
        <v>5782275</v>
      </c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 t="s">
        <v>1197</v>
      </c>
      <c r="E29" s="33"/>
      <c r="F29" t="s">
        <v>131</v>
      </c>
      <c r="G29" t="s">
        <v>25</v>
      </c>
      <c r="H29">
        <f t="shared" si="0"/>
        <v>12</v>
      </c>
      <c r="I29" s="4">
        <v>868215</v>
      </c>
      <c r="J29" s="4">
        <v>7571310</v>
      </c>
      <c r="K29" s="4">
        <f t="shared" si="2"/>
        <v>8439525</v>
      </c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 t="s">
        <v>1664</v>
      </c>
      <c r="E30" s="33"/>
      <c r="F30" t="s">
        <v>532</v>
      </c>
      <c r="G30" t="s">
        <v>93</v>
      </c>
      <c r="H30">
        <f t="shared" si="0"/>
        <v>8</v>
      </c>
      <c r="I30" s="4">
        <v>942700</v>
      </c>
      <c r="J30" s="4">
        <v>5166090</v>
      </c>
      <c r="K30" s="4">
        <f t="shared" si="2"/>
        <v>6108790</v>
      </c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 t="s">
        <v>997</v>
      </c>
      <c r="E31" s="33"/>
      <c r="F31" t="s">
        <v>1669</v>
      </c>
      <c r="G31" t="s">
        <v>25</v>
      </c>
      <c r="H31">
        <f t="shared" si="0"/>
        <v>11</v>
      </c>
      <c r="I31" s="4">
        <v>997820</v>
      </c>
      <c r="J31" s="4">
        <v>7141000</v>
      </c>
      <c r="K31" s="4">
        <f t="shared" si="2"/>
        <v>8138820</v>
      </c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 t="s">
        <v>679</v>
      </c>
      <c r="E32" s="33"/>
      <c r="F32" t="s">
        <v>193</v>
      </c>
      <c r="G32" t="s">
        <v>25</v>
      </c>
      <c r="H32">
        <f t="shared" si="0"/>
        <v>4</v>
      </c>
      <c r="I32" s="4">
        <v>616112</v>
      </c>
      <c r="J32" s="4">
        <v>5080888</v>
      </c>
      <c r="K32" s="4">
        <f t="shared" si="2"/>
        <v>5697000</v>
      </c>
      <c r="M32" s="21"/>
      <c r="N32" s="21"/>
      <c r="O32" s="21"/>
    </row>
    <row r="33" spans="3:15" x14ac:dyDescent="0.25">
      <c r="C33" s="33" t="str">
        <f t="shared" si="1"/>
        <v/>
      </c>
      <c r="D33" s="11" t="s">
        <v>1005</v>
      </c>
      <c r="E33" s="33"/>
      <c r="F33" t="s">
        <v>95</v>
      </c>
      <c r="G33" t="s">
        <v>25</v>
      </c>
      <c r="H33">
        <f t="shared" si="0"/>
        <v>14</v>
      </c>
      <c r="I33" s="4">
        <v>4847750</v>
      </c>
      <c r="J33" s="4">
        <v>10963000</v>
      </c>
      <c r="K33" s="4">
        <f t="shared" si="2"/>
        <v>15810750</v>
      </c>
      <c r="M33" s="21"/>
      <c r="N33" s="21"/>
      <c r="O33" s="21"/>
    </row>
    <row r="34" spans="3:15" x14ac:dyDescent="0.25">
      <c r="C34" s="33" t="str">
        <f t="shared" si="1"/>
        <v/>
      </c>
      <c r="D34" s="11" t="s">
        <v>1670</v>
      </c>
      <c r="E34" s="33"/>
      <c r="F34" t="s">
        <v>95</v>
      </c>
      <c r="G34" t="s">
        <v>93</v>
      </c>
      <c r="H34">
        <f t="shared" si="0"/>
        <v>13</v>
      </c>
      <c r="I34" s="4">
        <v>846050</v>
      </c>
      <c r="J34" s="4">
        <v>7851950</v>
      </c>
      <c r="K34" s="4">
        <f t="shared" si="2"/>
        <v>8698000</v>
      </c>
      <c r="M34" s="21"/>
      <c r="N34" s="21"/>
      <c r="O34" s="21"/>
    </row>
    <row r="35" spans="3:15" x14ac:dyDescent="0.25">
      <c r="C35" s="33" t="str">
        <f t="shared" si="1"/>
        <v/>
      </c>
      <c r="D35" s="11" t="s">
        <v>626</v>
      </c>
      <c r="E35" s="33"/>
      <c r="F35" t="s">
        <v>308</v>
      </c>
      <c r="G35" t="s">
        <v>25</v>
      </c>
      <c r="H35">
        <f t="shared" si="0"/>
        <v>10</v>
      </c>
      <c r="I35" s="4">
        <v>1196778</v>
      </c>
      <c r="J35" s="4">
        <v>5668587</v>
      </c>
      <c r="K35" s="4">
        <f t="shared" si="2"/>
        <v>6865365</v>
      </c>
      <c r="M35" s="21"/>
      <c r="N35" s="21"/>
      <c r="O35" s="21"/>
    </row>
    <row r="36" spans="3:15" x14ac:dyDescent="0.25">
      <c r="C36" s="33" t="str">
        <f t="shared" si="1"/>
        <v/>
      </c>
      <c r="D36" s="11" t="s">
        <v>1440</v>
      </c>
      <c r="E36" s="33"/>
      <c r="F36" t="s">
        <v>302</v>
      </c>
      <c r="G36" t="s">
        <v>25</v>
      </c>
      <c r="H36">
        <f t="shared" si="0"/>
        <v>9</v>
      </c>
      <c r="I36" s="4">
        <v>749660</v>
      </c>
      <c r="J36" s="4">
        <v>5738850</v>
      </c>
      <c r="K36" s="4">
        <f t="shared" si="2"/>
        <v>6488510</v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>IF(H38=1,"t","")</f>
        <v/>
      </c>
      <c r="K38" s="4"/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ht="6" customHeight="1" x14ac:dyDescent="0.25">
      <c r="C43" s="9"/>
      <c r="D43" s="9"/>
      <c r="E43" s="9"/>
      <c r="F43" s="9"/>
      <c r="G43" s="9"/>
      <c r="H43" s="9"/>
      <c r="I43" s="9"/>
      <c r="J43" s="9"/>
      <c r="K43" s="9"/>
      <c r="L43" s="9"/>
      <c r="M43" s="21"/>
      <c r="N43" s="21"/>
      <c r="O43" s="21"/>
    </row>
    <row r="44" spans="3:15" ht="6" customHeight="1" x14ac:dyDescent="0.25">
      <c r="M44" s="21"/>
      <c r="N44" s="21"/>
      <c r="O44" s="21"/>
    </row>
    <row r="45" spans="3:15" x14ac:dyDescent="0.25">
      <c r="C45" s="15" t="s">
        <v>79</v>
      </c>
      <c r="M45" s="21"/>
      <c r="N45" s="21"/>
      <c r="O45" s="21"/>
    </row>
    <row r="46" spans="3:15" x14ac:dyDescent="0.25">
      <c r="C46" s="15" t="s">
        <v>78</v>
      </c>
    </row>
    <row r="48" spans="3:15" x14ac:dyDescent="0.25">
      <c r="C48" s="31" t="s">
        <v>948</v>
      </c>
      <c r="D48" s="31"/>
      <c r="H48" t="s">
        <v>949</v>
      </c>
      <c r="I48" t="s">
        <v>784</v>
      </c>
      <c r="J48" s="6">
        <v>42802</v>
      </c>
    </row>
    <row r="49" spans="4:4" ht="6" customHeight="1" x14ac:dyDescent="0.25"/>
    <row r="50" spans="4:4" x14ac:dyDescent="0.25">
      <c r="D50" s="93" t="s">
        <v>950</v>
      </c>
    </row>
    <row r="51" spans="4:4" x14ac:dyDescent="0.25">
      <c r="D51" s="93" t="s">
        <v>951</v>
      </c>
    </row>
    <row r="52" spans="4:4" x14ac:dyDescent="0.25">
      <c r="D52" s="93" t="s">
        <v>952</v>
      </c>
    </row>
    <row r="53" spans="4:4" x14ac:dyDescent="0.25">
      <c r="D53" s="93" t="s">
        <v>953</v>
      </c>
    </row>
    <row r="54" spans="4:4" x14ac:dyDescent="0.25">
      <c r="D54" s="93" t="s">
        <v>954</v>
      </c>
    </row>
    <row r="55" spans="4:4" x14ac:dyDescent="0.25">
      <c r="D55" s="93" t="s">
        <v>955</v>
      </c>
    </row>
  </sheetData>
  <mergeCells count="1">
    <mergeCell ref="G13:H13"/>
  </mergeCells>
  <conditionalFormatting sqref="I9">
    <cfRule type="containsText" dxfId="4205" priority="30" operator="containsText" text="FAIL">
      <formula>NOT(ISERROR(SEARCH("FAIL",I9)))</formula>
    </cfRule>
  </conditionalFormatting>
  <conditionalFormatting sqref="I9">
    <cfRule type="containsText" dxfId="4204" priority="29" operator="containsText" text="GOOD">
      <formula>NOT(ISERROR(SEARCH("GOOD",I9)))</formula>
    </cfRule>
  </conditionalFormatting>
  <conditionalFormatting sqref="I9">
    <cfRule type="containsText" dxfId="4203" priority="28" operator="containsText" text="FAIL">
      <formula>NOT(ISERROR(SEARCH("FAIL",I9)))</formula>
    </cfRule>
  </conditionalFormatting>
  <conditionalFormatting sqref="I9">
    <cfRule type="containsText" dxfId="4202" priority="27" operator="containsText" text="GOOD">
      <formula>NOT(ISERROR(SEARCH("GOOD",I9)))</formula>
    </cfRule>
  </conditionalFormatting>
  <conditionalFormatting sqref="I9">
    <cfRule type="containsText" dxfId="4201" priority="26" operator="containsText" text="FAIL">
      <formula>NOT(ISERROR(SEARCH("FAIL",I9)))</formula>
    </cfRule>
  </conditionalFormatting>
  <conditionalFormatting sqref="I9">
    <cfRule type="containsText" dxfId="4200" priority="25" operator="containsText" text="GOOD">
      <formula>NOT(ISERROR(SEARCH("GOOD",I9)))</formula>
    </cfRule>
  </conditionalFormatting>
  <conditionalFormatting sqref="F11">
    <cfRule type="containsText" dxfId="4199" priority="24" operator="containsText" text="FAIL">
      <formula>NOT(ISERROR(SEARCH("FAIL",F11)))</formula>
    </cfRule>
  </conditionalFormatting>
  <conditionalFormatting sqref="F11">
    <cfRule type="containsText" dxfId="4198" priority="23" operator="containsText" text="GOOD">
      <formula>NOT(ISERROR(SEARCH("GOOD",F11)))</formula>
    </cfRule>
  </conditionalFormatting>
  <conditionalFormatting sqref="I9">
    <cfRule type="containsText" dxfId="4197" priority="22" operator="containsText" text="FAIL">
      <formula>NOT(ISERROR(SEARCH("FAIL",I9)))</formula>
    </cfRule>
  </conditionalFormatting>
  <conditionalFormatting sqref="I9">
    <cfRule type="containsText" dxfId="4196" priority="21" operator="containsText" text="GOOD">
      <formula>NOT(ISERROR(SEARCH("GOOD",I9)))</formula>
    </cfRule>
  </conditionalFormatting>
  <conditionalFormatting sqref="F11">
    <cfRule type="containsText" dxfId="4195" priority="20" operator="containsText" text="FAIL">
      <formula>NOT(ISERROR(SEARCH("FAIL",F11)))</formula>
    </cfRule>
  </conditionalFormatting>
  <conditionalFormatting sqref="F11">
    <cfRule type="containsText" dxfId="4194" priority="19" operator="containsText" text="GOOD">
      <formula>NOT(ISERROR(SEARCH("GOOD",F11)))</formula>
    </cfRule>
  </conditionalFormatting>
  <conditionalFormatting sqref="D38:D42 D29:D32">
    <cfRule type="expression" dxfId="4193" priority="18">
      <formula>H29=1</formula>
    </cfRule>
  </conditionalFormatting>
  <conditionalFormatting sqref="C38:C42 C29:C32">
    <cfRule type="expression" dxfId="4192" priority="17">
      <formula>H29=1</formula>
    </cfRule>
  </conditionalFormatting>
  <conditionalFormatting sqref="E38:E42 E29:E32">
    <cfRule type="expression" dxfId="4191" priority="16">
      <formula>H29=1</formula>
    </cfRule>
  </conditionalFormatting>
  <conditionalFormatting sqref="E38:E42 E30:E32">
    <cfRule type="expression" dxfId="4190" priority="15">
      <formula>H30=1</formula>
    </cfRule>
  </conditionalFormatting>
  <conditionalFormatting sqref="F11">
    <cfRule type="containsText" dxfId="4189" priority="14" operator="containsText" text="FAIL">
      <formula>NOT(ISERROR(SEARCH("FAIL",F11)))</formula>
    </cfRule>
  </conditionalFormatting>
  <conditionalFormatting sqref="F11">
    <cfRule type="containsText" dxfId="4188" priority="13" operator="containsText" text="GOOD">
      <formula>NOT(ISERROR(SEARCH("GOOD",F11)))</formula>
    </cfRule>
  </conditionalFormatting>
  <conditionalFormatting sqref="D33:D36">
    <cfRule type="expression" dxfId="4187" priority="12">
      <formula>H33=1</formula>
    </cfRule>
  </conditionalFormatting>
  <conditionalFormatting sqref="C33:C36">
    <cfRule type="expression" dxfId="4186" priority="11">
      <formula>H33=1</formula>
    </cfRule>
  </conditionalFormatting>
  <conditionalFormatting sqref="E33:E36">
    <cfRule type="expression" dxfId="4185" priority="10">
      <formula>H33=1</formula>
    </cfRule>
  </conditionalFormatting>
  <conditionalFormatting sqref="E33:E36">
    <cfRule type="expression" dxfId="4184" priority="9">
      <formula>H33=1</formula>
    </cfRule>
  </conditionalFormatting>
  <conditionalFormatting sqref="D37">
    <cfRule type="expression" dxfId="4183" priority="8">
      <formula>H37=1</formula>
    </cfRule>
  </conditionalFormatting>
  <conditionalFormatting sqref="C37">
    <cfRule type="expression" dxfId="4182" priority="7">
      <formula>H37=1</formula>
    </cfRule>
  </conditionalFormatting>
  <conditionalFormatting sqref="E37">
    <cfRule type="expression" dxfId="4181" priority="6">
      <formula>H37=1</formula>
    </cfRule>
  </conditionalFormatting>
  <conditionalFormatting sqref="E37">
    <cfRule type="expression" dxfId="4180" priority="5">
      <formula>H37=1</formula>
    </cfRule>
  </conditionalFormatting>
  <conditionalFormatting sqref="C23:C28">
    <cfRule type="expression" dxfId="4179" priority="4">
      <formula>H23=1</formula>
    </cfRule>
  </conditionalFormatting>
  <conditionalFormatting sqref="D23:D28">
    <cfRule type="expression" dxfId="4178" priority="3">
      <formula>H23=1</formula>
    </cfRule>
  </conditionalFormatting>
  <conditionalFormatting sqref="E23:E28">
    <cfRule type="expression" dxfId="4177" priority="2">
      <formula>H23=1</formula>
    </cfRule>
  </conditionalFormatting>
  <conditionalFormatting sqref="E23:E28">
    <cfRule type="expression" dxfId="4176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P47"/>
  <sheetViews>
    <sheetView topLeftCell="A4" zoomScaleNormal="100" workbookViewId="0">
      <selection activeCell="L11" sqref="L11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1658</v>
      </c>
      <c r="I4" s="2" t="s">
        <v>4</v>
      </c>
      <c r="J4" t="s">
        <v>1619</v>
      </c>
    </row>
    <row r="5" spans="1:16" x14ac:dyDescent="0.25">
      <c r="D5" s="2" t="s">
        <v>1</v>
      </c>
      <c r="F5" t="s">
        <v>1659</v>
      </c>
    </row>
    <row r="6" spans="1:16" x14ac:dyDescent="0.25">
      <c r="D6" s="2" t="s">
        <v>2</v>
      </c>
      <c r="F6" s="6">
        <v>43628</v>
      </c>
      <c r="H6" s="11"/>
    </row>
    <row r="7" spans="1:16" x14ac:dyDescent="0.25">
      <c r="D7" s="2" t="s">
        <v>3</v>
      </c>
      <c r="F7" s="5">
        <v>3250000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3845000</v>
      </c>
      <c r="H8" s="11"/>
    </row>
    <row r="9" spans="1:16" x14ac:dyDescent="0.25">
      <c r="D9" s="2" t="s">
        <v>67</v>
      </c>
      <c r="F9" s="4">
        <f>+F8-F7</f>
        <v>595000</v>
      </c>
      <c r="G9" s="16">
        <f>+F9/F7</f>
        <v>0.18307692307692308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-2345333.333333333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5595333.333333333</v>
      </c>
      <c r="G12" s="14"/>
      <c r="H12" s="11">
        <f>COUNT(I23:I43)</f>
        <v>6</v>
      </c>
      <c r="I12" s="1" t="s">
        <v>31</v>
      </c>
      <c r="J12" s="4">
        <f>+F8*0.9</f>
        <v>3460500</v>
      </c>
      <c r="K12" s="1" t="s">
        <v>69</v>
      </c>
    </row>
    <row r="13" spans="1:16" x14ac:dyDescent="0.25">
      <c r="D13" s="2" t="s">
        <v>29</v>
      </c>
      <c r="F13" s="4">
        <f>MAX(I23:I43)-MIN(I23:I43)</f>
        <v>3528000</v>
      </c>
      <c r="G13" s="269">
        <f>MEDIAN(I23:I43)</f>
        <v>5573000</v>
      </c>
      <c r="H13" s="270"/>
      <c r="I13" s="1" t="s">
        <v>30</v>
      </c>
      <c r="J13" s="4">
        <f>+F12*1.1</f>
        <v>6154866.666666667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1318</v>
      </c>
      <c r="E23" s="33"/>
      <c r="F23" t="s">
        <v>193</v>
      </c>
      <c r="G23" t="s">
        <v>25</v>
      </c>
      <c r="H23">
        <f t="shared" ref="H23:H28" si="0">RANK(I23,I$23:I$43,1)</f>
        <v>6</v>
      </c>
      <c r="I23" s="4">
        <v>7373000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1">IF(H24=1,"u","")</f>
        <v/>
      </c>
      <c r="D24" s="11" t="s">
        <v>1660</v>
      </c>
      <c r="E24" s="33"/>
      <c r="F24" t="s">
        <v>594</v>
      </c>
      <c r="G24" t="s">
        <v>25</v>
      </c>
      <c r="H24">
        <f t="shared" si="0"/>
        <v>4</v>
      </c>
      <c r="I24" s="4">
        <v>6291000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1"/>
        <v/>
      </c>
      <c r="D25" s="11" t="s">
        <v>713</v>
      </c>
      <c r="E25" s="33"/>
      <c r="F25" t="s">
        <v>549</v>
      </c>
      <c r="G25" t="s">
        <v>25</v>
      </c>
      <c r="H25">
        <f t="shared" si="0"/>
        <v>2</v>
      </c>
      <c r="I25" s="4">
        <v>4321000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1"/>
        <v/>
      </c>
      <c r="D26" s="11" t="s">
        <v>545</v>
      </c>
      <c r="E26" s="33"/>
      <c r="F26" t="s">
        <v>546</v>
      </c>
      <c r="G26" t="s">
        <v>25</v>
      </c>
      <c r="H26">
        <f t="shared" si="0"/>
        <v>3</v>
      </c>
      <c r="I26" s="4">
        <v>4855000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>u</v>
      </c>
      <c r="D27" s="11" t="s">
        <v>1278</v>
      </c>
      <c r="E27" s="33"/>
      <c r="F27" t="s">
        <v>1451</v>
      </c>
      <c r="G27" t="s">
        <v>25</v>
      </c>
      <c r="H27">
        <f t="shared" si="0"/>
        <v>1</v>
      </c>
      <c r="I27" s="4">
        <v>3845000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1661</v>
      </c>
      <c r="E28" s="33"/>
      <c r="F28" t="s">
        <v>100</v>
      </c>
      <c r="G28" t="s">
        <v>93</v>
      </c>
      <c r="H28">
        <f t="shared" si="0"/>
        <v>5</v>
      </c>
      <c r="I28" s="4">
        <v>6887000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11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11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11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11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11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175" priority="16" operator="containsText" text="FAIL">
      <formula>NOT(ISERROR(SEARCH("FAIL",I9)))</formula>
    </cfRule>
  </conditionalFormatting>
  <conditionalFormatting sqref="I9">
    <cfRule type="containsText" dxfId="4174" priority="15" operator="containsText" text="GOOD">
      <formula>NOT(ISERROR(SEARCH("GOOD",I9)))</formula>
    </cfRule>
  </conditionalFormatting>
  <conditionalFormatting sqref="F11">
    <cfRule type="containsText" dxfId="4173" priority="14" operator="containsText" text="FAIL">
      <formula>NOT(ISERROR(SEARCH("FAIL",F11)))</formula>
    </cfRule>
  </conditionalFormatting>
  <conditionalFormatting sqref="F11">
    <cfRule type="containsText" dxfId="4172" priority="13" operator="containsText" text="GOOD">
      <formula>NOT(ISERROR(SEARCH("GOOD",F11)))</formula>
    </cfRule>
  </conditionalFormatting>
  <conditionalFormatting sqref="D23:D25 D28:D43">
    <cfRule type="expression" dxfId="4171" priority="12">
      <formula>H23=1</formula>
    </cfRule>
  </conditionalFormatting>
  <conditionalFormatting sqref="C23:C25 C28:C43">
    <cfRule type="expression" dxfId="4170" priority="11">
      <formula>H23=1</formula>
    </cfRule>
  </conditionalFormatting>
  <conditionalFormatting sqref="E23:E25 E34:E43 E28">
    <cfRule type="expression" dxfId="4169" priority="10">
      <formula>H23=1</formula>
    </cfRule>
  </conditionalFormatting>
  <conditionalFormatting sqref="F11">
    <cfRule type="containsText" dxfId="4168" priority="9" operator="containsText" text="FAIL">
      <formula>NOT(ISERROR(SEARCH("FAIL",F11)))</formula>
    </cfRule>
  </conditionalFormatting>
  <conditionalFormatting sqref="F11">
    <cfRule type="containsText" dxfId="4167" priority="8" operator="containsText" text="GOOD">
      <formula>NOT(ISERROR(SEARCH("GOOD",F11)))</formula>
    </cfRule>
  </conditionalFormatting>
  <conditionalFormatting sqref="E29:E33">
    <cfRule type="expression" dxfId="4166" priority="7">
      <formula>I29=1</formula>
    </cfRule>
  </conditionalFormatting>
  <conditionalFormatting sqref="D27">
    <cfRule type="expression" dxfId="4165" priority="6">
      <formula>H27=1</formula>
    </cfRule>
  </conditionalFormatting>
  <conditionalFormatting sqref="C27">
    <cfRule type="expression" dxfId="4164" priority="5">
      <formula>H27=1</formula>
    </cfRule>
  </conditionalFormatting>
  <conditionalFormatting sqref="E27">
    <cfRule type="expression" dxfId="4163" priority="4">
      <formula>H27=1</formula>
    </cfRule>
  </conditionalFormatting>
  <conditionalFormatting sqref="D26">
    <cfRule type="expression" dxfId="4162" priority="3">
      <formula>H26=1</formula>
    </cfRule>
  </conditionalFormatting>
  <conditionalFormatting sqref="C26">
    <cfRule type="expression" dxfId="4161" priority="2">
      <formula>H26=1</formula>
    </cfRule>
  </conditionalFormatting>
  <conditionalFormatting sqref="E26">
    <cfRule type="expression" dxfId="4160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P47"/>
  <sheetViews>
    <sheetView zoomScaleNormal="100" workbookViewId="0">
      <selection activeCell="K28" sqref="K2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1654</v>
      </c>
      <c r="I4" s="2" t="s">
        <v>4</v>
      </c>
      <c r="J4" t="s">
        <v>1619</v>
      </c>
    </row>
    <row r="5" spans="1:16" x14ac:dyDescent="0.25">
      <c r="D5" s="2" t="s">
        <v>1</v>
      </c>
      <c r="F5" t="s">
        <v>1657</v>
      </c>
    </row>
    <row r="6" spans="1:16" x14ac:dyDescent="0.25">
      <c r="D6" s="2" t="s">
        <v>2</v>
      </c>
      <c r="F6" s="6">
        <v>43622</v>
      </c>
      <c r="H6" s="11"/>
    </row>
    <row r="7" spans="1:16" x14ac:dyDescent="0.25">
      <c r="D7" s="2" t="s">
        <v>3</v>
      </c>
      <c r="F7" s="5">
        <v>2070000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2112649</v>
      </c>
      <c r="H8" s="11"/>
    </row>
    <row r="9" spans="1:16" x14ac:dyDescent="0.25">
      <c r="D9" s="2" t="s">
        <v>67</v>
      </c>
      <c r="F9" s="4">
        <f>+F8-F7</f>
        <v>42649</v>
      </c>
      <c r="G9" s="16">
        <f>+F9/F7</f>
        <v>2.0603381642512079E-2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-1014176.5555555555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3084176.5555555555</v>
      </c>
      <c r="G12" s="14"/>
      <c r="H12" s="11">
        <f>COUNT(I23:I43)</f>
        <v>9</v>
      </c>
      <c r="I12" s="1" t="s">
        <v>31</v>
      </c>
      <c r="J12" s="4">
        <f>+F8*0.9</f>
        <v>1901384.1</v>
      </c>
      <c r="K12" s="1" t="s">
        <v>69</v>
      </c>
    </row>
    <row r="13" spans="1:16" x14ac:dyDescent="0.25">
      <c r="D13" s="2" t="s">
        <v>29</v>
      </c>
      <c r="F13" s="4">
        <f>MAX(I23:I43)-MIN(I23:I43)</f>
        <v>2519351</v>
      </c>
      <c r="G13" s="269">
        <f>MEDIAN(I23:I43)</f>
        <v>2806907</v>
      </c>
      <c r="H13" s="270"/>
      <c r="I13" s="1" t="s">
        <v>30</v>
      </c>
      <c r="J13" s="4">
        <f>+F12*1.1</f>
        <v>3392594.2111111111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491</v>
      </c>
      <c r="E23" s="33"/>
      <c r="F23" t="s">
        <v>203</v>
      </c>
      <c r="G23" t="s">
        <v>204</v>
      </c>
      <c r="H23">
        <f>RANK(I23,I$23:I$43,1)</f>
        <v>3</v>
      </c>
      <c r="I23" s="4">
        <v>2689000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0">IF(H24=1,"u","")</f>
        <v/>
      </c>
      <c r="D24" s="11" t="s">
        <v>541</v>
      </c>
      <c r="E24" s="33"/>
      <c r="F24" t="s">
        <v>159</v>
      </c>
      <c r="G24" t="s">
        <v>93</v>
      </c>
      <c r="H24">
        <f t="shared" ref="H24:H31" si="1">RANK(I24,I$23:I$43,1)</f>
        <v>8</v>
      </c>
      <c r="I24" s="4">
        <v>3905000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623</v>
      </c>
      <c r="E25" s="33"/>
      <c r="F25" t="s">
        <v>624</v>
      </c>
      <c r="G25" t="s">
        <v>25</v>
      </c>
      <c r="H25">
        <f t="shared" si="1"/>
        <v>2</v>
      </c>
      <c r="I25" s="4">
        <v>2350033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0"/>
        <v>u</v>
      </c>
      <c r="D26" s="11" t="s">
        <v>676</v>
      </c>
      <c r="E26" s="33"/>
      <c r="F26" t="s">
        <v>85</v>
      </c>
      <c r="G26" t="s">
        <v>25</v>
      </c>
      <c r="H26">
        <f t="shared" si="1"/>
        <v>1</v>
      </c>
      <c r="I26" s="4">
        <v>2112649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 t="s">
        <v>522</v>
      </c>
      <c r="E27" s="33"/>
      <c r="F27" t="s">
        <v>100</v>
      </c>
      <c r="G27" t="s">
        <v>93</v>
      </c>
      <c r="H27">
        <f t="shared" si="1"/>
        <v>7</v>
      </c>
      <c r="I27" s="4">
        <v>3613000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 t="s">
        <v>1655</v>
      </c>
      <c r="E28" s="33"/>
      <c r="F28" t="s">
        <v>100</v>
      </c>
      <c r="G28" t="s">
        <v>93</v>
      </c>
      <c r="H28">
        <f t="shared" si="1"/>
        <v>9</v>
      </c>
      <c r="I28" s="4">
        <v>4632000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 t="s">
        <v>824</v>
      </c>
      <c r="E29" s="11"/>
      <c r="F29" t="s">
        <v>186</v>
      </c>
      <c r="G29" t="s">
        <v>25</v>
      </c>
      <c r="H29">
        <f t="shared" si="1"/>
        <v>6</v>
      </c>
      <c r="I29" s="4">
        <v>2934000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 t="s">
        <v>1017</v>
      </c>
      <c r="E30" s="11"/>
      <c r="F30" t="s">
        <v>201</v>
      </c>
      <c r="G30" t="s">
        <v>25</v>
      </c>
      <c r="H30">
        <f t="shared" si="1"/>
        <v>4</v>
      </c>
      <c r="I30" s="4">
        <v>2715000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 t="s">
        <v>1656</v>
      </c>
      <c r="E31" s="11"/>
      <c r="F31" t="s">
        <v>1115</v>
      </c>
      <c r="G31" t="s">
        <v>25</v>
      </c>
      <c r="H31">
        <f t="shared" si="1"/>
        <v>5</v>
      </c>
      <c r="I31" s="4">
        <v>2806907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11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11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159" priority="16" operator="containsText" text="FAIL">
      <formula>NOT(ISERROR(SEARCH("FAIL",I9)))</formula>
    </cfRule>
  </conditionalFormatting>
  <conditionalFormatting sqref="I9">
    <cfRule type="containsText" dxfId="4158" priority="15" operator="containsText" text="GOOD">
      <formula>NOT(ISERROR(SEARCH("GOOD",I9)))</formula>
    </cfRule>
  </conditionalFormatting>
  <conditionalFormatting sqref="F11">
    <cfRule type="containsText" dxfId="4157" priority="14" operator="containsText" text="FAIL">
      <formula>NOT(ISERROR(SEARCH("FAIL",F11)))</formula>
    </cfRule>
  </conditionalFormatting>
  <conditionalFormatting sqref="F11">
    <cfRule type="containsText" dxfId="4156" priority="13" operator="containsText" text="GOOD">
      <formula>NOT(ISERROR(SEARCH("GOOD",F11)))</formula>
    </cfRule>
  </conditionalFormatting>
  <conditionalFormatting sqref="D23:D25 D28:D43">
    <cfRule type="expression" dxfId="4155" priority="12">
      <formula>H23=1</formula>
    </cfRule>
  </conditionalFormatting>
  <conditionalFormatting sqref="C23:C25 C28:C43">
    <cfRule type="expression" dxfId="4154" priority="11">
      <formula>H23=1</formula>
    </cfRule>
  </conditionalFormatting>
  <conditionalFormatting sqref="E23:E25 E34:E43 E28">
    <cfRule type="expression" dxfId="4153" priority="10">
      <formula>H23=1</formula>
    </cfRule>
  </conditionalFormatting>
  <conditionalFormatting sqref="F11">
    <cfRule type="containsText" dxfId="4152" priority="9" operator="containsText" text="FAIL">
      <formula>NOT(ISERROR(SEARCH("FAIL",F11)))</formula>
    </cfRule>
  </conditionalFormatting>
  <conditionalFormatting sqref="F11">
    <cfRule type="containsText" dxfId="4151" priority="8" operator="containsText" text="GOOD">
      <formula>NOT(ISERROR(SEARCH("GOOD",F11)))</formula>
    </cfRule>
  </conditionalFormatting>
  <conditionalFormatting sqref="E29:E33">
    <cfRule type="expression" dxfId="4150" priority="7">
      <formula>I29=1</formula>
    </cfRule>
  </conditionalFormatting>
  <conditionalFormatting sqref="D27">
    <cfRule type="expression" dxfId="4149" priority="6">
      <formula>H27=1</formula>
    </cfRule>
  </conditionalFormatting>
  <conditionalFormatting sqref="C27">
    <cfRule type="expression" dxfId="4148" priority="5">
      <formula>H27=1</formula>
    </cfRule>
  </conditionalFormatting>
  <conditionalFormatting sqref="E27">
    <cfRule type="expression" dxfId="4147" priority="4">
      <formula>H27=1</formula>
    </cfRule>
  </conditionalFormatting>
  <conditionalFormatting sqref="D26">
    <cfRule type="expression" dxfId="4146" priority="3">
      <formula>H26=1</formula>
    </cfRule>
  </conditionalFormatting>
  <conditionalFormatting sqref="C26">
    <cfRule type="expression" dxfId="4145" priority="2">
      <formula>H26=1</formula>
    </cfRule>
  </conditionalFormatting>
  <conditionalFormatting sqref="E26">
    <cfRule type="expression" dxfId="4144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P55"/>
  <sheetViews>
    <sheetView zoomScaleNormal="100" workbookViewId="0">
      <selection activeCell="L29" sqref="L2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47</v>
      </c>
    </row>
    <row r="4" spans="1:16" x14ac:dyDescent="0.25">
      <c r="D4" s="2" t="s">
        <v>0</v>
      </c>
      <c r="E4" s="1"/>
      <c r="F4" t="s">
        <v>1646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1647</v>
      </c>
    </row>
    <row r="6" spans="1:16" x14ac:dyDescent="0.25">
      <c r="D6" s="2" t="s">
        <v>2</v>
      </c>
      <c r="F6" s="6">
        <v>43621</v>
      </c>
      <c r="H6" s="11"/>
    </row>
    <row r="7" spans="1:16" x14ac:dyDescent="0.25">
      <c r="D7" s="2" t="s">
        <v>3</v>
      </c>
      <c r="F7" s="5">
        <f>+I7+J7</f>
        <v>8360000</v>
      </c>
      <c r="G7" s="2" t="s">
        <v>34</v>
      </c>
      <c r="H7" s="11"/>
      <c r="I7" s="19">
        <v>4140000</v>
      </c>
      <c r="J7" s="19">
        <v>4220000</v>
      </c>
    </row>
    <row r="8" spans="1:16" x14ac:dyDescent="0.25">
      <c r="D8" s="2" t="s">
        <v>18</v>
      </c>
      <c r="F8" s="5">
        <f>MIN(K23:K42)</f>
        <v>8947585</v>
      </c>
      <c r="H8" s="11"/>
      <c r="I8" s="18" t="s">
        <v>43</v>
      </c>
      <c r="J8" s="18" t="s">
        <v>44</v>
      </c>
      <c r="P8" s="66">
        <f>+K26/K24</f>
        <v>0</v>
      </c>
    </row>
    <row r="9" spans="1:16" x14ac:dyDescent="0.25">
      <c r="D9" s="2" t="s">
        <v>19</v>
      </c>
      <c r="F9" s="4">
        <f>+F8-F7</f>
        <v>587585</v>
      </c>
      <c r="G9" s="16">
        <f>+F9/F7</f>
        <v>7.0285287081339715E-2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-2441931</v>
      </c>
      <c r="H10" s="11"/>
    </row>
    <row r="11" spans="1:16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SUM(K23:K42)/H12</f>
        <v>10801931</v>
      </c>
      <c r="G12" s="14"/>
      <c r="H12" s="11">
        <f>COUNT(K23:K42)</f>
        <v>3</v>
      </c>
      <c r="I12" s="1" t="s">
        <v>31</v>
      </c>
      <c r="J12" s="4">
        <f>+F8*0.9</f>
        <v>8052826.5</v>
      </c>
      <c r="K12" s="1" t="s">
        <v>69</v>
      </c>
    </row>
    <row r="13" spans="1:16" x14ac:dyDescent="0.25">
      <c r="D13" s="2" t="s">
        <v>29</v>
      </c>
      <c r="F13" s="4">
        <f>MAX(K23:K42)-MIN(K23:K42)</f>
        <v>4960623</v>
      </c>
      <c r="G13" s="269">
        <f>MEDIAN(K23:K42)</f>
        <v>9550000</v>
      </c>
      <c r="H13" s="270"/>
      <c r="I13" s="1" t="s">
        <v>30</v>
      </c>
      <c r="J13" s="4">
        <f>+F12*1.1</f>
        <v>11882124.100000001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6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0.28338983050847455</v>
      </c>
    </row>
    <row r="18" spans="3:15" x14ac:dyDescent="0.25">
      <c r="F18" s="4">
        <f>+F7</f>
        <v>8360000</v>
      </c>
      <c r="G18" s="1" t="s">
        <v>12</v>
      </c>
      <c r="H18" s="11"/>
      <c r="I18" t="s">
        <v>16</v>
      </c>
      <c r="J18" s="7">
        <f>+F8/F18</f>
        <v>1.0702852870813397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0.29825283333333336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665</v>
      </c>
      <c r="E23" s="33"/>
      <c r="F23" t="s">
        <v>391</v>
      </c>
      <c r="G23" t="s">
        <v>93</v>
      </c>
      <c r="H23">
        <f>RANK(K23,K$23:K$43,1)</f>
        <v>1</v>
      </c>
      <c r="I23" s="175">
        <v>3682000</v>
      </c>
      <c r="J23" s="4">
        <v>5265585</v>
      </c>
      <c r="K23" s="4">
        <f>+J23+I23</f>
        <v>8947585</v>
      </c>
      <c r="L23" s="4"/>
      <c r="M23" s="22"/>
      <c r="N23" s="22"/>
      <c r="O23" s="22"/>
    </row>
    <row r="24" spans="3:15" x14ac:dyDescent="0.25">
      <c r="C24" s="33" t="str">
        <f t="shared" ref="C24:C42" si="0">IF(H24=1,"u","")</f>
        <v/>
      </c>
      <c r="D24" s="11" t="s">
        <v>1648</v>
      </c>
      <c r="E24" s="33"/>
      <c r="F24" t="s">
        <v>302</v>
      </c>
      <c r="G24" t="s">
        <v>93</v>
      </c>
      <c r="H24">
        <f>RANK(K24,K$23:K$43,1)</f>
        <v>3</v>
      </c>
      <c r="I24" s="175">
        <v>3247500</v>
      </c>
      <c r="J24" s="4">
        <v>10660708</v>
      </c>
      <c r="K24" s="4">
        <f>+J24+I24</f>
        <v>13908208</v>
      </c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1011</v>
      </c>
      <c r="E25" s="33"/>
      <c r="F25" t="s">
        <v>159</v>
      </c>
      <c r="G25" t="s">
        <v>93</v>
      </c>
      <c r="H25">
        <f>RANK(K25,K$23:K$43,1)</f>
        <v>2</v>
      </c>
      <c r="I25" s="175">
        <v>3787500</v>
      </c>
      <c r="J25" s="4">
        <v>5762500</v>
      </c>
      <c r="K25" s="4">
        <f>+J25+I25</f>
        <v>9550000</v>
      </c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/>
      <c r="E26" s="33"/>
      <c r="I26" s="175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175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M32" s="21"/>
      <c r="N32" s="21"/>
      <c r="O32" s="21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>IF(H38=1,"t","")</f>
        <v/>
      </c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ht="6" customHeight="1" x14ac:dyDescent="0.25">
      <c r="C43" s="9"/>
      <c r="D43" s="9"/>
      <c r="E43" s="9"/>
      <c r="F43" s="9"/>
      <c r="G43" s="9"/>
      <c r="H43" s="9"/>
      <c r="I43" s="9"/>
      <c r="J43" s="9"/>
      <c r="K43" s="9"/>
      <c r="L43" s="9"/>
      <c r="M43" s="21"/>
      <c r="N43" s="21"/>
      <c r="O43" s="21"/>
    </row>
    <row r="44" spans="3:15" ht="6" customHeight="1" x14ac:dyDescent="0.25">
      <c r="M44" s="21"/>
      <c r="N44" s="21"/>
      <c r="O44" s="21"/>
    </row>
    <row r="45" spans="3:15" x14ac:dyDescent="0.25">
      <c r="C45" s="15" t="s">
        <v>79</v>
      </c>
      <c r="M45" s="21"/>
      <c r="N45" s="21"/>
      <c r="O45" s="21"/>
    </row>
    <row r="46" spans="3:15" x14ac:dyDescent="0.25">
      <c r="C46" s="15" t="s">
        <v>78</v>
      </c>
    </row>
    <row r="48" spans="3:15" x14ac:dyDescent="0.25">
      <c r="C48" s="31" t="s">
        <v>948</v>
      </c>
      <c r="D48" s="31"/>
      <c r="H48" t="s">
        <v>949</v>
      </c>
      <c r="I48" t="s">
        <v>784</v>
      </c>
      <c r="J48" s="6">
        <v>42802</v>
      </c>
    </row>
    <row r="49" spans="4:4" ht="6" customHeight="1" x14ac:dyDescent="0.25"/>
    <row r="50" spans="4:4" x14ac:dyDescent="0.25">
      <c r="D50" s="93" t="s">
        <v>950</v>
      </c>
    </row>
    <row r="51" spans="4:4" x14ac:dyDescent="0.25">
      <c r="D51" s="93" t="s">
        <v>951</v>
      </c>
    </row>
    <row r="52" spans="4:4" x14ac:dyDescent="0.25">
      <c r="D52" s="93" t="s">
        <v>952</v>
      </c>
    </row>
    <row r="53" spans="4:4" x14ac:dyDescent="0.25">
      <c r="D53" s="93" t="s">
        <v>953</v>
      </c>
    </row>
    <row r="54" spans="4:4" x14ac:dyDescent="0.25">
      <c r="D54" s="93" t="s">
        <v>954</v>
      </c>
    </row>
    <row r="55" spans="4:4" x14ac:dyDescent="0.25">
      <c r="D55" s="93" t="s">
        <v>955</v>
      </c>
    </row>
  </sheetData>
  <mergeCells count="1">
    <mergeCell ref="G13:H13"/>
  </mergeCells>
  <conditionalFormatting sqref="I9">
    <cfRule type="containsText" dxfId="4143" priority="30" operator="containsText" text="FAIL">
      <formula>NOT(ISERROR(SEARCH("FAIL",I9)))</formula>
    </cfRule>
  </conditionalFormatting>
  <conditionalFormatting sqref="I9">
    <cfRule type="containsText" dxfId="4142" priority="29" operator="containsText" text="GOOD">
      <formula>NOT(ISERROR(SEARCH("GOOD",I9)))</formula>
    </cfRule>
  </conditionalFormatting>
  <conditionalFormatting sqref="I9">
    <cfRule type="containsText" dxfId="4141" priority="28" operator="containsText" text="FAIL">
      <formula>NOT(ISERROR(SEARCH("FAIL",I9)))</formula>
    </cfRule>
  </conditionalFormatting>
  <conditionalFormatting sqref="I9">
    <cfRule type="containsText" dxfId="4140" priority="27" operator="containsText" text="GOOD">
      <formula>NOT(ISERROR(SEARCH("GOOD",I9)))</formula>
    </cfRule>
  </conditionalFormatting>
  <conditionalFormatting sqref="I9">
    <cfRule type="containsText" dxfId="4139" priority="26" operator="containsText" text="FAIL">
      <formula>NOT(ISERROR(SEARCH("FAIL",I9)))</formula>
    </cfRule>
  </conditionalFormatting>
  <conditionalFormatting sqref="I9">
    <cfRule type="containsText" dxfId="4138" priority="25" operator="containsText" text="GOOD">
      <formula>NOT(ISERROR(SEARCH("GOOD",I9)))</formula>
    </cfRule>
  </conditionalFormatting>
  <conditionalFormatting sqref="F11">
    <cfRule type="containsText" dxfId="4137" priority="24" operator="containsText" text="FAIL">
      <formula>NOT(ISERROR(SEARCH("FAIL",F11)))</formula>
    </cfRule>
  </conditionalFormatting>
  <conditionalFormatting sqref="F11">
    <cfRule type="containsText" dxfId="4136" priority="23" operator="containsText" text="GOOD">
      <formula>NOT(ISERROR(SEARCH("GOOD",F11)))</formula>
    </cfRule>
  </conditionalFormatting>
  <conditionalFormatting sqref="I9">
    <cfRule type="containsText" dxfId="4135" priority="22" operator="containsText" text="FAIL">
      <formula>NOT(ISERROR(SEARCH("FAIL",I9)))</formula>
    </cfRule>
  </conditionalFormatting>
  <conditionalFormatting sqref="I9">
    <cfRule type="containsText" dxfId="4134" priority="21" operator="containsText" text="GOOD">
      <formula>NOT(ISERROR(SEARCH("GOOD",I9)))</formula>
    </cfRule>
  </conditionalFormatting>
  <conditionalFormatting sqref="F11">
    <cfRule type="containsText" dxfId="4133" priority="20" operator="containsText" text="FAIL">
      <formula>NOT(ISERROR(SEARCH("FAIL",F11)))</formula>
    </cfRule>
  </conditionalFormatting>
  <conditionalFormatting sqref="F11">
    <cfRule type="containsText" dxfId="4132" priority="19" operator="containsText" text="GOOD">
      <formula>NOT(ISERROR(SEARCH("GOOD",F11)))</formula>
    </cfRule>
  </conditionalFormatting>
  <conditionalFormatting sqref="D38:D42 D29:D32">
    <cfRule type="expression" dxfId="4131" priority="18">
      <formula>H29=1</formula>
    </cfRule>
  </conditionalFormatting>
  <conditionalFormatting sqref="C38:C42 C29:C32">
    <cfRule type="expression" dxfId="4130" priority="17">
      <formula>H29=1</formula>
    </cfRule>
  </conditionalFormatting>
  <conditionalFormatting sqref="E38:E42 E29:E32">
    <cfRule type="expression" dxfId="4129" priority="16">
      <formula>H29=1</formula>
    </cfRule>
  </conditionalFormatting>
  <conditionalFormatting sqref="E38:E42 E30:E32">
    <cfRule type="expression" dxfId="4128" priority="15">
      <formula>H30=1</formula>
    </cfRule>
  </conditionalFormatting>
  <conditionalFormatting sqref="F11">
    <cfRule type="containsText" dxfId="4127" priority="14" operator="containsText" text="FAIL">
      <formula>NOT(ISERROR(SEARCH("FAIL",F11)))</formula>
    </cfRule>
  </conditionalFormatting>
  <conditionalFormatting sqref="F11">
    <cfRule type="containsText" dxfId="4126" priority="13" operator="containsText" text="GOOD">
      <formula>NOT(ISERROR(SEARCH("GOOD",F11)))</formula>
    </cfRule>
  </conditionalFormatting>
  <conditionalFormatting sqref="D33:D36">
    <cfRule type="expression" dxfId="4125" priority="12">
      <formula>H33=1</formula>
    </cfRule>
  </conditionalFormatting>
  <conditionalFormatting sqref="C33:C36">
    <cfRule type="expression" dxfId="4124" priority="11">
      <formula>H33=1</formula>
    </cfRule>
  </conditionalFormatting>
  <conditionalFormatting sqref="E33:E36">
    <cfRule type="expression" dxfId="4123" priority="10">
      <formula>H33=1</formula>
    </cfRule>
  </conditionalFormatting>
  <conditionalFormatting sqref="E33:E36">
    <cfRule type="expression" dxfId="4122" priority="9">
      <formula>H33=1</formula>
    </cfRule>
  </conditionalFormatting>
  <conditionalFormatting sqref="D37">
    <cfRule type="expression" dxfId="4121" priority="8">
      <formula>H37=1</formula>
    </cfRule>
  </conditionalFormatting>
  <conditionalFormatting sqref="C37">
    <cfRule type="expression" dxfId="4120" priority="7">
      <formula>H37=1</formula>
    </cfRule>
  </conditionalFormatting>
  <conditionalFormatting sqref="E37">
    <cfRule type="expression" dxfId="4119" priority="6">
      <formula>H37=1</formula>
    </cfRule>
  </conditionalFormatting>
  <conditionalFormatting sqref="E37">
    <cfRule type="expression" dxfId="4118" priority="5">
      <formula>H37=1</formula>
    </cfRule>
  </conditionalFormatting>
  <conditionalFormatting sqref="C23:C28">
    <cfRule type="expression" dxfId="4117" priority="4">
      <formula>H23=1</formula>
    </cfRule>
  </conditionalFormatting>
  <conditionalFormatting sqref="D23:D28">
    <cfRule type="expression" dxfId="4116" priority="3">
      <formula>H23=1</formula>
    </cfRule>
  </conditionalFormatting>
  <conditionalFormatting sqref="E23:E28">
    <cfRule type="expression" dxfId="4115" priority="2">
      <formula>H23=1</formula>
    </cfRule>
  </conditionalFormatting>
  <conditionalFormatting sqref="E23:E28">
    <cfRule type="expression" dxfId="4114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P47"/>
  <sheetViews>
    <sheetView zoomScaleNormal="100" workbookViewId="0">
      <selection activeCell="N23" sqref="N2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1631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1632</v>
      </c>
    </row>
    <row r="6" spans="1:16" x14ac:dyDescent="0.25">
      <c r="D6" s="2" t="s">
        <v>2</v>
      </c>
      <c r="F6" s="6">
        <v>43593</v>
      </c>
      <c r="H6" s="11"/>
    </row>
    <row r="7" spans="1:16" x14ac:dyDescent="0.25">
      <c r="D7" s="2" t="s">
        <v>3</v>
      </c>
      <c r="F7" s="5">
        <v>18800000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14551682</v>
      </c>
      <c r="H8" s="11"/>
    </row>
    <row r="9" spans="1:16" x14ac:dyDescent="0.25">
      <c r="D9" s="2" t="s">
        <v>67</v>
      </c>
      <c r="F9" s="4">
        <f>+F8-F7</f>
        <v>-4248318</v>
      </c>
      <c r="G9" s="16">
        <f>+F9/F7</f>
        <v>-0.22597436170212765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1462188.8181818165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17337811.181818184</v>
      </c>
      <c r="G12" s="14"/>
      <c r="H12" s="11">
        <f>COUNT(I23:I43)</f>
        <v>11</v>
      </c>
      <c r="I12" s="1" t="s">
        <v>31</v>
      </c>
      <c r="J12" s="4">
        <f>+F8*0.9</f>
        <v>13096513.800000001</v>
      </c>
      <c r="K12" s="1" t="s">
        <v>69</v>
      </c>
    </row>
    <row r="13" spans="1:16" x14ac:dyDescent="0.25">
      <c r="D13" s="2" t="s">
        <v>29</v>
      </c>
      <c r="F13" s="4">
        <f>MAX(I23:I43)-MIN(I23:I43)</f>
        <v>6927318</v>
      </c>
      <c r="G13" s="269">
        <f>MEDIAN(I23:I43)</f>
        <v>17287000</v>
      </c>
      <c r="H13" s="270"/>
      <c r="I13" s="1" t="s">
        <v>30</v>
      </c>
      <c r="J13" s="4">
        <f>+F12*1.1</f>
        <v>19071592.300000004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505</v>
      </c>
      <c r="E23" s="33"/>
      <c r="F23" t="s">
        <v>289</v>
      </c>
      <c r="G23" t="s">
        <v>93</v>
      </c>
      <c r="H23">
        <f>RANK(I23,I$23:I$43,1)</f>
        <v>4</v>
      </c>
      <c r="I23" s="4">
        <v>15711000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0">IF(H24=1,"u","")</f>
        <v/>
      </c>
      <c r="D24" s="11" t="s">
        <v>738</v>
      </c>
      <c r="E24" s="33"/>
      <c r="F24" t="s">
        <v>739</v>
      </c>
      <c r="G24" t="s">
        <v>93</v>
      </c>
      <c r="H24">
        <f t="shared" ref="H24:H29" si="1">RANK(I24,I$23:I$43,1)</f>
        <v>11</v>
      </c>
      <c r="I24" s="4">
        <v>21479000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561</v>
      </c>
      <c r="E25" s="33"/>
      <c r="F25" t="s">
        <v>215</v>
      </c>
      <c r="G25" t="s">
        <v>25</v>
      </c>
      <c r="H25">
        <f t="shared" si="1"/>
        <v>10</v>
      </c>
      <c r="I25" s="4">
        <v>20414757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 t="s">
        <v>1120</v>
      </c>
      <c r="E26" s="33"/>
      <c r="F26" t="s">
        <v>1121</v>
      </c>
      <c r="G26" t="s">
        <v>25</v>
      </c>
      <c r="H26">
        <f t="shared" si="1"/>
        <v>2</v>
      </c>
      <c r="I26" s="4">
        <v>14587499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 t="s">
        <v>1244</v>
      </c>
      <c r="E27" s="33"/>
      <c r="F27" t="s">
        <v>92</v>
      </c>
      <c r="G27" t="s">
        <v>93</v>
      </c>
      <c r="H27">
        <f t="shared" si="1"/>
        <v>7</v>
      </c>
      <c r="I27" s="4">
        <v>17991060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>u</v>
      </c>
      <c r="D28" s="11" t="s">
        <v>1401</v>
      </c>
      <c r="E28" s="33"/>
      <c r="F28" t="s">
        <v>685</v>
      </c>
      <c r="G28" t="s">
        <v>25</v>
      </c>
      <c r="H28">
        <f t="shared" si="1"/>
        <v>1</v>
      </c>
      <c r="I28" s="4">
        <v>14551682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 t="s">
        <v>554</v>
      </c>
      <c r="E29" s="11"/>
      <c r="F29" t="s">
        <v>397</v>
      </c>
      <c r="G29" t="s">
        <v>25</v>
      </c>
      <c r="H29">
        <f t="shared" si="1"/>
        <v>6</v>
      </c>
      <c r="I29" s="4">
        <v>17287000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 t="s">
        <v>485</v>
      </c>
      <c r="E30" s="11"/>
      <c r="F30" t="s">
        <v>486</v>
      </c>
      <c r="G30" t="s">
        <v>25</v>
      </c>
      <c r="H30">
        <f>RANK(I30,I$23:I$43,1)</f>
        <v>3</v>
      </c>
      <c r="I30" s="4">
        <v>14932629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 t="s">
        <v>1122</v>
      </c>
      <c r="E31" s="11"/>
      <c r="F31" t="s">
        <v>558</v>
      </c>
      <c r="G31" t="s">
        <v>25</v>
      </c>
      <c r="H31">
        <f>RANK(I31,I$23:I$43,1)</f>
        <v>8</v>
      </c>
      <c r="I31" s="4">
        <v>18225570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 t="s">
        <v>907</v>
      </c>
      <c r="E32" s="11"/>
      <c r="F32" t="s">
        <v>312</v>
      </c>
      <c r="G32" t="s">
        <v>25</v>
      </c>
      <c r="H32">
        <f>RANK(I32,I$23:I$43,1)</f>
        <v>9</v>
      </c>
      <c r="I32" s="4">
        <v>18698890</v>
      </c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 t="s">
        <v>1133</v>
      </c>
      <c r="E33" s="11"/>
      <c r="F33" t="s">
        <v>1134</v>
      </c>
      <c r="G33" t="s">
        <v>25</v>
      </c>
      <c r="H33">
        <f>RANK(I33,I$23:I$43,1)</f>
        <v>5</v>
      </c>
      <c r="I33" s="4">
        <v>16836836</v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113" priority="16" operator="containsText" text="FAIL">
      <formula>NOT(ISERROR(SEARCH("FAIL",I9)))</formula>
    </cfRule>
  </conditionalFormatting>
  <conditionalFormatting sqref="I9">
    <cfRule type="containsText" dxfId="4112" priority="15" operator="containsText" text="GOOD">
      <formula>NOT(ISERROR(SEARCH("GOOD",I9)))</formula>
    </cfRule>
  </conditionalFormatting>
  <conditionalFormatting sqref="F11">
    <cfRule type="containsText" dxfId="4111" priority="14" operator="containsText" text="FAIL">
      <formula>NOT(ISERROR(SEARCH("FAIL",F11)))</formula>
    </cfRule>
  </conditionalFormatting>
  <conditionalFormatting sqref="F11">
    <cfRule type="containsText" dxfId="4110" priority="13" operator="containsText" text="GOOD">
      <formula>NOT(ISERROR(SEARCH("GOOD",F11)))</formula>
    </cfRule>
  </conditionalFormatting>
  <conditionalFormatting sqref="D23:D25 D28:D43">
    <cfRule type="expression" dxfId="4109" priority="12">
      <formula>H23=1</formula>
    </cfRule>
  </conditionalFormatting>
  <conditionalFormatting sqref="C23:C25 C28:C43">
    <cfRule type="expression" dxfId="4108" priority="11">
      <formula>H23=1</formula>
    </cfRule>
  </conditionalFormatting>
  <conditionalFormatting sqref="E23:E25 E34:E43 E28">
    <cfRule type="expression" dxfId="4107" priority="10">
      <formula>H23=1</formula>
    </cfRule>
  </conditionalFormatting>
  <conditionalFormatting sqref="F11">
    <cfRule type="containsText" dxfId="4106" priority="9" operator="containsText" text="FAIL">
      <formula>NOT(ISERROR(SEARCH("FAIL",F11)))</formula>
    </cfRule>
  </conditionalFormatting>
  <conditionalFormatting sqref="F11">
    <cfRule type="containsText" dxfId="4105" priority="8" operator="containsText" text="GOOD">
      <formula>NOT(ISERROR(SEARCH("GOOD",F11)))</formula>
    </cfRule>
  </conditionalFormatting>
  <conditionalFormatting sqref="E29:E33">
    <cfRule type="expression" dxfId="4104" priority="7">
      <formula>I29=1</formula>
    </cfRule>
  </conditionalFormatting>
  <conditionalFormatting sqref="D27">
    <cfRule type="expression" dxfId="4103" priority="6">
      <formula>H27=1</formula>
    </cfRule>
  </conditionalFormatting>
  <conditionalFormatting sqref="C27">
    <cfRule type="expression" dxfId="4102" priority="5">
      <formula>H27=1</formula>
    </cfRule>
  </conditionalFormatting>
  <conditionalFormatting sqref="E27">
    <cfRule type="expression" dxfId="4101" priority="4">
      <formula>H27=1</formula>
    </cfRule>
  </conditionalFormatting>
  <conditionalFormatting sqref="D26">
    <cfRule type="expression" dxfId="4100" priority="3">
      <formula>H26=1</formula>
    </cfRule>
  </conditionalFormatting>
  <conditionalFormatting sqref="C26">
    <cfRule type="expression" dxfId="4099" priority="2">
      <formula>H26=1</formula>
    </cfRule>
  </conditionalFormatting>
  <conditionalFormatting sqref="E26">
    <cfRule type="expression" dxfId="4098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P55"/>
  <sheetViews>
    <sheetView zoomScaleNormal="100" workbookViewId="0">
      <selection activeCell="F7" sqref="F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47</v>
      </c>
    </row>
    <row r="4" spans="1:16" x14ac:dyDescent="0.25">
      <c r="D4" s="2" t="s">
        <v>0</v>
      </c>
      <c r="E4" s="1"/>
      <c r="F4" t="s">
        <v>1630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1629</v>
      </c>
    </row>
    <row r="6" spans="1:16" x14ac:dyDescent="0.25">
      <c r="D6" s="2" t="s">
        <v>2</v>
      </c>
      <c r="F6" s="6">
        <v>43587</v>
      </c>
      <c r="H6" s="11"/>
    </row>
    <row r="7" spans="1:16" x14ac:dyDescent="0.25">
      <c r="D7" s="2" t="s">
        <v>3</v>
      </c>
      <c r="F7" s="5">
        <f>+I7+J7</f>
        <v>38200000</v>
      </c>
      <c r="G7" s="2" t="s">
        <v>190</v>
      </c>
      <c r="H7" s="11"/>
      <c r="I7" s="19">
        <v>2209000</v>
      </c>
      <c r="J7" s="19">
        <v>35991000</v>
      </c>
    </row>
    <row r="8" spans="1:16" x14ac:dyDescent="0.25">
      <c r="D8" s="2" t="s">
        <v>18</v>
      </c>
      <c r="F8" s="5">
        <f>MIN(K23:K42)</f>
        <v>40811000</v>
      </c>
      <c r="H8" s="11"/>
      <c r="I8" s="18" t="s">
        <v>43</v>
      </c>
      <c r="J8" s="18" t="s">
        <v>44</v>
      </c>
      <c r="P8" s="66">
        <f>+K26/K24</f>
        <v>0.97754874456445506</v>
      </c>
    </row>
    <row r="9" spans="1:16" x14ac:dyDescent="0.25">
      <c r="D9" s="2" t="s">
        <v>19</v>
      </c>
      <c r="F9" s="4">
        <f>+F8-F7</f>
        <v>2611000</v>
      </c>
      <c r="G9" s="16">
        <f>+F9/F7</f>
        <v>6.8350785340314135E-2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-4601714</v>
      </c>
      <c r="H10" s="11"/>
    </row>
    <row r="11" spans="1:16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SUM(K23:K42)/H12</f>
        <v>42801714</v>
      </c>
      <c r="G12" s="14"/>
      <c r="H12" s="11">
        <f>COUNT(K23:K42)</f>
        <v>5</v>
      </c>
      <c r="I12" s="1" t="s">
        <v>31</v>
      </c>
      <c r="J12" s="4">
        <f>+F8*0.9</f>
        <v>36729900</v>
      </c>
      <c r="K12" s="1" t="s">
        <v>69</v>
      </c>
    </row>
    <row r="13" spans="1:16" x14ac:dyDescent="0.25">
      <c r="D13" s="2" t="s">
        <v>29</v>
      </c>
      <c r="F13" s="4">
        <f>MAX(K23:K42)-MIN(K23:K42)</f>
        <v>4631000</v>
      </c>
      <c r="G13" s="269">
        <f>MEDIAN(K23:K42)</f>
        <v>42774000</v>
      </c>
      <c r="H13" s="270"/>
      <c r="I13" s="1" t="s">
        <v>30</v>
      </c>
      <c r="J13" s="4">
        <f>+F12*1.1</f>
        <v>47081885.400000006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6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1.2949152542372881</v>
      </c>
    </row>
    <row r="18" spans="3:15" x14ac:dyDescent="0.25">
      <c r="F18" s="4">
        <f>+F7</f>
        <v>38200000</v>
      </c>
      <c r="G18" s="1" t="s">
        <v>12</v>
      </c>
      <c r="H18" s="11"/>
      <c r="I18" t="s">
        <v>16</v>
      </c>
      <c r="J18" s="7">
        <f>+F8/F18</f>
        <v>1.0683507853403142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1.3603666666666667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505</v>
      </c>
      <c r="E23" s="33"/>
      <c r="F23" t="s">
        <v>289</v>
      </c>
      <c r="G23" t="s">
        <v>93</v>
      </c>
      <c r="H23">
        <f>RANK(K23,K$23:K$43,1)</f>
        <v>1</v>
      </c>
      <c r="I23" s="175">
        <v>1445000</v>
      </c>
      <c r="J23" s="4">
        <v>39366000</v>
      </c>
      <c r="K23" s="4">
        <f>+J23+I23</f>
        <v>40811000</v>
      </c>
      <c r="L23" s="4"/>
      <c r="M23" s="22"/>
      <c r="N23" s="22"/>
      <c r="O23" s="22"/>
    </row>
    <row r="24" spans="3:15" x14ac:dyDescent="0.25">
      <c r="C24" s="33" t="str">
        <f t="shared" ref="C24:C42" si="0">IF(H24=1,"u","")</f>
        <v/>
      </c>
      <c r="D24" s="11" t="s">
        <v>1623</v>
      </c>
      <c r="E24" s="33"/>
      <c r="F24" t="s">
        <v>1624</v>
      </c>
      <c r="G24" t="s">
        <v>93</v>
      </c>
      <c r="H24">
        <f>RANK(K24,K$23:K$43,1)</f>
        <v>3</v>
      </c>
      <c r="I24" s="175">
        <v>1165000</v>
      </c>
      <c r="J24" s="4">
        <v>41609000</v>
      </c>
      <c r="K24" s="4">
        <f>+J24+I24</f>
        <v>42774000</v>
      </c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502</v>
      </c>
      <c r="E25" s="33"/>
      <c r="F25" t="s">
        <v>95</v>
      </c>
      <c r="G25" t="s">
        <v>93</v>
      </c>
      <c r="H25">
        <f>RANK(K25,K$23:K$43,1)</f>
        <v>4</v>
      </c>
      <c r="I25" s="175">
        <v>1993800</v>
      </c>
      <c r="J25" s="4">
        <v>41174100</v>
      </c>
      <c r="K25" s="4">
        <f>+J25+I25</f>
        <v>43167900</v>
      </c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 t="s">
        <v>1627</v>
      </c>
      <c r="E26" s="33"/>
      <c r="F26" t="s">
        <v>193</v>
      </c>
      <c r="G26" t="s">
        <v>25</v>
      </c>
      <c r="H26">
        <f>RANK(K26,K$23:K$43,1)</f>
        <v>2</v>
      </c>
      <c r="I26" s="175">
        <v>2424513</v>
      </c>
      <c r="J26" s="4">
        <v>39389157</v>
      </c>
      <c r="K26" s="4">
        <f>+J26+I26</f>
        <v>41813670</v>
      </c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 t="s">
        <v>496</v>
      </c>
      <c r="E27" s="33"/>
      <c r="F27" t="s">
        <v>295</v>
      </c>
      <c r="G27" t="s">
        <v>25</v>
      </c>
      <c r="H27">
        <f>RANK(K27,K$23:K$43,1)</f>
        <v>5</v>
      </c>
      <c r="I27" s="175">
        <v>2965000</v>
      </c>
      <c r="J27" s="4">
        <v>42477000</v>
      </c>
      <c r="K27" s="4">
        <f>+J27+I27</f>
        <v>45442000</v>
      </c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M32" s="21"/>
      <c r="N32" s="21"/>
      <c r="O32" s="21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>IF(H38=1,"t","")</f>
        <v/>
      </c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ht="6" customHeight="1" x14ac:dyDescent="0.25">
      <c r="C43" s="9"/>
      <c r="D43" s="9"/>
      <c r="E43" s="9"/>
      <c r="F43" s="9"/>
      <c r="G43" s="9"/>
      <c r="H43" s="9"/>
      <c r="I43" s="9"/>
      <c r="J43" s="9"/>
      <c r="K43" s="9"/>
      <c r="L43" s="9"/>
      <c r="M43" s="21"/>
      <c r="N43" s="21"/>
      <c r="O43" s="21"/>
    </row>
    <row r="44" spans="3:15" ht="6" customHeight="1" x14ac:dyDescent="0.25">
      <c r="M44" s="21"/>
      <c r="N44" s="21"/>
      <c r="O44" s="21"/>
    </row>
    <row r="45" spans="3:15" x14ac:dyDescent="0.25">
      <c r="C45" s="15" t="s">
        <v>79</v>
      </c>
      <c r="M45" s="21"/>
      <c r="N45" s="21"/>
      <c r="O45" s="21"/>
    </row>
    <row r="46" spans="3:15" x14ac:dyDescent="0.25">
      <c r="C46" s="15" t="s">
        <v>78</v>
      </c>
    </row>
    <row r="48" spans="3:15" x14ac:dyDescent="0.25">
      <c r="C48" s="31" t="s">
        <v>948</v>
      </c>
      <c r="D48" s="31"/>
      <c r="H48" t="s">
        <v>949</v>
      </c>
      <c r="I48" t="s">
        <v>784</v>
      </c>
      <c r="J48" s="6">
        <v>42802</v>
      </c>
    </row>
    <row r="49" spans="4:4" ht="6" customHeight="1" x14ac:dyDescent="0.25"/>
    <row r="50" spans="4:4" x14ac:dyDescent="0.25">
      <c r="D50" s="93" t="s">
        <v>950</v>
      </c>
    </row>
    <row r="51" spans="4:4" x14ac:dyDescent="0.25">
      <c r="D51" s="93" t="s">
        <v>951</v>
      </c>
    </row>
    <row r="52" spans="4:4" x14ac:dyDescent="0.25">
      <c r="D52" s="93" t="s">
        <v>952</v>
      </c>
    </row>
    <row r="53" spans="4:4" x14ac:dyDescent="0.25">
      <c r="D53" s="93" t="s">
        <v>953</v>
      </c>
    </row>
    <row r="54" spans="4:4" x14ac:dyDescent="0.25">
      <c r="D54" s="93" t="s">
        <v>954</v>
      </c>
    </row>
    <row r="55" spans="4:4" x14ac:dyDescent="0.25">
      <c r="D55" s="93" t="s">
        <v>955</v>
      </c>
    </row>
  </sheetData>
  <mergeCells count="1">
    <mergeCell ref="G13:H13"/>
  </mergeCells>
  <conditionalFormatting sqref="I9">
    <cfRule type="containsText" dxfId="4097" priority="38" operator="containsText" text="FAIL">
      <formula>NOT(ISERROR(SEARCH("FAIL",I9)))</formula>
    </cfRule>
  </conditionalFormatting>
  <conditionalFormatting sqref="I9">
    <cfRule type="containsText" dxfId="4096" priority="37" operator="containsText" text="GOOD">
      <formula>NOT(ISERROR(SEARCH("GOOD",I9)))</formula>
    </cfRule>
  </conditionalFormatting>
  <conditionalFormatting sqref="I9">
    <cfRule type="containsText" dxfId="4095" priority="36" operator="containsText" text="FAIL">
      <formula>NOT(ISERROR(SEARCH("FAIL",I9)))</formula>
    </cfRule>
  </conditionalFormatting>
  <conditionalFormatting sqref="I9">
    <cfRule type="containsText" dxfId="4094" priority="35" operator="containsText" text="GOOD">
      <formula>NOT(ISERROR(SEARCH("GOOD",I9)))</formula>
    </cfRule>
  </conditionalFormatting>
  <conditionalFormatting sqref="I9">
    <cfRule type="containsText" dxfId="4093" priority="34" operator="containsText" text="FAIL">
      <formula>NOT(ISERROR(SEARCH("FAIL",I9)))</formula>
    </cfRule>
  </conditionalFormatting>
  <conditionalFormatting sqref="I9">
    <cfRule type="containsText" dxfId="4092" priority="33" operator="containsText" text="GOOD">
      <formula>NOT(ISERROR(SEARCH("GOOD",I9)))</formula>
    </cfRule>
  </conditionalFormatting>
  <conditionalFormatting sqref="F11">
    <cfRule type="containsText" dxfId="4091" priority="32" operator="containsText" text="FAIL">
      <formula>NOT(ISERROR(SEARCH("FAIL",F11)))</formula>
    </cfRule>
  </conditionalFormatting>
  <conditionalFormatting sqref="F11">
    <cfRule type="containsText" dxfId="4090" priority="31" operator="containsText" text="GOOD">
      <formula>NOT(ISERROR(SEARCH("GOOD",F11)))</formula>
    </cfRule>
  </conditionalFormatting>
  <conditionalFormatting sqref="I9">
    <cfRule type="containsText" dxfId="4089" priority="30" operator="containsText" text="FAIL">
      <formula>NOT(ISERROR(SEARCH("FAIL",I9)))</formula>
    </cfRule>
  </conditionalFormatting>
  <conditionalFormatting sqref="I9">
    <cfRule type="containsText" dxfId="4088" priority="29" operator="containsText" text="GOOD">
      <formula>NOT(ISERROR(SEARCH("GOOD",I9)))</formula>
    </cfRule>
  </conditionalFormatting>
  <conditionalFormatting sqref="F11">
    <cfRule type="containsText" dxfId="4087" priority="28" operator="containsText" text="FAIL">
      <formula>NOT(ISERROR(SEARCH("FAIL",F11)))</formula>
    </cfRule>
  </conditionalFormatting>
  <conditionalFormatting sqref="F11">
    <cfRule type="containsText" dxfId="4086" priority="27" operator="containsText" text="GOOD">
      <formula>NOT(ISERROR(SEARCH("GOOD",F11)))</formula>
    </cfRule>
  </conditionalFormatting>
  <conditionalFormatting sqref="D38:D42 D29:D32">
    <cfRule type="expression" dxfId="4085" priority="26">
      <formula>H29=1</formula>
    </cfRule>
  </conditionalFormatting>
  <conditionalFormatting sqref="C38:C42 C29:C32">
    <cfRule type="expression" dxfId="4084" priority="25">
      <formula>H29=1</formula>
    </cfRule>
  </conditionalFormatting>
  <conditionalFormatting sqref="E38:E42 E29:E32">
    <cfRule type="expression" dxfId="4083" priority="24">
      <formula>H29=1</formula>
    </cfRule>
  </conditionalFormatting>
  <conditionalFormatting sqref="E38:E42 E30:E32">
    <cfRule type="expression" dxfId="4082" priority="23">
      <formula>H30=1</formula>
    </cfRule>
  </conditionalFormatting>
  <conditionalFormatting sqref="F11">
    <cfRule type="containsText" dxfId="4081" priority="22" operator="containsText" text="FAIL">
      <formula>NOT(ISERROR(SEARCH("FAIL",F11)))</formula>
    </cfRule>
  </conditionalFormatting>
  <conditionalFormatting sqref="F11">
    <cfRule type="containsText" dxfId="4080" priority="21" operator="containsText" text="GOOD">
      <formula>NOT(ISERROR(SEARCH("GOOD",F11)))</formula>
    </cfRule>
  </conditionalFormatting>
  <conditionalFormatting sqref="D33:D36">
    <cfRule type="expression" dxfId="4079" priority="20">
      <formula>H33=1</formula>
    </cfRule>
  </conditionalFormatting>
  <conditionalFormatting sqref="C33:C36">
    <cfRule type="expression" dxfId="4078" priority="19">
      <formula>H33=1</formula>
    </cfRule>
  </conditionalFormatting>
  <conditionalFormatting sqref="E33:E36">
    <cfRule type="expression" dxfId="4077" priority="18">
      <formula>H33=1</formula>
    </cfRule>
  </conditionalFormatting>
  <conditionalFormatting sqref="E33:E36">
    <cfRule type="expression" dxfId="4076" priority="17">
      <formula>H33=1</formula>
    </cfRule>
  </conditionalFormatting>
  <conditionalFormatting sqref="D37">
    <cfRule type="expression" dxfId="4075" priority="16">
      <formula>H37=1</formula>
    </cfRule>
  </conditionalFormatting>
  <conditionalFormatting sqref="C37">
    <cfRule type="expression" dxfId="4074" priority="15">
      <formula>H37=1</formula>
    </cfRule>
  </conditionalFormatting>
  <conditionalFormatting sqref="E37">
    <cfRule type="expression" dxfId="4073" priority="14">
      <formula>H37=1</formula>
    </cfRule>
  </conditionalFormatting>
  <conditionalFormatting sqref="E37">
    <cfRule type="expression" dxfId="4072" priority="13">
      <formula>H37=1</formula>
    </cfRule>
  </conditionalFormatting>
  <conditionalFormatting sqref="C23:C28">
    <cfRule type="expression" dxfId="4071" priority="4">
      <formula>H23=1</formula>
    </cfRule>
  </conditionalFormatting>
  <conditionalFormatting sqref="D23:D28">
    <cfRule type="expression" dxfId="4070" priority="3">
      <formula>H23=1</formula>
    </cfRule>
  </conditionalFormatting>
  <conditionalFormatting sqref="E23:E28">
    <cfRule type="expression" dxfId="4069" priority="2">
      <formula>H23=1</formula>
    </cfRule>
  </conditionalFormatting>
  <conditionalFormatting sqref="E23:E28">
    <cfRule type="expression" dxfId="4068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P47"/>
  <sheetViews>
    <sheetView zoomScaleNormal="100" workbookViewId="0">
      <selection activeCell="M15" sqref="M1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1622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1628</v>
      </c>
    </row>
    <row r="6" spans="1:16" x14ac:dyDescent="0.25">
      <c r="D6" s="2" t="s">
        <v>2</v>
      </c>
      <c r="F6" s="6">
        <v>43586</v>
      </c>
      <c r="H6" s="11"/>
    </row>
    <row r="7" spans="1:16" x14ac:dyDescent="0.25">
      <c r="D7" s="2" t="s">
        <v>3</v>
      </c>
      <c r="F7" s="5">
        <v>44840000</v>
      </c>
      <c r="G7" s="2" t="s">
        <v>190</v>
      </c>
      <c r="H7" s="11"/>
    </row>
    <row r="8" spans="1:16" x14ac:dyDescent="0.25">
      <c r="D8" s="2" t="s">
        <v>18</v>
      </c>
      <c r="F8" s="5">
        <f>MIN(I23:I43)</f>
        <v>48311245</v>
      </c>
      <c r="H8" s="11"/>
    </row>
    <row r="9" spans="1:16" x14ac:dyDescent="0.25">
      <c r="D9" s="2" t="s">
        <v>67</v>
      </c>
      <c r="F9" s="4">
        <f>+F8-F7</f>
        <v>3471245</v>
      </c>
      <c r="G9" s="16">
        <f>+F9/F7</f>
        <v>7.741402765388046E-2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-12841258.285714284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57681258.285714284</v>
      </c>
      <c r="G12" s="14"/>
      <c r="H12" s="11">
        <f>COUNT(I23:I43)</f>
        <v>7</v>
      </c>
      <c r="I12" s="1" t="s">
        <v>31</v>
      </c>
      <c r="J12" s="4">
        <f>+F8*0.9</f>
        <v>43480120.5</v>
      </c>
      <c r="K12" s="1" t="s">
        <v>69</v>
      </c>
    </row>
    <row r="13" spans="1:16" x14ac:dyDescent="0.25">
      <c r="D13" s="2" t="s">
        <v>29</v>
      </c>
      <c r="F13" s="4">
        <f>MAX(I23:I43)-MIN(I23:I43)</f>
        <v>34643755</v>
      </c>
      <c r="G13" s="269">
        <f>MEDIAN(I23:I43)</f>
        <v>55200000</v>
      </c>
      <c r="H13" s="270"/>
      <c r="I13" s="1" t="s">
        <v>30</v>
      </c>
      <c r="J13" s="4">
        <f>+F12*1.1</f>
        <v>63449384.114285715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505</v>
      </c>
      <c r="E23" s="33"/>
      <c r="F23" t="s">
        <v>289</v>
      </c>
      <c r="G23" t="s">
        <v>93</v>
      </c>
      <c r="H23">
        <f t="shared" ref="H23:H29" si="0">RANK(I23,I$23:I$43,1)</f>
        <v>1</v>
      </c>
      <c r="I23" s="4">
        <v>48311245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1">IF(H24=1,"u","")</f>
        <v/>
      </c>
      <c r="D24" s="11" t="s">
        <v>1623</v>
      </c>
      <c r="E24" s="33"/>
      <c r="F24" t="s">
        <v>1624</v>
      </c>
      <c r="G24" t="s">
        <v>93</v>
      </c>
      <c r="H24">
        <f t="shared" si="0"/>
        <v>3</v>
      </c>
      <c r="I24" s="4">
        <v>53580000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1"/>
        <v/>
      </c>
      <c r="D25" s="11" t="s">
        <v>1625</v>
      </c>
      <c r="E25" s="33"/>
      <c r="F25" t="s">
        <v>201</v>
      </c>
      <c r="G25" t="s">
        <v>25</v>
      </c>
      <c r="H25">
        <f t="shared" si="0"/>
        <v>2</v>
      </c>
      <c r="I25" s="4">
        <v>50950000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1"/>
        <v/>
      </c>
      <c r="D26" s="11" t="s">
        <v>497</v>
      </c>
      <c r="E26" s="33"/>
      <c r="F26" t="s">
        <v>1626</v>
      </c>
      <c r="G26" t="s">
        <v>93</v>
      </c>
      <c r="H26">
        <f t="shared" si="0"/>
        <v>7</v>
      </c>
      <c r="I26" s="4">
        <v>82955000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502</v>
      </c>
      <c r="E27" s="33"/>
      <c r="F27" t="s">
        <v>95</v>
      </c>
      <c r="G27" t="s">
        <v>93</v>
      </c>
      <c r="H27">
        <f t="shared" si="0"/>
        <v>5</v>
      </c>
      <c r="I27" s="4">
        <v>55787000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1627</v>
      </c>
      <c r="E28" s="33"/>
      <c r="F28" t="s">
        <v>193</v>
      </c>
      <c r="G28" t="s">
        <v>25</v>
      </c>
      <c r="H28">
        <f t="shared" si="0"/>
        <v>6</v>
      </c>
      <c r="I28" s="4">
        <v>56985563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 t="s">
        <v>496</v>
      </c>
      <c r="E29" s="11"/>
      <c r="F29" t="s">
        <v>295</v>
      </c>
      <c r="G29" t="s">
        <v>25</v>
      </c>
      <c r="H29">
        <f t="shared" si="0"/>
        <v>4</v>
      </c>
      <c r="I29" s="4">
        <v>55200000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067" priority="16" operator="containsText" text="FAIL">
      <formula>NOT(ISERROR(SEARCH("FAIL",I9)))</formula>
    </cfRule>
  </conditionalFormatting>
  <conditionalFormatting sqref="I9">
    <cfRule type="containsText" dxfId="4066" priority="15" operator="containsText" text="GOOD">
      <formula>NOT(ISERROR(SEARCH("GOOD",I9)))</formula>
    </cfRule>
  </conditionalFormatting>
  <conditionalFormatting sqref="F11">
    <cfRule type="containsText" dxfId="4065" priority="14" operator="containsText" text="FAIL">
      <formula>NOT(ISERROR(SEARCH("FAIL",F11)))</formula>
    </cfRule>
  </conditionalFormatting>
  <conditionalFormatting sqref="F11">
    <cfRule type="containsText" dxfId="4064" priority="13" operator="containsText" text="GOOD">
      <formula>NOT(ISERROR(SEARCH("GOOD",F11)))</formula>
    </cfRule>
  </conditionalFormatting>
  <conditionalFormatting sqref="D23:D25 D28:D43">
    <cfRule type="expression" dxfId="4063" priority="12">
      <formula>H23=1</formula>
    </cfRule>
  </conditionalFormatting>
  <conditionalFormatting sqref="C23:C25 C28:C43">
    <cfRule type="expression" dxfId="4062" priority="11">
      <formula>H23=1</formula>
    </cfRule>
  </conditionalFormatting>
  <conditionalFormatting sqref="E23:E25 E30:E43 E28">
    <cfRule type="expression" dxfId="4061" priority="10">
      <formula>H23=1</formula>
    </cfRule>
  </conditionalFormatting>
  <conditionalFormatting sqref="F11">
    <cfRule type="containsText" dxfId="4060" priority="9" operator="containsText" text="FAIL">
      <formula>NOT(ISERROR(SEARCH("FAIL",F11)))</formula>
    </cfRule>
  </conditionalFormatting>
  <conditionalFormatting sqref="F11">
    <cfRule type="containsText" dxfId="4059" priority="8" operator="containsText" text="GOOD">
      <formula>NOT(ISERROR(SEARCH("GOOD",F11)))</formula>
    </cfRule>
  </conditionalFormatting>
  <conditionalFormatting sqref="E29">
    <cfRule type="expression" dxfId="4058" priority="7">
      <formula>I29=1</formula>
    </cfRule>
  </conditionalFormatting>
  <conditionalFormatting sqref="D27">
    <cfRule type="expression" dxfId="4057" priority="6">
      <formula>H27=1</formula>
    </cfRule>
  </conditionalFormatting>
  <conditionalFormatting sqref="C27">
    <cfRule type="expression" dxfId="4056" priority="5">
      <formula>H27=1</formula>
    </cfRule>
  </conditionalFormatting>
  <conditionalFormatting sqref="E27">
    <cfRule type="expression" dxfId="4055" priority="4">
      <formula>H27=1</formula>
    </cfRule>
  </conditionalFormatting>
  <conditionalFormatting sqref="D26">
    <cfRule type="expression" dxfId="4054" priority="3">
      <formula>H26=1</formula>
    </cfRule>
  </conditionalFormatting>
  <conditionalFormatting sqref="C26">
    <cfRule type="expression" dxfId="4053" priority="2">
      <formula>H26=1</formula>
    </cfRule>
  </conditionalFormatting>
  <conditionalFormatting sqref="E26">
    <cfRule type="expression" dxfId="4052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P56"/>
  <sheetViews>
    <sheetView zoomScaleNormal="100" workbookViewId="0">
      <selection activeCell="H23" sqref="H2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47</v>
      </c>
    </row>
    <row r="4" spans="1:16" x14ac:dyDescent="0.25">
      <c r="D4" s="2" t="s">
        <v>0</v>
      </c>
      <c r="E4" s="1"/>
      <c r="F4" t="s">
        <v>1620</v>
      </c>
      <c r="I4" s="2" t="s">
        <v>4</v>
      </c>
      <c r="J4" t="s">
        <v>1619</v>
      </c>
    </row>
    <row r="5" spans="1:16" x14ac:dyDescent="0.25">
      <c r="D5" s="2" t="s">
        <v>1</v>
      </c>
      <c r="F5" s="52" t="s">
        <v>1621</v>
      </c>
    </row>
    <row r="6" spans="1:16" x14ac:dyDescent="0.25">
      <c r="D6" s="2" t="s">
        <v>2</v>
      </c>
      <c r="F6" s="6">
        <v>43585</v>
      </c>
      <c r="H6" s="11"/>
    </row>
    <row r="7" spans="1:16" x14ac:dyDescent="0.25">
      <c r="D7" s="2" t="s">
        <v>3</v>
      </c>
      <c r="F7" s="5">
        <f>+I7+J7</f>
        <v>6950000</v>
      </c>
      <c r="G7" s="2" t="s">
        <v>34</v>
      </c>
      <c r="H7" s="11"/>
      <c r="I7" s="19">
        <v>66000</v>
      </c>
      <c r="J7" s="19">
        <v>6884000</v>
      </c>
    </row>
    <row r="8" spans="1:16" x14ac:dyDescent="0.25">
      <c r="D8" s="2" t="s">
        <v>18</v>
      </c>
      <c r="F8" s="5">
        <f>MIN(K23:K43)</f>
        <v>8720200</v>
      </c>
      <c r="H8" s="11"/>
      <c r="I8" s="18" t="s">
        <v>43</v>
      </c>
      <c r="J8" s="18" t="s">
        <v>44</v>
      </c>
      <c r="P8" s="66">
        <f>+K26/K24</f>
        <v>1.0766536986283615</v>
      </c>
    </row>
    <row r="9" spans="1:16" x14ac:dyDescent="0.25">
      <c r="D9" s="2" t="s">
        <v>19</v>
      </c>
      <c r="F9" s="4">
        <f>+F8-F7</f>
        <v>1770200</v>
      </c>
      <c r="G9" s="16">
        <f>+F9/F7</f>
        <v>0.25470503597122301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-3032779.833333334</v>
      </c>
      <c r="H10" s="11"/>
    </row>
    <row r="11" spans="1:16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SUM(K23:K43)/H12</f>
        <v>9982779.833333334</v>
      </c>
      <c r="G12" s="14"/>
      <c r="H12" s="11">
        <f>COUNT(K23:K43)</f>
        <v>6</v>
      </c>
      <c r="I12" s="1" t="s">
        <v>31</v>
      </c>
      <c r="J12" s="4">
        <f>+F8*0.9</f>
        <v>7848180</v>
      </c>
      <c r="K12" s="1" t="s">
        <v>69</v>
      </c>
    </row>
    <row r="13" spans="1:16" x14ac:dyDescent="0.25">
      <c r="D13" s="2" t="s">
        <v>29</v>
      </c>
      <c r="F13" s="4">
        <f>MAX(K23:K43)-MIN(K23:K43)</f>
        <v>4390711</v>
      </c>
      <c r="G13" s="269">
        <f>MEDIAN(K23:K43)</f>
        <v>9617124.5</v>
      </c>
      <c r="H13" s="270"/>
      <c r="I13" s="1" t="s">
        <v>30</v>
      </c>
      <c r="J13" s="4">
        <f>+F12*1.1</f>
        <v>10981057.816666668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6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0.23559322033898306</v>
      </c>
    </row>
    <row r="18" spans="3:15" x14ac:dyDescent="0.25">
      <c r="F18" s="4">
        <f>+F7</f>
        <v>6950000</v>
      </c>
      <c r="G18" s="1" t="s">
        <v>12</v>
      </c>
      <c r="H18" s="11"/>
      <c r="I18" t="s">
        <v>16</v>
      </c>
      <c r="J18" s="7">
        <f>+F8/F18</f>
        <v>1.2547050359712231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0.29067333333333334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491</v>
      </c>
      <c r="E23" s="33"/>
      <c r="F23" t="s">
        <v>203</v>
      </c>
      <c r="G23" t="s">
        <v>204</v>
      </c>
      <c r="H23">
        <f t="shared" ref="H23:H28" si="0">RANK(K23,K$23:K$43,1)</f>
        <v>3</v>
      </c>
      <c r="I23" s="4">
        <v>85140</v>
      </c>
      <c r="J23" s="4">
        <v>9513109</v>
      </c>
      <c r="K23" s="4">
        <f t="shared" ref="K23:K28" si="1">+J23+I23</f>
        <v>9598249</v>
      </c>
      <c r="L23" s="4"/>
      <c r="M23" s="22"/>
      <c r="N23" s="22"/>
      <c r="O23" s="22"/>
    </row>
    <row r="24" spans="3:15" x14ac:dyDescent="0.25">
      <c r="C24" s="33" t="str">
        <f t="shared" ref="C24:C43" si="2">IF(H24=1,"u","")</f>
        <v/>
      </c>
      <c r="D24" s="11" t="s">
        <v>665</v>
      </c>
      <c r="E24" s="33"/>
      <c r="F24" t="s">
        <v>391</v>
      </c>
      <c r="G24" t="s">
        <v>93</v>
      </c>
      <c r="H24">
        <f t="shared" si="0"/>
        <v>2</v>
      </c>
      <c r="I24" s="4">
        <v>83850</v>
      </c>
      <c r="J24" s="4">
        <v>8866103</v>
      </c>
      <c r="K24" s="4">
        <f t="shared" si="1"/>
        <v>8949953</v>
      </c>
      <c r="L24" s="4"/>
      <c r="M24" s="22"/>
      <c r="N24" s="22"/>
      <c r="O24" s="22"/>
    </row>
    <row r="25" spans="3:15" x14ac:dyDescent="0.25">
      <c r="C25" s="33" t="str">
        <f t="shared" si="2"/>
        <v/>
      </c>
      <c r="D25" s="11" t="s">
        <v>874</v>
      </c>
      <c r="E25" s="33"/>
      <c r="F25" t="s">
        <v>532</v>
      </c>
      <c r="G25" t="s">
        <v>93</v>
      </c>
      <c r="H25">
        <f t="shared" si="0"/>
        <v>5</v>
      </c>
      <c r="I25" s="4">
        <v>156090</v>
      </c>
      <c r="J25" s="4">
        <v>9725276</v>
      </c>
      <c r="K25" s="4">
        <f t="shared" si="1"/>
        <v>9881366</v>
      </c>
      <c r="L25" s="4"/>
      <c r="M25" s="22"/>
      <c r="N25" s="22"/>
      <c r="O25" s="22"/>
    </row>
    <row r="26" spans="3:15" x14ac:dyDescent="0.25">
      <c r="C26" s="33" t="str">
        <f t="shared" si="2"/>
        <v/>
      </c>
      <c r="D26" s="11" t="s">
        <v>450</v>
      </c>
      <c r="E26" s="33"/>
      <c r="F26" t="s">
        <v>451</v>
      </c>
      <c r="G26" t="s">
        <v>93</v>
      </c>
      <c r="H26">
        <f t="shared" si="0"/>
        <v>4</v>
      </c>
      <c r="I26" s="4">
        <v>148350</v>
      </c>
      <c r="J26" s="4">
        <v>9487650</v>
      </c>
      <c r="K26" s="4">
        <f t="shared" si="1"/>
        <v>9636000</v>
      </c>
      <c r="L26" s="4"/>
      <c r="M26" s="22"/>
      <c r="N26" s="22"/>
      <c r="O26" s="22"/>
    </row>
    <row r="27" spans="3:15" x14ac:dyDescent="0.25">
      <c r="C27" s="33" t="str">
        <f t="shared" si="2"/>
        <v>u</v>
      </c>
      <c r="D27" s="11" t="s">
        <v>502</v>
      </c>
      <c r="E27" s="33"/>
      <c r="F27" t="s">
        <v>95</v>
      </c>
      <c r="G27" t="s">
        <v>93</v>
      </c>
      <c r="H27">
        <f t="shared" si="0"/>
        <v>1</v>
      </c>
      <c r="I27" s="4">
        <v>103200</v>
      </c>
      <c r="J27" s="4">
        <v>8617000</v>
      </c>
      <c r="K27" s="4">
        <f t="shared" si="1"/>
        <v>8720200</v>
      </c>
      <c r="L27" s="4"/>
      <c r="M27" s="22"/>
      <c r="N27" s="22"/>
      <c r="O27" s="22"/>
    </row>
    <row r="28" spans="3:15" x14ac:dyDescent="0.25">
      <c r="C28" s="33" t="str">
        <f t="shared" si="2"/>
        <v/>
      </c>
      <c r="D28" s="11" t="s">
        <v>1207</v>
      </c>
      <c r="E28" s="33"/>
      <c r="F28" t="s">
        <v>131</v>
      </c>
      <c r="G28" t="s">
        <v>25</v>
      </c>
      <c r="H28">
        <f t="shared" si="0"/>
        <v>6</v>
      </c>
      <c r="I28" s="4">
        <v>199950</v>
      </c>
      <c r="J28" s="4">
        <v>12910961</v>
      </c>
      <c r="K28" s="4">
        <f t="shared" si="1"/>
        <v>13110911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2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4051" priority="29" operator="containsText" text="FAIL">
      <formula>NOT(ISERROR(SEARCH("FAIL",I9)))</formula>
    </cfRule>
  </conditionalFormatting>
  <conditionalFormatting sqref="I9">
    <cfRule type="containsText" dxfId="4050" priority="28" operator="containsText" text="GOOD">
      <formula>NOT(ISERROR(SEARCH("GOOD",I9)))</formula>
    </cfRule>
  </conditionalFormatting>
  <conditionalFormatting sqref="I9">
    <cfRule type="containsText" dxfId="4049" priority="27" operator="containsText" text="FAIL">
      <formula>NOT(ISERROR(SEARCH("FAIL",I9)))</formula>
    </cfRule>
  </conditionalFormatting>
  <conditionalFormatting sqref="I9">
    <cfRule type="containsText" dxfId="4048" priority="26" operator="containsText" text="GOOD">
      <formula>NOT(ISERROR(SEARCH("GOOD",I9)))</formula>
    </cfRule>
  </conditionalFormatting>
  <conditionalFormatting sqref="I9">
    <cfRule type="containsText" dxfId="4047" priority="25" operator="containsText" text="FAIL">
      <formula>NOT(ISERROR(SEARCH("FAIL",I9)))</formula>
    </cfRule>
  </conditionalFormatting>
  <conditionalFormatting sqref="I9">
    <cfRule type="containsText" dxfId="4046" priority="24" operator="containsText" text="GOOD">
      <formula>NOT(ISERROR(SEARCH("GOOD",I9)))</formula>
    </cfRule>
  </conditionalFormatting>
  <conditionalFormatting sqref="F11">
    <cfRule type="containsText" dxfId="4045" priority="23" operator="containsText" text="FAIL">
      <formula>NOT(ISERROR(SEARCH("FAIL",F11)))</formula>
    </cfRule>
  </conditionalFormatting>
  <conditionalFormatting sqref="F11">
    <cfRule type="containsText" dxfId="4044" priority="22" operator="containsText" text="GOOD">
      <formula>NOT(ISERROR(SEARCH("GOOD",F11)))</formula>
    </cfRule>
  </conditionalFormatting>
  <conditionalFormatting sqref="I9">
    <cfRule type="containsText" dxfId="4043" priority="21" operator="containsText" text="FAIL">
      <formula>NOT(ISERROR(SEARCH("FAIL",I9)))</formula>
    </cfRule>
  </conditionalFormatting>
  <conditionalFormatting sqref="I9">
    <cfRule type="containsText" dxfId="4042" priority="20" operator="containsText" text="GOOD">
      <formula>NOT(ISERROR(SEARCH("GOOD",I9)))</formula>
    </cfRule>
  </conditionalFormatting>
  <conditionalFormatting sqref="F11">
    <cfRule type="containsText" dxfId="4041" priority="19" operator="containsText" text="FAIL">
      <formula>NOT(ISERROR(SEARCH("FAIL",F11)))</formula>
    </cfRule>
  </conditionalFormatting>
  <conditionalFormatting sqref="F11">
    <cfRule type="containsText" dxfId="4040" priority="18" operator="containsText" text="GOOD">
      <formula>NOT(ISERROR(SEARCH("GOOD",F11)))</formula>
    </cfRule>
  </conditionalFormatting>
  <conditionalFormatting sqref="D39:D43 D31:D33">
    <cfRule type="expression" dxfId="4039" priority="17">
      <formula>H31=1</formula>
    </cfRule>
  </conditionalFormatting>
  <conditionalFormatting sqref="C39:C43 C23:C33">
    <cfRule type="expression" dxfId="4038" priority="16">
      <formula>H23=1</formula>
    </cfRule>
  </conditionalFormatting>
  <conditionalFormatting sqref="E39:E43 E31:E33">
    <cfRule type="expression" dxfId="4037" priority="15">
      <formula>H31=1</formula>
    </cfRule>
  </conditionalFormatting>
  <conditionalFormatting sqref="E39:E43 E31:E33">
    <cfRule type="expression" dxfId="4036" priority="14">
      <formula>H31=1</formula>
    </cfRule>
  </conditionalFormatting>
  <conditionalFormatting sqref="F11">
    <cfRule type="containsText" dxfId="4035" priority="13" operator="containsText" text="FAIL">
      <formula>NOT(ISERROR(SEARCH("FAIL",F11)))</formula>
    </cfRule>
  </conditionalFormatting>
  <conditionalFormatting sqref="F11">
    <cfRule type="containsText" dxfId="4034" priority="12" operator="containsText" text="GOOD">
      <formula>NOT(ISERROR(SEARCH("GOOD",F11)))</formula>
    </cfRule>
  </conditionalFormatting>
  <conditionalFormatting sqref="D34:D37">
    <cfRule type="expression" dxfId="4033" priority="11">
      <formula>H34=1</formula>
    </cfRule>
  </conditionalFormatting>
  <conditionalFormatting sqref="C34:C37">
    <cfRule type="expression" dxfId="4032" priority="10">
      <formula>H34=1</formula>
    </cfRule>
  </conditionalFormatting>
  <conditionalFormatting sqref="E34:E37">
    <cfRule type="expression" dxfId="4031" priority="9">
      <formula>H34=1</formula>
    </cfRule>
  </conditionalFormatting>
  <conditionalFormatting sqref="E34:E37">
    <cfRule type="expression" dxfId="4030" priority="8">
      <formula>H34=1</formula>
    </cfRule>
  </conditionalFormatting>
  <conditionalFormatting sqref="D38">
    <cfRule type="expression" dxfId="4029" priority="7">
      <formula>H38=1</formula>
    </cfRule>
  </conditionalFormatting>
  <conditionalFormatting sqref="C38">
    <cfRule type="expression" dxfId="4028" priority="6">
      <formula>H38=1</formula>
    </cfRule>
  </conditionalFormatting>
  <conditionalFormatting sqref="E38">
    <cfRule type="expression" dxfId="4027" priority="5">
      <formula>H38=1</formula>
    </cfRule>
  </conditionalFormatting>
  <conditionalFormatting sqref="E38">
    <cfRule type="expression" dxfId="4026" priority="4">
      <formula>H38=1</formula>
    </cfRule>
  </conditionalFormatting>
  <conditionalFormatting sqref="D23:D30">
    <cfRule type="expression" dxfId="4025" priority="3">
      <formula>H23=1</formula>
    </cfRule>
  </conditionalFormatting>
  <conditionalFormatting sqref="E23:E30">
    <cfRule type="expression" dxfId="4024" priority="2">
      <formula>H23=1</formula>
    </cfRule>
  </conditionalFormatting>
  <conditionalFormatting sqref="E23:E30">
    <cfRule type="expression" dxfId="4023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P56"/>
  <sheetViews>
    <sheetView zoomScaleNormal="100" workbookViewId="0">
      <selection activeCell="L8" sqref="L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47</v>
      </c>
    </row>
    <row r="4" spans="1:16" x14ac:dyDescent="0.25">
      <c r="D4" s="2" t="s">
        <v>0</v>
      </c>
      <c r="E4" s="1"/>
      <c r="F4" t="s">
        <v>1614</v>
      </c>
      <c r="I4" s="2" t="s">
        <v>4</v>
      </c>
      <c r="J4" t="s">
        <v>784</v>
      </c>
    </row>
    <row r="5" spans="1:16" x14ac:dyDescent="0.25">
      <c r="D5" s="2" t="s">
        <v>1</v>
      </c>
      <c r="F5" s="52" t="s">
        <v>1615</v>
      </c>
    </row>
    <row r="6" spans="1:16" x14ac:dyDescent="0.25">
      <c r="D6" s="2" t="s">
        <v>2</v>
      </c>
      <c r="F6" s="6">
        <v>43571</v>
      </c>
      <c r="H6" s="11"/>
    </row>
    <row r="7" spans="1:16" x14ac:dyDescent="0.25">
      <c r="D7" s="2" t="s">
        <v>3</v>
      </c>
      <c r="F7" s="5">
        <f>+I7+J7</f>
        <v>1200000</v>
      </c>
      <c r="G7" s="2" t="s">
        <v>34</v>
      </c>
      <c r="H7" s="11"/>
      <c r="I7" s="19">
        <v>883000</v>
      </c>
      <c r="J7" s="19">
        <v>317000</v>
      </c>
    </row>
    <row r="8" spans="1:16" x14ac:dyDescent="0.25">
      <c r="D8" s="2" t="s">
        <v>18</v>
      </c>
      <c r="F8" s="5">
        <f>MIN(K23:K43)</f>
        <v>1738750</v>
      </c>
      <c r="H8" s="11"/>
      <c r="I8" s="18" t="s">
        <v>43</v>
      </c>
      <c r="J8" s="18" t="s">
        <v>44</v>
      </c>
      <c r="P8" s="66">
        <f>+K26/K24</f>
        <v>0.84850024083723785</v>
      </c>
    </row>
    <row r="9" spans="1:16" x14ac:dyDescent="0.25">
      <c r="D9" s="2" t="s">
        <v>19</v>
      </c>
      <c r="F9" s="4">
        <f>+F8-F7</f>
        <v>538750</v>
      </c>
      <c r="G9" s="16">
        <f>+F9/F7</f>
        <v>0.44895833333333335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-884917.5</v>
      </c>
      <c r="H10" s="11"/>
    </row>
    <row r="11" spans="1:16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SUM(K23:K43)/H12</f>
        <v>2084917.5</v>
      </c>
      <c r="G12" s="14"/>
      <c r="H12" s="11">
        <f>COUNT(K23:K43)</f>
        <v>4</v>
      </c>
      <c r="I12" s="1" t="s">
        <v>31</v>
      </c>
      <c r="J12" s="4">
        <f>+F8*0.9</f>
        <v>1564875</v>
      </c>
      <c r="K12" s="1" t="s">
        <v>69</v>
      </c>
    </row>
    <row r="13" spans="1:16" x14ac:dyDescent="0.25">
      <c r="D13" s="2" t="s">
        <v>29</v>
      </c>
      <c r="F13" s="4">
        <f>MAX(K23:K43)-MIN(K23:K43)</f>
        <v>640750</v>
      </c>
      <c r="G13" s="269">
        <f>MEDIAN(K23:K43)</f>
        <v>2110710</v>
      </c>
      <c r="H13" s="270"/>
      <c r="I13" s="1" t="s">
        <v>30</v>
      </c>
      <c r="J13" s="4">
        <f>+F12*1.1</f>
        <v>2293409.25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6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4.0677966101694912E-2</v>
      </c>
    </row>
    <row r="18" spans="3:15" x14ac:dyDescent="0.25">
      <c r="F18" s="4">
        <f>+F7</f>
        <v>1200000</v>
      </c>
      <c r="G18" s="1" t="s">
        <v>12</v>
      </c>
      <c r="H18" s="11"/>
      <c r="I18" t="s">
        <v>16</v>
      </c>
      <c r="J18" s="7">
        <f>+F8/F18</f>
        <v>1.4489583333333333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5.7958333333333334E-2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554</v>
      </c>
      <c r="E23" s="33"/>
      <c r="F23" t="s">
        <v>397</v>
      </c>
      <c r="G23" t="s">
        <v>25</v>
      </c>
      <c r="H23">
        <f>RANK(K23,K$23:K$43,1)</f>
        <v>4</v>
      </c>
      <c r="I23" s="4">
        <v>719500</v>
      </c>
      <c r="J23" s="4">
        <v>1660000</v>
      </c>
      <c r="K23" s="4">
        <f>+J23+I23</f>
        <v>2379500</v>
      </c>
      <c r="L23" s="4"/>
      <c r="M23" s="22"/>
      <c r="N23" s="22"/>
      <c r="O23" s="22"/>
    </row>
    <row r="24" spans="3:15" x14ac:dyDescent="0.25">
      <c r="C24" s="33" t="str">
        <f t="shared" ref="C24:C43" si="0">IF(H24=1,"u","")</f>
        <v/>
      </c>
      <c r="D24" s="11" t="s">
        <v>1422</v>
      </c>
      <c r="E24" s="33"/>
      <c r="F24" t="s">
        <v>1073</v>
      </c>
      <c r="G24" t="s">
        <v>25</v>
      </c>
      <c r="H24">
        <f>RANK(K24,K$23:K$43,1)</f>
        <v>3</v>
      </c>
      <c r="I24" s="4">
        <v>1267700</v>
      </c>
      <c r="J24" s="4">
        <v>1016000</v>
      </c>
      <c r="K24" s="4">
        <f>+J24+I24</f>
        <v>2283700</v>
      </c>
      <c r="L24" s="4"/>
      <c r="M24" s="22"/>
      <c r="N24" s="22"/>
      <c r="O24" s="22"/>
    </row>
    <row r="25" spans="3:15" x14ac:dyDescent="0.25">
      <c r="C25" s="33" t="str">
        <f t="shared" si="0"/>
        <v>u</v>
      </c>
      <c r="D25" s="11" t="s">
        <v>1616</v>
      </c>
      <c r="E25" s="33"/>
      <c r="F25" t="s">
        <v>380</v>
      </c>
      <c r="G25" t="s">
        <v>93</v>
      </c>
      <c r="H25">
        <f>RANK(K25,K$23:K$43,1)</f>
        <v>1</v>
      </c>
      <c r="I25" s="4">
        <v>551310</v>
      </c>
      <c r="J25" s="4">
        <v>1187440</v>
      </c>
      <c r="K25" s="4">
        <f>+J25+I25</f>
        <v>1738750</v>
      </c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 t="s">
        <v>1604</v>
      </c>
      <c r="E26" s="33"/>
      <c r="F26" t="s">
        <v>131</v>
      </c>
      <c r="G26" t="s">
        <v>25</v>
      </c>
      <c r="H26">
        <f>RANK(K26,K$23:K$43,1)</f>
        <v>2</v>
      </c>
      <c r="I26" s="4">
        <v>1465720</v>
      </c>
      <c r="J26" s="4">
        <v>472000</v>
      </c>
      <c r="K26" s="4">
        <f>+J26+I26</f>
        <v>1937720</v>
      </c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4022" priority="29" operator="containsText" text="FAIL">
      <formula>NOT(ISERROR(SEARCH("FAIL",I9)))</formula>
    </cfRule>
  </conditionalFormatting>
  <conditionalFormatting sqref="I9">
    <cfRule type="containsText" dxfId="4021" priority="28" operator="containsText" text="GOOD">
      <formula>NOT(ISERROR(SEARCH("GOOD",I9)))</formula>
    </cfRule>
  </conditionalFormatting>
  <conditionalFormatting sqref="I9">
    <cfRule type="containsText" dxfId="4020" priority="27" operator="containsText" text="FAIL">
      <formula>NOT(ISERROR(SEARCH("FAIL",I9)))</formula>
    </cfRule>
  </conditionalFormatting>
  <conditionalFormatting sqref="I9">
    <cfRule type="containsText" dxfId="4019" priority="26" operator="containsText" text="GOOD">
      <formula>NOT(ISERROR(SEARCH("GOOD",I9)))</formula>
    </cfRule>
  </conditionalFormatting>
  <conditionalFormatting sqref="I9">
    <cfRule type="containsText" dxfId="4018" priority="25" operator="containsText" text="FAIL">
      <formula>NOT(ISERROR(SEARCH("FAIL",I9)))</formula>
    </cfRule>
  </conditionalFormatting>
  <conditionalFormatting sqref="I9">
    <cfRule type="containsText" dxfId="4017" priority="24" operator="containsText" text="GOOD">
      <formula>NOT(ISERROR(SEARCH("GOOD",I9)))</formula>
    </cfRule>
  </conditionalFormatting>
  <conditionalFormatting sqref="F11">
    <cfRule type="containsText" dxfId="4016" priority="23" operator="containsText" text="FAIL">
      <formula>NOT(ISERROR(SEARCH("FAIL",F11)))</formula>
    </cfRule>
  </conditionalFormatting>
  <conditionalFormatting sqref="F11">
    <cfRule type="containsText" dxfId="4015" priority="22" operator="containsText" text="GOOD">
      <formula>NOT(ISERROR(SEARCH("GOOD",F11)))</formula>
    </cfRule>
  </conditionalFormatting>
  <conditionalFormatting sqref="I9">
    <cfRule type="containsText" dxfId="4014" priority="21" operator="containsText" text="FAIL">
      <formula>NOT(ISERROR(SEARCH("FAIL",I9)))</formula>
    </cfRule>
  </conditionalFormatting>
  <conditionalFormatting sqref="I9">
    <cfRule type="containsText" dxfId="4013" priority="20" operator="containsText" text="GOOD">
      <formula>NOT(ISERROR(SEARCH("GOOD",I9)))</formula>
    </cfRule>
  </conditionalFormatting>
  <conditionalFormatting sqref="F11">
    <cfRule type="containsText" dxfId="4012" priority="19" operator="containsText" text="FAIL">
      <formula>NOT(ISERROR(SEARCH("FAIL",F11)))</formula>
    </cfRule>
  </conditionalFormatting>
  <conditionalFormatting sqref="F11">
    <cfRule type="containsText" dxfId="4011" priority="18" operator="containsText" text="GOOD">
      <formula>NOT(ISERROR(SEARCH("GOOD",F11)))</formula>
    </cfRule>
  </conditionalFormatting>
  <conditionalFormatting sqref="D39:D43 D31:D33">
    <cfRule type="expression" dxfId="4010" priority="17">
      <formula>H31=1</formula>
    </cfRule>
  </conditionalFormatting>
  <conditionalFormatting sqref="C39:C43 C23:C33">
    <cfRule type="expression" dxfId="4009" priority="16">
      <formula>H23=1</formula>
    </cfRule>
  </conditionalFormatting>
  <conditionalFormatting sqref="E39:E43 E31:E33">
    <cfRule type="expression" dxfId="4008" priority="15">
      <formula>H31=1</formula>
    </cfRule>
  </conditionalFormatting>
  <conditionalFormatting sqref="E39:E43 E31:E33">
    <cfRule type="expression" dxfId="4007" priority="14">
      <formula>H31=1</formula>
    </cfRule>
  </conditionalFormatting>
  <conditionalFormatting sqref="F11">
    <cfRule type="containsText" dxfId="4006" priority="13" operator="containsText" text="FAIL">
      <formula>NOT(ISERROR(SEARCH("FAIL",F11)))</formula>
    </cfRule>
  </conditionalFormatting>
  <conditionalFormatting sqref="F11">
    <cfRule type="containsText" dxfId="4005" priority="12" operator="containsText" text="GOOD">
      <formula>NOT(ISERROR(SEARCH("GOOD",F11)))</formula>
    </cfRule>
  </conditionalFormatting>
  <conditionalFormatting sqref="D34:D37">
    <cfRule type="expression" dxfId="4004" priority="11">
      <formula>H34=1</formula>
    </cfRule>
  </conditionalFormatting>
  <conditionalFormatting sqref="C34:C37">
    <cfRule type="expression" dxfId="4003" priority="10">
      <formula>H34=1</formula>
    </cfRule>
  </conditionalFormatting>
  <conditionalFormatting sqref="E34:E37">
    <cfRule type="expression" dxfId="4002" priority="9">
      <formula>H34=1</formula>
    </cfRule>
  </conditionalFormatting>
  <conditionalFormatting sqref="E34:E37">
    <cfRule type="expression" dxfId="4001" priority="8">
      <formula>H34=1</formula>
    </cfRule>
  </conditionalFormatting>
  <conditionalFormatting sqref="D38">
    <cfRule type="expression" dxfId="4000" priority="7">
      <formula>H38=1</formula>
    </cfRule>
  </conditionalFormatting>
  <conditionalFormatting sqref="C38">
    <cfRule type="expression" dxfId="3999" priority="6">
      <formula>H38=1</formula>
    </cfRule>
  </conditionalFormatting>
  <conditionalFormatting sqref="E38">
    <cfRule type="expression" dxfId="3998" priority="5">
      <formula>H38=1</formula>
    </cfRule>
  </conditionalFormatting>
  <conditionalFormatting sqref="E38">
    <cfRule type="expression" dxfId="3997" priority="4">
      <formula>H38=1</formula>
    </cfRule>
  </conditionalFormatting>
  <conditionalFormatting sqref="D23:D30">
    <cfRule type="expression" dxfId="3996" priority="3">
      <formula>H23=1</formula>
    </cfRule>
  </conditionalFormatting>
  <conditionalFormatting sqref="E23:E30">
    <cfRule type="expression" dxfId="3995" priority="2">
      <formula>H23=1</formula>
    </cfRule>
  </conditionalFormatting>
  <conditionalFormatting sqref="E23:E30">
    <cfRule type="expression" dxfId="3994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P47"/>
  <sheetViews>
    <sheetView zoomScaleNormal="100" workbookViewId="0">
      <selection activeCell="M15" sqref="M15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1611</v>
      </c>
      <c r="I4" s="2" t="s">
        <v>4</v>
      </c>
      <c r="J4" t="s">
        <v>784</v>
      </c>
    </row>
    <row r="5" spans="1:15" x14ac:dyDescent="0.25">
      <c r="D5" s="2" t="s">
        <v>1</v>
      </c>
      <c r="F5" t="s">
        <v>1612</v>
      </c>
    </row>
    <row r="6" spans="1:15" x14ac:dyDescent="0.25">
      <c r="D6" s="2" t="s">
        <v>2</v>
      </c>
      <c r="F6" s="6">
        <v>43571</v>
      </c>
      <c r="H6" s="11"/>
    </row>
    <row r="7" spans="1:15" x14ac:dyDescent="0.25">
      <c r="D7" s="2" t="s">
        <v>3</v>
      </c>
      <c r="F7" s="5">
        <f>+L7+K7+J7+I7+(M7*K7)</f>
        <v>9330000</v>
      </c>
      <c r="G7" s="2" t="s">
        <v>34</v>
      </c>
      <c r="H7" s="11"/>
      <c r="I7" s="19">
        <v>3210000</v>
      </c>
      <c r="J7" s="19">
        <v>5040000</v>
      </c>
      <c r="K7" s="19">
        <v>0</v>
      </c>
      <c r="L7" s="19">
        <v>1080000</v>
      </c>
      <c r="M7" s="20">
        <v>0</v>
      </c>
    </row>
    <row r="8" spans="1:15" x14ac:dyDescent="0.25">
      <c r="D8" s="2" t="s">
        <v>18</v>
      </c>
      <c r="F8" s="5">
        <f>MIN(M23:M43)</f>
        <v>7407376</v>
      </c>
      <c r="H8" s="11"/>
      <c r="I8" s="18" t="s">
        <v>43</v>
      </c>
      <c r="J8" s="18" t="s">
        <v>44</v>
      </c>
      <c r="K8" s="18" t="s">
        <v>49</v>
      </c>
      <c r="L8" s="18" t="s">
        <v>934</v>
      </c>
      <c r="M8" s="18" t="s">
        <v>50</v>
      </c>
    </row>
    <row r="9" spans="1:15" x14ac:dyDescent="0.25">
      <c r="D9" s="2" t="s">
        <v>19</v>
      </c>
      <c r="F9" s="4">
        <f>+F8-F7</f>
        <v>-1922624</v>
      </c>
      <c r="G9" s="16">
        <f>+F9/F7</f>
        <v>-0.2060690246516613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5" x14ac:dyDescent="0.25">
      <c r="D10" s="2" t="s">
        <v>68</v>
      </c>
      <c r="F10" s="4">
        <f>+F7-F12</f>
        <v>-37661.428571429104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GOOD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9367661.4285714291</v>
      </c>
      <c r="G12" s="14"/>
      <c r="H12" s="11">
        <f>COUNT(M23:M43)</f>
        <v>7</v>
      </c>
      <c r="I12" s="1" t="s">
        <v>31</v>
      </c>
      <c r="J12" s="4">
        <f>+F8*0.9</f>
        <v>6666638.4000000004</v>
      </c>
      <c r="K12" s="1" t="s">
        <v>69</v>
      </c>
      <c r="L12" s="1"/>
      <c r="O12" t="str">
        <f>INDEX(D23:D43,MATCH(1,H23:H43,0))</f>
        <v>Grace Industries</v>
      </c>
    </row>
    <row r="13" spans="1:15" x14ac:dyDescent="0.25">
      <c r="D13" s="2" t="s">
        <v>29</v>
      </c>
      <c r="F13" s="4">
        <f>MAX(M23:M43)-MIN(M23:M43)</f>
        <v>4393197</v>
      </c>
      <c r="G13" s="269">
        <f>MEDIAN(M23:M43)</f>
        <v>8776763</v>
      </c>
      <c r="H13" s="270"/>
      <c r="I13" s="1" t="s">
        <v>30</v>
      </c>
      <c r="J13" s="4">
        <f>+F12*1.1</f>
        <v>10304427.571428573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5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6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6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 t="shared" ref="C23:C28" si="0">IF(H23=1,"u","")</f>
        <v/>
      </c>
      <c r="D23" s="11" t="s">
        <v>522</v>
      </c>
      <c r="E23" s="33"/>
      <c r="F23" t="s">
        <v>100</v>
      </c>
      <c r="G23" t="s">
        <v>93</v>
      </c>
      <c r="H23">
        <f t="shared" ref="H23:H29" si="1">RANK(M23,M$23:M$43,1)</f>
        <v>2</v>
      </c>
      <c r="I23" s="4">
        <v>2303478</v>
      </c>
      <c r="J23" s="4">
        <v>4724644</v>
      </c>
      <c r="K23" s="4">
        <v>700000</v>
      </c>
      <c r="L23" s="7">
        <v>0</v>
      </c>
      <c r="M23" s="4">
        <f t="shared" ref="M23:M29" si="2">+K23+I23+J23+(L23*K$7)+$K$7</f>
        <v>7728122</v>
      </c>
      <c r="N23" s="22"/>
      <c r="O23" s="22">
        <f>+L23*$K$7</f>
        <v>0</v>
      </c>
      <c r="P23" s="22"/>
    </row>
    <row r="24" spans="3:16" x14ac:dyDescent="0.25">
      <c r="C24" s="33" t="str">
        <f t="shared" si="0"/>
        <v>u</v>
      </c>
      <c r="D24" s="11" t="s">
        <v>665</v>
      </c>
      <c r="E24" s="33"/>
      <c r="F24" t="s">
        <v>391</v>
      </c>
      <c r="G24" t="s">
        <v>93</v>
      </c>
      <c r="H24">
        <f t="shared" si="1"/>
        <v>1</v>
      </c>
      <c r="I24" s="4">
        <v>2047536</v>
      </c>
      <c r="J24" s="4">
        <v>5082940</v>
      </c>
      <c r="K24" s="4">
        <v>276900</v>
      </c>
      <c r="L24" s="7">
        <v>0</v>
      </c>
      <c r="M24" s="4">
        <f t="shared" si="2"/>
        <v>7407376</v>
      </c>
      <c r="N24" s="22"/>
      <c r="O24" s="22">
        <f>+L24*$K$7</f>
        <v>0</v>
      </c>
      <c r="P24" s="22"/>
    </row>
    <row r="25" spans="3:16" x14ac:dyDescent="0.25">
      <c r="C25" s="33" t="str">
        <f t="shared" si="0"/>
        <v/>
      </c>
      <c r="D25" s="11" t="s">
        <v>1114</v>
      </c>
      <c r="E25" s="33"/>
      <c r="F25" t="s">
        <v>1115</v>
      </c>
      <c r="G25" t="s">
        <v>25</v>
      </c>
      <c r="H25">
        <f t="shared" si="1"/>
        <v>7</v>
      </c>
      <c r="I25" s="4">
        <v>4265700</v>
      </c>
      <c r="J25" s="4">
        <v>6534873</v>
      </c>
      <c r="K25" s="4">
        <v>1000000</v>
      </c>
      <c r="L25" s="7">
        <v>0</v>
      </c>
      <c r="M25" s="4">
        <f t="shared" si="2"/>
        <v>11800573</v>
      </c>
      <c r="N25" s="22"/>
      <c r="O25" s="22"/>
      <c r="P25" s="22"/>
    </row>
    <row r="26" spans="3:16" x14ac:dyDescent="0.25">
      <c r="C26" s="33" t="str">
        <f t="shared" si="0"/>
        <v/>
      </c>
      <c r="D26" s="11" t="s">
        <v>1540</v>
      </c>
      <c r="E26" s="33"/>
      <c r="F26" t="s">
        <v>147</v>
      </c>
      <c r="G26" t="s">
        <v>93</v>
      </c>
      <c r="H26">
        <f t="shared" si="1"/>
        <v>4</v>
      </c>
      <c r="I26" s="4">
        <v>2516763</v>
      </c>
      <c r="J26" s="4">
        <v>5900000</v>
      </c>
      <c r="K26" s="4">
        <v>360000</v>
      </c>
      <c r="L26" s="7">
        <v>0</v>
      </c>
      <c r="M26" s="4">
        <f t="shared" si="2"/>
        <v>8776763</v>
      </c>
      <c r="N26" s="22"/>
      <c r="O26" s="22"/>
      <c r="P26" s="22"/>
    </row>
    <row r="27" spans="3:16" x14ac:dyDescent="0.25">
      <c r="C27" s="33" t="str">
        <f t="shared" si="0"/>
        <v/>
      </c>
      <c r="D27" s="11" t="s">
        <v>1613</v>
      </c>
      <c r="E27" s="33"/>
      <c r="F27" t="s">
        <v>264</v>
      </c>
      <c r="G27" t="s">
        <v>93</v>
      </c>
      <c r="H27">
        <f t="shared" si="1"/>
        <v>3</v>
      </c>
      <c r="I27" s="4">
        <v>2559420</v>
      </c>
      <c r="J27" s="4">
        <v>5160000</v>
      </c>
      <c r="K27" s="4">
        <v>270000</v>
      </c>
      <c r="L27" s="7">
        <v>0</v>
      </c>
      <c r="M27" s="4">
        <f t="shared" si="2"/>
        <v>7989420</v>
      </c>
      <c r="N27" s="22"/>
      <c r="O27" s="22"/>
      <c r="P27" s="22"/>
    </row>
    <row r="28" spans="3:16" x14ac:dyDescent="0.25">
      <c r="C28" s="33" t="str">
        <f t="shared" si="0"/>
        <v/>
      </c>
      <c r="D28" s="11" t="s">
        <v>491</v>
      </c>
      <c r="E28" s="33"/>
      <c r="F28" t="s">
        <v>203</v>
      </c>
      <c r="G28" t="s">
        <v>204</v>
      </c>
      <c r="H28">
        <f t="shared" si="1"/>
        <v>6</v>
      </c>
      <c r="I28" s="4">
        <v>2559420</v>
      </c>
      <c r="J28" s="4">
        <v>7960888</v>
      </c>
      <c r="K28" s="4">
        <v>785078</v>
      </c>
      <c r="L28" s="7">
        <v>0</v>
      </c>
      <c r="M28" s="4">
        <f t="shared" si="2"/>
        <v>11305386</v>
      </c>
      <c r="N28" s="22"/>
      <c r="O28" s="22"/>
      <c r="P28" s="22"/>
    </row>
    <row r="29" spans="3:16" x14ac:dyDescent="0.25">
      <c r="C29" s="33"/>
      <c r="D29" s="11" t="s">
        <v>541</v>
      </c>
      <c r="E29" s="33"/>
      <c r="F29" t="s">
        <v>159</v>
      </c>
      <c r="G29" t="s">
        <v>93</v>
      </c>
      <c r="H29">
        <f t="shared" si="1"/>
        <v>5</v>
      </c>
      <c r="I29" s="4">
        <v>2985990</v>
      </c>
      <c r="J29" s="4">
        <v>6800000</v>
      </c>
      <c r="K29" s="4">
        <v>780000</v>
      </c>
      <c r="L29" s="7">
        <v>0</v>
      </c>
      <c r="M29" s="4">
        <f t="shared" si="2"/>
        <v>10565990</v>
      </c>
      <c r="N29" s="22"/>
      <c r="O29" s="22"/>
      <c r="P29" s="22"/>
    </row>
    <row r="30" spans="3:16" x14ac:dyDescent="0.25">
      <c r="C30" s="33"/>
      <c r="D30" s="11"/>
      <c r="E30" s="33"/>
      <c r="I30" s="4"/>
      <c r="J30" s="4"/>
      <c r="K30" s="4"/>
      <c r="L30" s="7"/>
      <c r="M30" s="4"/>
      <c r="N30" s="22"/>
      <c r="O30" s="22"/>
      <c r="P30" s="22"/>
    </row>
    <row r="31" spans="3:16" x14ac:dyDescent="0.25">
      <c r="C31" s="33" t="str">
        <f t="shared" ref="C31:C43" si="3">IF(H31=1,"u","")</f>
        <v/>
      </c>
      <c r="D31" s="11"/>
      <c r="E31" s="33" t="str">
        <f t="shared" ref="E31:E43" si="4">IF(H31=1,"t","")</f>
        <v/>
      </c>
      <c r="I31" s="4"/>
      <c r="J31" s="4"/>
      <c r="K31" s="4"/>
      <c r="L31" s="7"/>
      <c r="M31" s="4"/>
      <c r="N31" s="22"/>
      <c r="O31" s="22"/>
      <c r="P31" s="22"/>
    </row>
    <row r="32" spans="3:16" x14ac:dyDescent="0.25">
      <c r="C32" s="33" t="str">
        <f t="shared" si="3"/>
        <v/>
      </c>
      <c r="D32" s="11"/>
      <c r="E32" s="33" t="str">
        <f t="shared" si="4"/>
        <v/>
      </c>
      <c r="I32" s="4"/>
      <c r="J32" s="4"/>
      <c r="K32" s="7"/>
      <c r="L32" s="7"/>
      <c r="M32" s="4"/>
      <c r="N32" s="22"/>
      <c r="O32" s="22"/>
      <c r="P32" s="22"/>
    </row>
    <row r="33" spans="3:16" x14ac:dyDescent="0.25">
      <c r="C33" s="33" t="str">
        <f t="shared" si="3"/>
        <v/>
      </c>
      <c r="D33" s="11"/>
      <c r="E33" s="33" t="str">
        <f t="shared" si="4"/>
        <v/>
      </c>
      <c r="I33" s="4"/>
      <c r="J33" s="4"/>
      <c r="K33" s="7"/>
      <c r="L33" s="7"/>
      <c r="M33" s="4"/>
      <c r="N33" s="21"/>
      <c r="O33" s="21"/>
      <c r="P33" s="21"/>
    </row>
    <row r="34" spans="3:16" x14ac:dyDescent="0.25">
      <c r="C34" s="33" t="str">
        <f t="shared" si="3"/>
        <v/>
      </c>
      <c r="D34" s="11"/>
      <c r="E34" s="33" t="str">
        <f t="shared" si="4"/>
        <v/>
      </c>
      <c r="K34" s="7"/>
      <c r="L34" s="7"/>
      <c r="N34" s="21"/>
      <c r="O34" s="21"/>
      <c r="P34" s="21"/>
    </row>
    <row r="35" spans="3:16" x14ac:dyDescent="0.25">
      <c r="C35" s="33" t="str">
        <f t="shared" si="3"/>
        <v/>
      </c>
      <c r="D35" s="11"/>
      <c r="E35" s="33" t="str">
        <f t="shared" si="4"/>
        <v/>
      </c>
      <c r="K35" s="7"/>
      <c r="L35" s="7"/>
      <c r="N35" s="21"/>
      <c r="O35" s="21"/>
      <c r="P35" s="21"/>
    </row>
    <row r="36" spans="3:16" x14ac:dyDescent="0.25">
      <c r="C36" s="33" t="str">
        <f t="shared" si="3"/>
        <v/>
      </c>
      <c r="D36" s="11"/>
      <c r="E36" s="33" t="str">
        <f t="shared" si="4"/>
        <v/>
      </c>
      <c r="K36" s="7"/>
      <c r="L36" s="7"/>
      <c r="N36" s="21"/>
      <c r="O36" s="21"/>
      <c r="P36" s="21"/>
    </row>
    <row r="37" spans="3:16" x14ac:dyDescent="0.25">
      <c r="C37" s="33" t="str">
        <f t="shared" si="3"/>
        <v/>
      </c>
      <c r="D37" s="11"/>
      <c r="E37" s="33" t="str">
        <f t="shared" si="4"/>
        <v/>
      </c>
      <c r="K37" s="7"/>
      <c r="L37" s="7"/>
      <c r="N37" s="21"/>
      <c r="O37" s="21"/>
      <c r="P37" s="21"/>
    </row>
    <row r="38" spans="3:16" x14ac:dyDescent="0.25">
      <c r="C38" s="33" t="str">
        <f t="shared" si="3"/>
        <v/>
      </c>
      <c r="D38" s="11"/>
      <c r="E38" s="33" t="str">
        <f t="shared" si="4"/>
        <v/>
      </c>
      <c r="K38" s="7"/>
      <c r="L38" s="7"/>
      <c r="N38" s="21"/>
      <c r="O38" s="21"/>
      <c r="P38" s="21"/>
    </row>
    <row r="39" spans="3:16" x14ac:dyDescent="0.25">
      <c r="C39" s="33" t="str">
        <f t="shared" si="3"/>
        <v/>
      </c>
      <c r="D39" s="11"/>
      <c r="E39" s="33" t="str">
        <f t="shared" si="4"/>
        <v/>
      </c>
      <c r="K39" s="7"/>
      <c r="L39" s="7"/>
      <c r="N39" s="21"/>
      <c r="O39" s="21"/>
      <c r="P39" s="21"/>
    </row>
    <row r="40" spans="3:16" x14ac:dyDescent="0.25">
      <c r="C40" s="33" t="str">
        <f t="shared" si="3"/>
        <v/>
      </c>
      <c r="D40" s="11"/>
      <c r="E40" s="33" t="str">
        <f t="shared" si="4"/>
        <v/>
      </c>
      <c r="K40" s="7"/>
      <c r="L40" s="7"/>
      <c r="N40" s="21"/>
      <c r="O40" s="21"/>
      <c r="P40" s="21"/>
    </row>
    <row r="41" spans="3:16" x14ac:dyDescent="0.25">
      <c r="C41" s="33" t="str">
        <f t="shared" si="3"/>
        <v/>
      </c>
      <c r="D41" s="11"/>
      <c r="E41" s="33" t="str">
        <f t="shared" si="4"/>
        <v/>
      </c>
      <c r="K41" s="7"/>
      <c r="L41" s="7"/>
      <c r="N41" s="21"/>
      <c r="O41" s="21"/>
      <c r="P41" s="21"/>
    </row>
    <row r="42" spans="3:16" x14ac:dyDescent="0.25">
      <c r="C42" s="33" t="str">
        <f t="shared" si="3"/>
        <v/>
      </c>
      <c r="D42" s="11"/>
      <c r="E42" s="33" t="str">
        <f t="shared" si="4"/>
        <v/>
      </c>
      <c r="K42" s="7"/>
      <c r="L42" s="7"/>
      <c r="N42" s="21"/>
      <c r="O42" s="21"/>
      <c r="P42" s="21"/>
    </row>
    <row r="43" spans="3:16" x14ac:dyDescent="0.25">
      <c r="C43" s="33" t="str">
        <f t="shared" si="3"/>
        <v/>
      </c>
      <c r="D43" s="11"/>
      <c r="E43" s="33" t="str">
        <f t="shared" si="4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3993" priority="13" operator="containsText" text="FAIL">
      <formula>NOT(ISERROR(SEARCH("FAIL",F9)))</formula>
    </cfRule>
  </conditionalFormatting>
  <conditionalFormatting sqref="I9 F11">
    <cfRule type="containsText" dxfId="3992" priority="12" operator="containsText" text="GOOD">
      <formula>NOT(ISERROR(SEARCH("GOOD",F9)))</formula>
    </cfRule>
  </conditionalFormatting>
  <conditionalFormatting sqref="I9">
    <cfRule type="containsText" dxfId="3991" priority="11" operator="containsText" text="FAIL">
      <formula>NOT(ISERROR(SEARCH("FAIL",I9)))</formula>
    </cfRule>
  </conditionalFormatting>
  <conditionalFormatting sqref="I9">
    <cfRule type="containsText" dxfId="3990" priority="10" operator="containsText" text="GOOD">
      <formula>NOT(ISERROR(SEARCH("GOOD",I9)))</formula>
    </cfRule>
  </conditionalFormatting>
  <conditionalFormatting sqref="D23:D24 D29:D43">
    <cfRule type="expression" dxfId="3989" priority="9">
      <formula>H23=1</formula>
    </cfRule>
  </conditionalFormatting>
  <conditionalFormatting sqref="C23:C24 C29:C43">
    <cfRule type="expression" dxfId="3988" priority="8">
      <formula>H23=1</formula>
    </cfRule>
  </conditionalFormatting>
  <conditionalFormatting sqref="E23:E24 E29:E43">
    <cfRule type="expression" dxfId="3987" priority="7">
      <formula>H23=1</formula>
    </cfRule>
  </conditionalFormatting>
  <conditionalFormatting sqref="D25:D26">
    <cfRule type="expression" dxfId="3986" priority="6">
      <formula>H25=1</formula>
    </cfRule>
  </conditionalFormatting>
  <conditionalFormatting sqref="C25:C26">
    <cfRule type="expression" dxfId="3985" priority="5">
      <formula>H25=1</formula>
    </cfRule>
  </conditionalFormatting>
  <conditionalFormatting sqref="E25:E26">
    <cfRule type="expression" dxfId="3984" priority="4">
      <formula>H25=1</formula>
    </cfRule>
  </conditionalFormatting>
  <conditionalFormatting sqref="D27:D28">
    <cfRule type="expression" dxfId="3983" priority="3">
      <formula>H27=1</formula>
    </cfRule>
  </conditionalFormatting>
  <conditionalFormatting sqref="C27:C28">
    <cfRule type="expression" dxfId="3982" priority="2">
      <formula>H27=1</formula>
    </cfRule>
  </conditionalFormatting>
  <conditionalFormatting sqref="E27:E28">
    <cfRule type="expression" dxfId="3981" priority="1">
      <formula>H27=1</formula>
    </cfRule>
  </conditionalFormatting>
  <pageMargins left="0.7" right="0.7" top="0.75" bottom="0.75" header="0.3" footer="0.3"/>
  <pageSetup scale="77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P47"/>
  <sheetViews>
    <sheetView zoomScaleNormal="100" workbookViewId="0">
      <selection activeCell="K26" sqref="K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1609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1610</v>
      </c>
    </row>
    <row r="6" spans="1:16" x14ac:dyDescent="0.25">
      <c r="D6" s="2" t="s">
        <v>2</v>
      </c>
      <c r="F6" s="6">
        <v>43567</v>
      </c>
      <c r="H6" s="11"/>
    </row>
    <row r="7" spans="1:16" x14ac:dyDescent="0.25">
      <c r="D7" s="2" t="s">
        <v>3</v>
      </c>
      <c r="F7" s="5">
        <v>1216000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1300529</v>
      </c>
      <c r="H8" s="11"/>
    </row>
    <row r="9" spans="1:16" x14ac:dyDescent="0.25">
      <c r="D9" s="2" t="s">
        <v>67</v>
      </c>
      <c r="F9" s="4">
        <f>+F8-F7</f>
        <v>84529</v>
      </c>
      <c r="G9" s="16">
        <f>+F9/F7</f>
        <v>6.9513980263157901E-2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-1353805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2569805</v>
      </c>
      <c r="G12" s="14"/>
      <c r="H12" s="11">
        <f>COUNT(I23:I43)</f>
        <v>4</v>
      </c>
      <c r="I12" s="1" t="s">
        <v>31</v>
      </c>
      <c r="J12" s="4">
        <f>+F8*0.9</f>
        <v>1170476.1000000001</v>
      </c>
      <c r="K12" s="1" t="s">
        <v>69</v>
      </c>
    </row>
    <row r="13" spans="1:16" x14ac:dyDescent="0.25">
      <c r="D13" s="2" t="s">
        <v>29</v>
      </c>
      <c r="F13" s="4">
        <f>MAX(I23:I43)-MIN(I23:I43)</f>
        <v>2887488</v>
      </c>
      <c r="G13" s="269">
        <f>MEDIAN(I23:I43)</f>
        <v>2395337</v>
      </c>
      <c r="H13" s="270"/>
      <c r="I13" s="1" t="s">
        <v>30</v>
      </c>
      <c r="J13" s="4">
        <f>+F12*1.1</f>
        <v>2826785.5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1156</v>
      </c>
      <c r="E23" s="33"/>
      <c r="F23" t="s">
        <v>407</v>
      </c>
      <c r="G23" t="s">
        <v>93</v>
      </c>
      <c r="H23">
        <f>RANK(I23,I$23:I$43,1)</f>
        <v>4</v>
      </c>
      <c r="I23" s="4">
        <v>4188017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0">IF(H24=1,"u","")</f>
        <v/>
      </c>
      <c r="D24" s="11" t="s">
        <v>944</v>
      </c>
      <c r="E24" s="33"/>
      <c r="F24" t="s">
        <v>139</v>
      </c>
      <c r="G24" t="s">
        <v>25</v>
      </c>
      <c r="H24">
        <f>RANK(I24,I$23:I$43,1)</f>
        <v>2</v>
      </c>
      <c r="I24" s="4">
        <v>2200788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0"/>
        <v>u</v>
      </c>
      <c r="D25" s="11" t="s">
        <v>605</v>
      </c>
      <c r="E25" s="33"/>
      <c r="F25" t="s">
        <v>120</v>
      </c>
      <c r="G25" t="s">
        <v>25</v>
      </c>
      <c r="H25">
        <f>RANK(I25,I$23:I$43,1)</f>
        <v>1</v>
      </c>
      <c r="I25" s="4">
        <v>1300529</v>
      </c>
      <c r="J25" s="4"/>
      <c r="K25" s="4"/>
      <c r="L25" s="4"/>
      <c r="M25" s="22"/>
      <c r="N25" s="22"/>
      <c r="O25" s="22"/>
    </row>
    <row r="26" spans="3:15" x14ac:dyDescent="0.25">
      <c r="C26" s="33" t="str">
        <f>IF(H26=1,"u","")</f>
        <v/>
      </c>
      <c r="D26" s="11" t="s">
        <v>1155</v>
      </c>
      <c r="E26" s="33"/>
      <c r="F26" t="s">
        <v>181</v>
      </c>
      <c r="G26" t="s">
        <v>93</v>
      </c>
      <c r="H26">
        <f>RANK(I26,I$23:I$43,1)</f>
        <v>3</v>
      </c>
      <c r="I26" s="4">
        <v>2589886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11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980" priority="16" operator="containsText" text="FAIL">
      <formula>NOT(ISERROR(SEARCH("FAIL",I9)))</formula>
    </cfRule>
  </conditionalFormatting>
  <conditionalFormatting sqref="I9">
    <cfRule type="containsText" dxfId="3979" priority="15" operator="containsText" text="GOOD">
      <formula>NOT(ISERROR(SEARCH("GOOD",I9)))</formula>
    </cfRule>
  </conditionalFormatting>
  <conditionalFormatting sqref="F11">
    <cfRule type="containsText" dxfId="3978" priority="14" operator="containsText" text="FAIL">
      <formula>NOT(ISERROR(SEARCH("FAIL",F11)))</formula>
    </cfRule>
  </conditionalFormatting>
  <conditionalFormatting sqref="F11">
    <cfRule type="containsText" dxfId="3977" priority="13" operator="containsText" text="GOOD">
      <formula>NOT(ISERROR(SEARCH("GOOD",F11)))</formula>
    </cfRule>
  </conditionalFormatting>
  <conditionalFormatting sqref="D23:D25 D28:D43">
    <cfRule type="expression" dxfId="3976" priority="12">
      <formula>H23=1</formula>
    </cfRule>
  </conditionalFormatting>
  <conditionalFormatting sqref="C23:C25 C28:C43">
    <cfRule type="expression" dxfId="3975" priority="11">
      <formula>H23=1</formula>
    </cfRule>
  </conditionalFormatting>
  <conditionalFormatting sqref="E23:E25 E30:E43 E28">
    <cfRule type="expression" dxfId="3974" priority="10">
      <formula>H23=1</formula>
    </cfRule>
  </conditionalFormatting>
  <conditionalFormatting sqref="F11">
    <cfRule type="containsText" dxfId="3973" priority="9" operator="containsText" text="FAIL">
      <formula>NOT(ISERROR(SEARCH("FAIL",F11)))</formula>
    </cfRule>
  </conditionalFormatting>
  <conditionalFormatting sqref="F11">
    <cfRule type="containsText" dxfId="3972" priority="8" operator="containsText" text="GOOD">
      <formula>NOT(ISERROR(SEARCH("GOOD",F11)))</formula>
    </cfRule>
  </conditionalFormatting>
  <conditionalFormatting sqref="E29">
    <cfRule type="expression" dxfId="3971" priority="7">
      <formula>I29=1</formula>
    </cfRule>
  </conditionalFormatting>
  <conditionalFormatting sqref="D27">
    <cfRule type="expression" dxfId="3970" priority="6">
      <formula>H27=1</formula>
    </cfRule>
  </conditionalFormatting>
  <conditionalFormatting sqref="C27">
    <cfRule type="expression" dxfId="3969" priority="5">
      <formula>H27=1</formula>
    </cfRule>
  </conditionalFormatting>
  <conditionalFormatting sqref="E27">
    <cfRule type="expression" dxfId="3968" priority="4">
      <formula>H27=1</formula>
    </cfRule>
  </conditionalFormatting>
  <conditionalFormatting sqref="D26">
    <cfRule type="expression" dxfId="3967" priority="3">
      <formula>H26=1</formula>
    </cfRule>
  </conditionalFormatting>
  <conditionalFormatting sqref="C26">
    <cfRule type="expression" dxfId="3966" priority="2">
      <formula>H26=1</formula>
    </cfRule>
  </conditionalFormatting>
  <conditionalFormatting sqref="E26">
    <cfRule type="expression" dxfId="3965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P47"/>
  <sheetViews>
    <sheetView zoomScaleNormal="100" workbookViewId="0">
      <selection activeCell="K25" sqref="K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1606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1607</v>
      </c>
    </row>
    <row r="6" spans="1:16" x14ac:dyDescent="0.25">
      <c r="D6" s="2" t="s">
        <v>2</v>
      </c>
      <c r="F6" s="6">
        <v>43565</v>
      </c>
      <c r="H6" s="11"/>
    </row>
    <row r="7" spans="1:16" x14ac:dyDescent="0.25">
      <c r="D7" s="2" t="s">
        <v>3</v>
      </c>
      <c r="F7" s="5">
        <v>1090000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1142000</v>
      </c>
      <c r="H8" s="11"/>
    </row>
    <row r="9" spans="1:16" x14ac:dyDescent="0.25">
      <c r="D9" s="2" t="s">
        <v>67</v>
      </c>
      <c r="F9" s="4">
        <f>+F8-F7</f>
        <v>52000</v>
      </c>
      <c r="G9" s="16">
        <f>+F9/F7</f>
        <v>4.7706422018348627E-2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-202823.33333333326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1292823.3333333333</v>
      </c>
      <c r="G12" s="14"/>
      <c r="H12" s="11">
        <f>COUNT(I23:I43)</f>
        <v>3</v>
      </c>
      <c r="I12" s="1" t="s">
        <v>31</v>
      </c>
      <c r="J12" s="4">
        <f>+F8*0.9</f>
        <v>1027800</v>
      </c>
      <c r="K12" s="1" t="s">
        <v>69</v>
      </c>
    </row>
    <row r="13" spans="1:16" x14ac:dyDescent="0.25">
      <c r="D13" s="2" t="s">
        <v>29</v>
      </c>
      <c r="F13" s="4">
        <f>MAX(I23:I43)-MIN(I23:I43)</f>
        <v>349000</v>
      </c>
      <c r="G13" s="269">
        <f>MEDIAN(I23:I43)</f>
        <v>1245470</v>
      </c>
      <c r="H13" s="270"/>
      <c r="I13" s="1" t="s">
        <v>30</v>
      </c>
      <c r="J13" s="4">
        <f>+F12*1.1</f>
        <v>1422105.6666666667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824</v>
      </c>
      <c r="E23" s="33"/>
      <c r="F23" t="s">
        <v>186</v>
      </c>
      <c r="G23" t="s">
        <v>25</v>
      </c>
      <c r="H23">
        <f>RANK(I23,I$23:I$43,1)</f>
        <v>3</v>
      </c>
      <c r="I23" s="4">
        <v>1491000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0">IF(H24=1,"u","")</f>
        <v/>
      </c>
      <c r="D24" s="11" t="s">
        <v>1608</v>
      </c>
      <c r="E24" s="33"/>
      <c r="F24" t="s">
        <v>302</v>
      </c>
      <c r="G24" t="s">
        <v>93</v>
      </c>
      <c r="H24">
        <f>RANK(I24,I$23:I$43,1)</f>
        <v>2</v>
      </c>
      <c r="I24" s="4">
        <v>1245470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0"/>
        <v>u</v>
      </c>
      <c r="D25" s="11" t="s">
        <v>1278</v>
      </c>
      <c r="E25" s="33"/>
      <c r="F25" t="s">
        <v>1451</v>
      </c>
      <c r="G25" t="s">
        <v>25</v>
      </c>
      <c r="H25">
        <f>RANK(I25,I$23:I$43,1)</f>
        <v>1</v>
      </c>
      <c r="I25" s="4">
        <v>1142000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11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964" priority="13" operator="containsText" text="FAIL">
      <formula>NOT(ISERROR(SEARCH("FAIL",I9)))</formula>
    </cfRule>
  </conditionalFormatting>
  <conditionalFormatting sqref="I9">
    <cfRule type="containsText" dxfId="3963" priority="12" operator="containsText" text="GOOD">
      <formula>NOT(ISERROR(SEARCH("GOOD",I9)))</formula>
    </cfRule>
  </conditionalFormatting>
  <conditionalFormatting sqref="F11">
    <cfRule type="containsText" dxfId="3962" priority="11" operator="containsText" text="FAIL">
      <formula>NOT(ISERROR(SEARCH("FAIL",F11)))</formula>
    </cfRule>
  </conditionalFormatting>
  <conditionalFormatting sqref="F11">
    <cfRule type="containsText" dxfId="3961" priority="10" operator="containsText" text="GOOD">
      <formula>NOT(ISERROR(SEARCH("GOOD",F11)))</formula>
    </cfRule>
  </conditionalFormatting>
  <conditionalFormatting sqref="D23:D26 D28:D43">
    <cfRule type="expression" dxfId="3960" priority="9">
      <formula>H23=1</formula>
    </cfRule>
  </conditionalFormatting>
  <conditionalFormatting sqref="C23:C26 C28:C43">
    <cfRule type="expression" dxfId="3959" priority="8">
      <formula>H23=1</formula>
    </cfRule>
  </conditionalFormatting>
  <conditionalFormatting sqref="E23:E26 E30:E43 E28">
    <cfRule type="expression" dxfId="3958" priority="7">
      <formula>H23=1</formula>
    </cfRule>
  </conditionalFormatting>
  <conditionalFormatting sqref="F11">
    <cfRule type="containsText" dxfId="3957" priority="6" operator="containsText" text="FAIL">
      <formula>NOT(ISERROR(SEARCH("FAIL",F11)))</formula>
    </cfRule>
  </conditionalFormatting>
  <conditionalFormatting sqref="F11">
    <cfRule type="containsText" dxfId="3956" priority="5" operator="containsText" text="GOOD">
      <formula>NOT(ISERROR(SEARCH("GOOD",F11)))</formula>
    </cfRule>
  </conditionalFormatting>
  <conditionalFormatting sqref="E29">
    <cfRule type="expression" dxfId="3955" priority="4">
      <formula>I29=1</formula>
    </cfRule>
  </conditionalFormatting>
  <conditionalFormatting sqref="D27">
    <cfRule type="expression" dxfId="3954" priority="3">
      <formula>H27=1</formula>
    </cfRule>
  </conditionalFormatting>
  <conditionalFormatting sqref="C27">
    <cfRule type="expression" dxfId="3953" priority="2">
      <formula>H27=1</formula>
    </cfRule>
  </conditionalFormatting>
  <conditionalFormatting sqref="E27">
    <cfRule type="expression" dxfId="3952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P47"/>
  <sheetViews>
    <sheetView zoomScaleNormal="100" workbookViewId="0">
      <selection activeCell="F6" sqref="F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1597</v>
      </c>
      <c r="I4" s="2" t="s">
        <v>4</v>
      </c>
      <c r="J4" t="s">
        <v>1251</v>
      </c>
    </row>
    <row r="5" spans="1:16" x14ac:dyDescent="0.25">
      <c r="D5" s="2" t="s">
        <v>1</v>
      </c>
      <c r="F5" t="s">
        <v>1598</v>
      </c>
    </row>
    <row r="6" spans="1:16" x14ac:dyDescent="0.25">
      <c r="D6" s="2" t="s">
        <v>2</v>
      </c>
      <c r="F6" s="6">
        <v>43545</v>
      </c>
      <c r="H6" s="11"/>
    </row>
    <row r="7" spans="1:16" x14ac:dyDescent="0.25">
      <c r="D7" s="2" t="s">
        <v>3</v>
      </c>
      <c r="F7" s="5">
        <v>1151000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1762891</v>
      </c>
      <c r="H8" s="11"/>
    </row>
    <row r="9" spans="1:16" x14ac:dyDescent="0.25">
      <c r="D9" s="2" t="s">
        <v>67</v>
      </c>
      <c r="F9" s="4">
        <f>+F8-F7</f>
        <v>611891</v>
      </c>
      <c r="G9" s="16">
        <f>+F9/F7</f>
        <v>0.53161685490877497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-1295945.25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2446945.25</v>
      </c>
      <c r="G12" s="14"/>
      <c r="H12" s="11">
        <f>COUNT(I23:I43)</f>
        <v>4</v>
      </c>
      <c r="I12" s="1" t="s">
        <v>31</v>
      </c>
      <c r="J12" s="4">
        <f>+F8*0.9</f>
        <v>1586601.9000000001</v>
      </c>
      <c r="K12" s="1" t="s">
        <v>69</v>
      </c>
    </row>
    <row r="13" spans="1:16" x14ac:dyDescent="0.25">
      <c r="D13" s="2" t="s">
        <v>29</v>
      </c>
      <c r="F13" s="4">
        <f>MAX(I23:I43)-MIN(I23:I43)</f>
        <v>1082359</v>
      </c>
      <c r="G13" s="269">
        <f>MEDIAN(I23:I43)</f>
        <v>2589820</v>
      </c>
      <c r="H13" s="270"/>
      <c r="I13" s="1" t="s">
        <v>30</v>
      </c>
      <c r="J13" s="4">
        <f>+F12*1.1</f>
        <v>2691639.7750000004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1157</v>
      </c>
      <c r="E23" s="33"/>
      <c r="F23" t="s">
        <v>181</v>
      </c>
      <c r="G23" t="s">
        <v>93</v>
      </c>
      <c r="H23">
        <f>RANK(I23,I$23:I$43,1)</f>
        <v>4</v>
      </c>
      <c r="I23" s="4">
        <v>2845250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0">IF(H24=1,"u","")</f>
        <v>u</v>
      </c>
      <c r="D24" s="11" t="s">
        <v>944</v>
      </c>
      <c r="E24" s="33"/>
      <c r="F24" t="s">
        <v>139</v>
      </c>
      <c r="G24" t="s">
        <v>25</v>
      </c>
      <c r="H24">
        <f>RANK(I24,I$23:I$43,1)</f>
        <v>1</v>
      </c>
      <c r="I24" s="4">
        <v>1762891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1445</v>
      </c>
      <c r="E25" s="33"/>
      <c r="F25" t="s">
        <v>95</v>
      </c>
      <c r="G25" t="s">
        <v>93</v>
      </c>
      <c r="H25">
        <f>RANK(I25,I$23:I$43,1)</f>
        <v>2</v>
      </c>
      <c r="I25" s="4">
        <v>2387640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 t="s">
        <v>725</v>
      </c>
      <c r="E26" s="33"/>
      <c r="F26" t="s">
        <v>594</v>
      </c>
      <c r="G26" t="s">
        <v>25</v>
      </c>
      <c r="H26">
        <f>RANK(I26,I$23:I$43,1)</f>
        <v>3</v>
      </c>
      <c r="I26" s="4">
        <v>2792000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11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951" priority="13" operator="containsText" text="FAIL">
      <formula>NOT(ISERROR(SEARCH("FAIL",I9)))</formula>
    </cfRule>
  </conditionalFormatting>
  <conditionalFormatting sqref="I9">
    <cfRule type="containsText" dxfId="3950" priority="12" operator="containsText" text="GOOD">
      <formula>NOT(ISERROR(SEARCH("GOOD",I9)))</formula>
    </cfRule>
  </conditionalFormatting>
  <conditionalFormatting sqref="F11">
    <cfRule type="containsText" dxfId="3949" priority="11" operator="containsText" text="FAIL">
      <formula>NOT(ISERROR(SEARCH("FAIL",F11)))</formula>
    </cfRule>
  </conditionalFormatting>
  <conditionalFormatting sqref="F11">
    <cfRule type="containsText" dxfId="3948" priority="10" operator="containsText" text="GOOD">
      <formula>NOT(ISERROR(SEARCH("GOOD",F11)))</formula>
    </cfRule>
  </conditionalFormatting>
  <conditionalFormatting sqref="D23:D26 D28:D43">
    <cfRule type="expression" dxfId="3947" priority="9">
      <formula>H23=1</formula>
    </cfRule>
  </conditionalFormatting>
  <conditionalFormatting sqref="C23:C26 C28:C43">
    <cfRule type="expression" dxfId="3946" priority="8">
      <formula>H23=1</formula>
    </cfRule>
  </conditionalFormatting>
  <conditionalFormatting sqref="E23:E26 E30:E43 E28">
    <cfRule type="expression" dxfId="3945" priority="7">
      <formula>H23=1</formula>
    </cfRule>
  </conditionalFormatting>
  <conditionalFormatting sqref="F11">
    <cfRule type="containsText" dxfId="3944" priority="6" operator="containsText" text="FAIL">
      <formula>NOT(ISERROR(SEARCH("FAIL",F11)))</formula>
    </cfRule>
  </conditionalFormatting>
  <conditionalFormatting sqref="F11">
    <cfRule type="containsText" dxfId="3943" priority="5" operator="containsText" text="GOOD">
      <formula>NOT(ISERROR(SEARCH("GOOD",F11)))</formula>
    </cfRule>
  </conditionalFormatting>
  <conditionalFormatting sqref="E29">
    <cfRule type="expression" dxfId="3942" priority="4">
      <formula>I29=1</formula>
    </cfRule>
  </conditionalFormatting>
  <conditionalFormatting sqref="D27">
    <cfRule type="expression" dxfId="3941" priority="3">
      <formula>H27=1</formula>
    </cfRule>
  </conditionalFormatting>
  <conditionalFormatting sqref="C27">
    <cfRule type="expression" dxfId="3940" priority="2">
      <formula>H27=1</formula>
    </cfRule>
  </conditionalFormatting>
  <conditionalFormatting sqref="E27">
    <cfRule type="expression" dxfId="3939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P47"/>
  <sheetViews>
    <sheetView zoomScaleNormal="100" workbookViewId="0">
      <selection activeCell="I27" sqref="I2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1594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1595</v>
      </c>
    </row>
    <row r="6" spans="1:16" x14ac:dyDescent="0.25">
      <c r="D6" s="2" t="s">
        <v>2</v>
      </c>
      <c r="F6" s="6">
        <v>43543</v>
      </c>
      <c r="H6" s="11"/>
    </row>
    <row r="7" spans="1:16" x14ac:dyDescent="0.25">
      <c r="D7" s="2" t="s">
        <v>3</v>
      </c>
      <c r="F7" s="5">
        <v>2390000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2374684</v>
      </c>
      <c r="H8" s="11"/>
    </row>
    <row r="9" spans="1:16" x14ac:dyDescent="0.25">
      <c r="D9" s="2" t="s">
        <v>67</v>
      </c>
      <c r="F9" s="4">
        <f>+F8-F7</f>
        <v>-15316</v>
      </c>
      <c r="G9" s="16">
        <f>+F9/F7</f>
        <v>-6.4083682008368205E-3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-812726.79999999981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3202726.8</v>
      </c>
      <c r="G12" s="14"/>
      <c r="H12" s="11">
        <f>COUNT(I23:I43)</f>
        <v>5</v>
      </c>
      <c r="I12" s="1" t="s">
        <v>31</v>
      </c>
      <c r="J12" s="4">
        <f>+F8*0.9</f>
        <v>2137215.6</v>
      </c>
      <c r="K12" s="1" t="s">
        <v>69</v>
      </c>
    </row>
    <row r="13" spans="1:16" x14ac:dyDescent="0.25">
      <c r="D13" s="2" t="s">
        <v>29</v>
      </c>
      <c r="F13" s="4">
        <f>MAX(I23:I43)-MIN(I23:I43)</f>
        <v>1920316</v>
      </c>
      <c r="G13" s="269">
        <f>MEDIAN(I23:I43)</f>
        <v>2720000</v>
      </c>
      <c r="H13" s="270"/>
      <c r="I13" s="1" t="s">
        <v>30</v>
      </c>
      <c r="J13" s="4">
        <f>+F12*1.1</f>
        <v>3522999.48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1596</v>
      </c>
      <c r="E23" s="33"/>
      <c r="F23" t="s">
        <v>292</v>
      </c>
      <c r="G23" t="s">
        <v>25</v>
      </c>
      <c r="H23">
        <f>RANK(I23,I$23:I$43,1)</f>
        <v>5</v>
      </c>
      <c r="I23" s="4">
        <v>4295000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0">IF(H24=1,"u","")</f>
        <v/>
      </c>
      <c r="D24" s="11" t="s">
        <v>547</v>
      </c>
      <c r="E24" s="33"/>
      <c r="F24" t="s">
        <v>88</v>
      </c>
      <c r="G24" t="s">
        <v>25</v>
      </c>
      <c r="H24">
        <f>RANK(I24,I$23:I$43,1)</f>
        <v>3</v>
      </c>
      <c r="I24" s="4">
        <v>2720000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502</v>
      </c>
      <c r="E25" s="33"/>
      <c r="F25" t="s">
        <v>95</v>
      </c>
      <c r="G25" t="s">
        <v>93</v>
      </c>
      <c r="H25">
        <f>RANK(I25,I$23:I$43,1)</f>
        <v>2</v>
      </c>
      <c r="I25" s="4">
        <v>2627000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 t="s">
        <v>1335</v>
      </c>
      <c r="E26" s="33"/>
      <c r="F26" t="s">
        <v>95</v>
      </c>
      <c r="G26" t="s">
        <v>93</v>
      </c>
      <c r="H26">
        <f>RANK(I26,I$23:I$43,1)</f>
        <v>4</v>
      </c>
      <c r="I26" s="4">
        <v>3996950</v>
      </c>
      <c r="J26" s="4"/>
      <c r="K26" s="4"/>
      <c r="L26" s="4"/>
      <c r="M26" s="22"/>
      <c r="N26" s="22"/>
      <c r="O26" s="22"/>
    </row>
    <row r="27" spans="3:15" x14ac:dyDescent="0.25">
      <c r="C27" s="33" t="str">
        <f>IF(H27=1,"u","")</f>
        <v>u</v>
      </c>
      <c r="D27" s="11" t="s">
        <v>968</v>
      </c>
      <c r="E27" s="33"/>
      <c r="F27" t="s">
        <v>203</v>
      </c>
      <c r="G27" t="s">
        <v>204</v>
      </c>
      <c r="H27">
        <f>RANK(I27,I$23:I$43,1)</f>
        <v>1</v>
      </c>
      <c r="I27" s="4">
        <v>2374684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11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938" priority="13" operator="containsText" text="FAIL">
      <formula>NOT(ISERROR(SEARCH("FAIL",I9)))</formula>
    </cfRule>
  </conditionalFormatting>
  <conditionalFormatting sqref="I9">
    <cfRule type="containsText" dxfId="3937" priority="12" operator="containsText" text="GOOD">
      <formula>NOT(ISERROR(SEARCH("GOOD",I9)))</formula>
    </cfRule>
  </conditionalFormatting>
  <conditionalFormatting sqref="F11">
    <cfRule type="containsText" dxfId="3936" priority="11" operator="containsText" text="FAIL">
      <formula>NOT(ISERROR(SEARCH("FAIL",F11)))</formula>
    </cfRule>
  </conditionalFormatting>
  <conditionalFormatting sqref="F11">
    <cfRule type="containsText" dxfId="3935" priority="10" operator="containsText" text="GOOD">
      <formula>NOT(ISERROR(SEARCH("GOOD",F11)))</formula>
    </cfRule>
  </conditionalFormatting>
  <conditionalFormatting sqref="D23:D26 D28:D43">
    <cfRule type="expression" dxfId="3934" priority="9">
      <formula>H23=1</formula>
    </cfRule>
  </conditionalFormatting>
  <conditionalFormatting sqref="C23:C26 C28:C43">
    <cfRule type="expression" dxfId="3933" priority="8">
      <formula>H23=1</formula>
    </cfRule>
  </conditionalFormatting>
  <conditionalFormatting sqref="E23:E26 E30:E43 E28">
    <cfRule type="expression" dxfId="3932" priority="7">
      <formula>H23=1</formula>
    </cfRule>
  </conditionalFormatting>
  <conditionalFormatting sqref="F11">
    <cfRule type="containsText" dxfId="3931" priority="6" operator="containsText" text="FAIL">
      <formula>NOT(ISERROR(SEARCH("FAIL",F11)))</formula>
    </cfRule>
  </conditionalFormatting>
  <conditionalFormatting sqref="F11">
    <cfRule type="containsText" dxfId="3930" priority="5" operator="containsText" text="GOOD">
      <formula>NOT(ISERROR(SEARCH("GOOD",F11)))</formula>
    </cfRule>
  </conditionalFormatting>
  <conditionalFormatting sqref="E29">
    <cfRule type="expression" dxfId="3929" priority="4">
      <formula>I29=1</formula>
    </cfRule>
  </conditionalFormatting>
  <conditionalFormatting sqref="D27">
    <cfRule type="expression" dxfId="3928" priority="3">
      <formula>H27=1</formula>
    </cfRule>
  </conditionalFormatting>
  <conditionalFormatting sqref="C27">
    <cfRule type="expression" dxfId="3927" priority="2">
      <formula>H27=1</formula>
    </cfRule>
  </conditionalFormatting>
  <conditionalFormatting sqref="E27">
    <cfRule type="expression" dxfId="3926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P47"/>
  <sheetViews>
    <sheetView zoomScaleNormal="100" workbookViewId="0">
      <selection activeCell="L26" sqref="L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1586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1587</v>
      </c>
    </row>
    <row r="6" spans="1:16" x14ac:dyDescent="0.25">
      <c r="D6" s="2" t="s">
        <v>2</v>
      </c>
      <c r="F6" s="6">
        <v>43531</v>
      </c>
      <c r="H6" s="11"/>
    </row>
    <row r="7" spans="1:16" x14ac:dyDescent="0.25">
      <c r="D7" s="2" t="s">
        <v>3</v>
      </c>
      <c r="F7" s="5">
        <v>2460000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2542676</v>
      </c>
      <c r="H8" s="11"/>
    </row>
    <row r="9" spans="1:16" x14ac:dyDescent="0.25">
      <c r="D9" s="2" t="s">
        <v>67</v>
      </c>
      <c r="F9" s="4">
        <f>+F8-F7</f>
        <v>82676</v>
      </c>
      <c r="G9" s="16">
        <f>+F9/F7</f>
        <v>3.3608130081300813E-2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-317662.25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2777662.25</v>
      </c>
      <c r="G12" s="14"/>
      <c r="H12" s="11">
        <f>COUNT(I23:I43)</f>
        <v>4</v>
      </c>
      <c r="I12" s="1" t="s">
        <v>31</v>
      </c>
      <c r="J12" s="4">
        <f>+F8*0.9</f>
        <v>2288408.4</v>
      </c>
      <c r="K12" s="1" t="s">
        <v>69</v>
      </c>
    </row>
    <row r="13" spans="1:16" x14ac:dyDescent="0.25">
      <c r="D13" s="2" t="s">
        <v>29</v>
      </c>
      <c r="F13" s="4">
        <f>MAX(I23:I43)-MIN(I23:I43)</f>
        <v>622024</v>
      </c>
      <c r="G13" s="269">
        <f>MEDIAN(I23:I43)</f>
        <v>2701636.5</v>
      </c>
      <c r="H13" s="270"/>
      <c r="I13" s="1" t="s">
        <v>30</v>
      </c>
      <c r="J13" s="4">
        <f>+F12*1.1</f>
        <v>3055428.4750000001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347</v>
      </c>
      <c r="E23" s="33"/>
      <c r="F23" t="s">
        <v>147</v>
      </c>
      <c r="G23" t="s">
        <v>93</v>
      </c>
      <c r="H23">
        <f>RANK(I23,I$23:I$43,1)</f>
        <v>2</v>
      </c>
      <c r="I23" s="4">
        <v>2555556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0">IF(H24=1,"u","")</f>
        <v>u</v>
      </c>
      <c r="D24" s="11" t="s">
        <v>1155</v>
      </c>
      <c r="E24" s="33"/>
      <c r="F24" t="s">
        <v>181</v>
      </c>
      <c r="G24" t="s">
        <v>93</v>
      </c>
      <c r="H24">
        <f>RANK(I24,I$23:I$43,1)</f>
        <v>1</v>
      </c>
      <c r="I24" s="4">
        <v>2542676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1588</v>
      </c>
      <c r="E25" s="33"/>
      <c r="F25" t="s">
        <v>127</v>
      </c>
      <c r="G25" t="s">
        <v>25</v>
      </c>
      <c r="H25">
        <f>RANK(I25,I$23:I$43,1)</f>
        <v>3</v>
      </c>
      <c r="I25" s="4">
        <v>2847717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 t="s">
        <v>1589</v>
      </c>
      <c r="E26" s="33"/>
      <c r="F26" t="s">
        <v>697</v>
      </c>
      <c r="G26" t="s">
        <v>93</v>
      </c>
      <c r="H26">
        <f>RANK(I26,I$23:I$43,1)</f>
        <v>4</v>
      </c>
      <c r="I26" s="4">
        <v>3164700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11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925" priority="10" operator="containsText" text="FAIL">
      <formula>NOT(ISERROR(SEARCH("FAIL",I9)))</formula>
    </cfRule>
  </conditionalFormatting>
  <conditionalFormatting sqref="I9">
    <cfRule type="containsText" dxfId="3924" priority="9" operator="containsText" text="GOOD">
      <formula>NOT(ISERROR(SEARCH("GOOD",I9)))</formula>
    </cfRule>
  </conditionalFormatting>
  <conditionalFormatting sqref="F11">
    <cfRule type="containsText" dxfId="3923" priority="8" operator="containsText" text="FAIL">
      <formula>NOT(ISERROR(SEARCH("FAIL",F11)))</formula>
    </cfRule>
  </conditionalFormatting>
  <conditionalFormatting sqref="F11">
    <cfRule type="containsText" dxfId="3922" priority="7" operator="containsText" text="GOOD">
      <formula>NOT(ISERROR(SEARCH("GOOD",F11)))</formula>
    </cfRule>
  </conditionalFormatting>
  <conditionalFormatting sqref="D23:D43">
    <cfRule type="expression" dxfId="3921" priority="6">
      <formula>H23=1</formula>
    </cfRule>
  </conditionalFormatting>
  <conditionalFormatting sqref="C23:C43">
    <cfRule type="expression" dxfId="3920" priority="5">
      <formula>H23=1</formula>
    </cfRule>
  </conditionalFormatting>
  <conditionalFormatting sqref="E23:E28 E30:E43">
    <cfRule type="expression" dxfId="3919" priority="4">
      <formula>H23=1</formula>
    </cfRule>
  </conditionalFormatting>
  <conditionalFormatting sqref="F11">
    <cfRule type="containsText" dxfId="3918" priority="3" operator="containsText" text="FAIL">
      <formula>NOT(ISERROR(SEARCH("FAIL",F11)))</formula>
    </cfRule>
  </conditionalFormatting>
  <conditionalFormatting sqref="F11">
    <cfRule type="containsText" dxfId="3917" priority="2" operator="containsText" text="GOOD">
      <formula>NOT(ISERROR(SEARCH("GOOD",F11)))</formula>
    </cfRule>
  </conditionalFormatting>
  <conditionalFormatting sqref="E29">
    <cfRule type="expression" dxfId="3916" priority="1">
      <formula>I29=1</formula>
    </cfRule>
  </conditionalFormatting>
  <pageMargins left="0.7" right="0.7" top="0.75" bottom="0.75" header="0.3" footer="0.3"/>
  <pageSetup scale="68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P47"/>
  <sheetViews>
    <sheetView zoomScaleNormal="100" workbookViewId="0">
      <selection activeCell="G25" sqref="G25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1582</v>
      </c>
      <c r="I4" s="2" t="s">
        <v>4</v>
      </c>
      <c r="J4" t="s">
        <v>1583</v>
      </c>
    </row>
    <row r="5" spans="1:15" x14ac:dyDescent="0.25">
      <c r="D5" s="2" t="s">
        <v>1</v>
      </c>
      <c r="F5" t="s">
        <v>1584</v>
      </c>
    </row>
    <row r="6" spans="1:15" x14ac:dyDescent="0.25">
      <c r="D6" s="2" t="s">
        <v>2</v>
      </c>
      <c r="F6" s="6">
        <v>43529</v>
      </c>
      <c r="H6" s="11"/>
    </row>
    <row r="7" spans="1:15" x14ac:dyDescent="0.25">
      <c r="D7" s="2" t="s">
        <v>3</v>
      </c>
      <c r="F7" s="5">
        <f>+L7+K7+J7+I7+(M7*K7)</f>
        <v>42125550</v>
      </c>
      <c r="G7" s="2" t="s">
        <v>34</v>
      </c>
      <c r="H7" s="11"/>
      <c r="I7" s="19">
        <v>23560000</v>
      </c>
      <c r="J7" s="19">
        <v>14590000</v>
      </c>
      <c r="K7" s="19">
        <v>3457000</v>
      </c>
      <c r="L7" s="19">
        <v>0</v>
      </c>
      <c r="M7" s="20">
        <v>0.15</v>
      </c>
    </row>
    <row r="8" spans="1:15" x14ac:dyDescent="0.25">
      <c r="D8" s="2" t="s">
        <v>18</v>
      </c>
      <c r="F8" s="5">
        <f>MIN(M23:M43)</f>
        <v>34053550</v>
      </c>
      <c r="H8" s="11"/>
      <c r="I8" s="18" t="s">
        <v>43</v>
      </c>
      <c r="J8" s="18" t="s">
        <v>44</v>
      </c>
      <c r="K8" s="18" t="s">
        <v>49</v>
      </c>
      <c r="L8" s="18" t="s">
        <v>934</v>
      </c>
      <c r="M8" s="18" t="s">
        <v>50</v>
      </c>
    </row>
    <row r="9" spans="1:15" x14ac:dyDescent="0.25">
      <c r="D9" s="2" t="s">
        <v>19</v>
      </c>
      <c r="F9" s="4">
        <f>+F8-F7</f>
        <v>-8072000</v>
      </c>
      <c r="G9" s="16">
        <f>+F9/F7</f>
        <v>-0.19161767620838185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5" x14ac:dyDescent="0.25">
      <c r="D10" s="2" t="s">
        <v>68</v>
      </c>
      <c r="F10" s="4">
        <f>+F7-F12</f>
        <v>6966163.5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FAIL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35159386.5</v>
      </c>
      <c r="G12" s="14"/>
      <c r="H12" s="11">
        <f>COUNT(M23:M43)</f>
        <v>2</v>
      </c>
      <c r="I12" s="1" t="s">
        <v>31</v>
      </c>
      <c r="J12" s="4">
        <f>+F8*0.9</f>
        <v>30648195</v>
      </c>
      <c r="K12" s="1" t="s">
        <v>69</v>
      </c>
      <c r="L12" s="1"/>
      <c r="O12" t="str">
        <f>INDEX(D23:D43,MATCH(1,H23:H43,0))</f>
        <v>Tully / Intercounty JV</v>
      </c>
    </row>
    <row r="13" spans="1:15" x14ac:dyDescent="0.25">
      <c r="D13" s="2" t="s">
        <v>29</v>
      </c>
      <c r="F13" s="4">
        <f>MAX(M23:M43)-MIN(M23:M43)</f>
        <v>2211673</v>
      </c>
      <c r="G13" s="269">
        <f>MEDIAN(M23:M43)</f>
        <v>35159386.5</v>
      </c>
      <c r="H13" s="270"/>
      <c r="I13" s="1" t="s">
        <v>30</v>
      </c>
      <c r="J13" s="4">
        <f>+F12*1.1</f>
        <v>38675325.150000006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5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6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6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 t="shared" ref="C23:C28" si="0">IF(H23=1,"u","")</f>
        <v>u</v>
      </c>
      <c r="D23" s="11" t="s">
        <v>1585</v>
      </c>
      <c r="E23" s="33"/>
      <c r="H23">
        <f>RANK(M23,M$23:M$43,1)</f>
        <v>1</v>
      </c>
      <c r="I23" s="4">
        <v>13728000</v>
      </c>
      <c r="J23" s="4">
        <v>16350000</v>
      </c>
      <c r="K23" s="4">
        <v>0</v>
      </c>
      <c r="L23" s="7">
        <v>0.15</v>
      </c>
      <c r="M23" s="4">
        <f>+K23+I23+J23+(L23*K$7)+$K$7</f>
        <v>34053550</v>
      </c>
      <c r="N23" s="22"/>
      <c r="O23" s="22">
        <f>+L23*$K$7</f>
        <v>518550</v>
      </c>
      <c r="P23" s="22"/>
    </row>
    <row r="24" spans="3:16" x14ac:dyDescent="0.25">
      <c r="C24" s="33" t="str">
        <f t="shared" si="0"/>
        <v/>
      </c>
      <c r="D24" s="11" t="s">
        <v>665</v>
      </c>
      <c r="E24" s="33"/>
      <c r="F24" t="s">
        <v>391</v>
      </c>
      <c r="G24" t="s">
        <v>93</v>
      </c>
      <c r="H24">
        <f>RANK(M24,M$23:M$43,1)</f>
        <v>2</v>
      </c>
      <c r="I24" s="4">
        <v>19068000</v>
      </c>
      <c r="J24" s="4">
        <v>13325383</v>
      </c>
      <c r="K24" s="4">
        <v>0</v>
      </c>
      <c r="L24" s="7">
        <v>0.12</v>
      </c>
      <c r="M24" s="4">
        <f>+K24+I24+J24+(L24*K$7)+$K$7</f>
        <v>36265223</v>
      </c>
      <c r="N24" s="22"/>
      <c r="O24" s="22">
        <f>+L24*$K$7</f>
        <v>414840</v>
      </c>
      <c r="P24" s="22"/>
    </row>
    <row r="25" spans="3:16" x14ac:dyDescent="0.25">
      <c r="C25" s="33" t="str">
        <f t="shared" si="0"/>
        <v/>
      </c>
      <c r="D25" s="11"/>
      <c r="E25" s="33"/>
      <c r="I25" s="4"/>
      <c r="J25" s="4"/>
      <c r="K25" s="4"/>
      <c r="L25" s="7"/>
      <c r="M25" s="4"/>
      <c r="N25" s="22"/>
      <c r="O25" s="22"/>
      <c r="P25" s="22"/>
    </row>
    <row r="26" spans="3:16" x14ac:dyDescent="0.25">
      <c r="C26" s="33" t="str">
        <f t="shared" si="0"/>
        <v/>
      </c>
      <c r="D26" s="11"/>
      <c r="E26" s="33"/>
      <c r="I26" s="4"/>
      <c r="J26" s="4"/>
      <c r="K26" s="4"/>
      <c r="L26" s="7"/>
      <c r="M26" s="4"/>
      <c r="N26" s="22"/>
      <c r="O26" s="22"/>
      <c r="P26" s="22"/>
    </row>
    <row r="27" spans="3:16" x14ac:dyDescent="0.25">
      <c r="C27" s="33" t="str">
        <f t="shared" si="0"/>
        <v/>
      </c>
      <c r="D27" s="11"/>
      <c r="E27" s="33"/>
      <c r="I27" s="4"/>
      <c r="J27" s="4"/>
      <c r="K27" s="4"/>
      <c r="L27" s="7"/>
      <c r="M27" s="4"/>
      <c r="N27" s="22"/>
      <c r="O27" s="22"/>
      <c r="P27" s="22"/>
    </row>
    <row r="28" spans="3:16" x14ac:dyDescent="0.25">
      <c r="C28" s="33" t="str">
        <f t="shared" si="0"/>
        <v/>
      </c>
      <c r="D28" s="11"/>
      <c r="E28" s="33"/>
      <c r="I28" s="4"/>
      <c r="J28" s="4"/>
      <c r="K28" s="4"/>
      <c r="L28" s="7"/>
      <c r="M28" s="4"/>
      <c r="N28" s="22"/>
      <c r="O28" s="22"/>
      <c r="P28" s="22"/>
    </row>
    <row r="29" spans="3:16" x14ac:dyDescent="0.25">
      <c r="C29" s="33"/>
      <c r="D29" s="11"/>
      <c r="E29" s="33"/>
      <c r="I29" s="4"/>
      <c r="J29" s="4"/>
      <c r="K29" s="4"/>
      <c r="L29" s="7"/>
      <c r="M29" s="4"/>
      <c r="N29" s="22"/>
      <c r="O29" s="22"/>
      <c r="P29" s="22"/>
    </row>
    <row r="30" spans="3:16" x14ac:dyDescent="0.25">
      <c r="C30" s="33"/>
      <c r="D30" s="11"/>
      <c r="E30" s="33"/>
      <c r="I30" s="4"/>
      <c r="J30" s="4"/>
      <c r="K30" s="4"/>
      <c r="L30" s="7"/>
      <c r="M30" s="4"/>
      <c r="N30" s="22"/>
      <c r="O30" s="22"/>
      <c r="P30" s="22"/>
    </row>
    <row r="31" spans="3:16" x14ac:dyDescent="0.25">
      <c r="C31" s="33" t="str">
        <f t="shared" ref="C31:C43" si="1">IF(H31=1,"u","")</f>
        <v/>
      </c>
      <c r="D31" s="11"/>
      <c r="E31" s="33" t="str">
        <f t="shared" ref="E31:E43" si="2">IF(H31=1,"t","")</f>
        <v/>
      </c>
      <c r="I31" s="4"/>
      <c r="J31" s="4"/>
      <c r="K31" s="4"/>
      <c r="L31" s="7"/>
      <c r="M31" s="4"/>
      <c r="N31" s="22"/>
      <c r="O31" s="22"/>
      <c r="P31" s="22"/>
    </row>
    <row r="32" spans="3:16" x14ac:dyDescent="0.25">
      <c r="C32" s="33" t="str">
        <f t="shared" si="1"/>
        <v/>
      </c>
      <c r="D32" s="11"/>
      <c r="E32" s="33" t="str">
        <f t="shared" si="2"/>
        <v/>
      </c>
      <c r="I32" s="4"/>
      <c r="J32" s="4"/>
      <c r="K32" s="7"/>
      <c r="L32" s="7"/>
      <c r="M32" s="4"/>
      <c r="N32" s="22"/>
      <c r="O32" s="22"/>
      <c r="P32" s="22"/>
    </row>
    <row r="33" spans="3:16" x14ac:dyDescent="0.25">
      <c r="C33" s="33" t="str">
        <f t="shared" si="1"/>
        <v/>
      </c>
      <c r="D33" s="11"/>
      <c r="E33" s="33" t="str">
        <f t="shared" si="2"/>
        <v/>
      </c>
      <c r="I33" s="4"/>
      <c r="J33" s="4"/>
      <c r="K33" s="7"/>
      <c r="L33" s="7"/>
      <c r="M33" s="4"/>
      <c r="N33" s="21"/>
      <c r="O33" s="21"/>
      <c r="P33" s="21"/>
    </row>
    <row r="34" spans="3:16" x14ac:dyDescent="0.25">
      <c r="C34" s="33" t="str">
        <f t="shared" si="1"/>
        <v/>
      </c>
      <c r="D34" s="11"/>
      <c r="E34" s="33" t="str">
        <f t="shared" si="2"/>
        <v/>
      </c>
      <c r="K34" s="7"/>
      <c r="L34" s="7"/>
      <c r="N34" s="21"/>
      <c r="O34" s="21"/>
      <c r="P34" s="21"/>
    </row>
    <row r="35" spans="3:16" x14ac:dyDescent="0.25">
      <c r="C35" s="33" t="str">
        <f t="shared" si="1"/>
        <v/>
      </c>
      <c r="D35" s="11"/>
      <c r="E35" s="33" t="str">
        <f t="shared" si="2"/>
        <v/>
      </c>
      <c r="K35" s="7"/>
      <c r="L35" s="7"/>
      <c r="N35" s="21"/>
      <c r="O35" s="21"/>
      <c r="P35" s="21"/>
    </row>
    <row r="36" spans="3:16" x14ac:dyDescent="0.25">
      <c r="C36" s="33" t="str">
        <f t="shared" si="1"/>
        <v/>
      </c>
      <c r="D36" s="11"/>
      <c r="E36" s="33" t="str">
        <f t="shared" si="2"/>
        <v/>
      </c>
      <c r="K36" s="7"/>
      <c r="L36" s="7"/>
      <c r="N36" s="21"/>
      <c r="O36" s="21"/>
      <c r="P36" s="21"/>
    </row>
    <row r="37" spans="3:16" x14ac:dyDescent="0.25">
      <c r="C37" s="33" t="str">
        <f t="shared" si="1"/>
        <v/>
      </c>
      <c r="D37" s="11"/>
      <c r="E37" s="33" t="str">
        <f t="shared" si="2"/>
        <v/>
      </c>
      <c r="K37" s="7"/>
      <c r="L37" s="7"/>
      <c r="N37" s="21"/>
      <c r="O37" s="21"/>
      <c r="P37" s="21"/>
    </row>
    <row r="38" spans="3:16" x14ac:dyDescent="0.25">
      <c r="C38" s="33" t="str">
        <f t="shared" si="1"/>
        <v/>
      </c>
      <c r="D38" s="11"/>
      <c r="E38" s="33" t="str">
        <f t="shared" si="2"/>
        <v/>
      </c>
      <c r="K38" s="7"/>
      <c r="L38" s="7"/>
      <c r="N38" s="21"/>
      <c r="O38" s="21"/>
      <c r="P38" s="21"/>
    </row>
    <row r="39" spans="3:16" x14ac:dyDescent="0.25">
      <c r="C39" s="33" t="str">
        <f t="shared" si="1"/>
        <v/>
      </c>
      <c r="D39" s="11"/>
      <c r="E39" s="33" t="str">
        <f t="shared" si="2"/>
        <v/>
      </c>
      <c r="K39" s="7"/>
      <c r="L39" s="7"/>
      <c r="N39" s="21"/>
      <c r="O39" s="21"/>
      <c r="P39" s="21"/>
    </row>
    <row r="40" spans="3:16" x14ac:dyDescent="0.25">
      <c r="C40" s="33" t="str">
        <f t="shared" si="1"/>
        <v/>
      </c>
      <c r="D40" s="11"/>
      <c r="E40" s="33" t="str">
        <f t="shared" si="2"/>
        <v/>
      </c>
      <c r="K40" s="7"/>
      <c r="L40" s="7"/>
      <c r="N40" s="21"/>
      <c r="O40" s="21"/>
      <c r="P40" s="21"/>
    </row>
    <row r="41" spans="3:16" x14ac:dyDescent="0.25">
      <c r="C41" s="33" t="str">
        <f t="shared" si="1"/>
        <v/>
      </c>
      <c r="D41" s="11"/>
      <c r="E41" s="33" t="str">
        <f t="shared" si="2"/>
        <v/>
      </c>
      <c r="K41" s="7"/>
      <c r="L41" s="7"/>
      <c r="N41" s="21"/>
      <c r="O41" s="21"/>
      <c r="P41" s="21"/>
    </row>
    <row r="42" spans="3:16" x14ac:dyDescent="0.25">
      <c r="C42" s="33" t="str">
        <f t="shared" si="1"/>
        <v/>
      </c>
      <c r="D42" s="11"/>
      <c r="E42" s="33" t="str">
        <f t="shared" si="2"/>
        <v/>
      </c>
      <c r="K42" s="7"/>
      <c r="L42" s="7"/>
      <c r="N42" s="21"/>
      <c r="O42" s="21"/>
      <c r="P42" s="21"/>
    </row>
    <row r="43" spans="3:16" x14ac:dyDescent="0.25">
      <c r="C43" s="33" t="str">
        <f t="shared" si="1"/>
        <v/>
      </c>
      <c r="D43" s="11"/>
      <c r="E43" s="33" t="str">
        <f t="shared" si="2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3915" priority="13" operator="containsText" text="FAIL">
      <formula>NOT(ISERROR(SEARCH("FAIL",F9)))</formula>
    </cfRule>
  </conditionalFormatting>
  <conditionalFormatting sqref="I9 F11">
    <cfRule type="containsText" dxfId="3914" priority="12" operator="containsText" text="GOOD">
      <formula>NOT(ISERROR(SEARCH("GOOD",F9)))</formula>
    </cfRule>
  </conditionalFormatting>
  <conditionalFormatting sqref="I9">
    <cfRule type="containsText" dxfId="3913" priority="11" operator="containsText" text="FAIL">
      <formula>NOT(ISERROR(SEARCH("FAIL",I9)))</formula>
    </cfRule>
  </conditionalFormatting>
  <conditionalFormatting sqref="I9">
    <cfRule type="containsText" dxfId="3912" priority="10" operator="containsText" text="GOOD">
      <formula>NOT(ISERROR(SEARCH("GOOD",I9)))</formula>
    </cfRule>
  </conditionalFormatting>
  <conditionalFormatting sqref="D23:D24 D29:D43">
    <cfRule type="expression" dxfId="3911" priority="9">
      <formula>H23=1</formula>
    </cfRule>
  </conditionalFormatting>
  <conditionalFormatting sqref="C23:C24 C29:C43">
    <cfRule type="expression" dxfId="3910" priority="8">
      <formula>H23=1</formula>
    </cfRule>
  </conditionalFormatting>
  <conditionalFormatting sqref="E23:E24 E29:E43">
    <cfRule type="expression" dxfId="3909" priority="7">
      <formula>H23=1</formula>
    </cfRule>
  </conditionalFormatting>
  <conditionalFormatting sqref="D25:D26">
    <cfRule type="expression" dxfId="3908" priority="6">
      <formula>H25=1</formula>
    </cfRule>
  </conditionalFormatting>
  <conditionalFormatting sqref="C25:C26">
    <cfRule type="expression" dxfId="3907" priority="5">
      <formula>H25=1</formula>
    </cfRule>
  </conditionalFormatting>
  <conditionalFormatting sqref="E25:E26">
    <cfRule type="expression" dxfId="3906" priority="4">
      <formula>H25=1</formula>
    </cfRule>
  </conditionalFormatting>
  <conditionalFormatting sqref="D27:D28">
    <cfRule type="expression" dxfId="3905" priority="3">
      <formula>H27=1</formula>
    </cfRule>
  </conditionalFormatting>
  <conditionalFormatting sqref="C27:C28">
    <cfRule type="expression" dxfId="3904" priority="2">
      <formula>H27=1</formula>
    </cfRule>
  </conditionalFormatting>
  <conditionalFormatting sqref="E27:E28">
    <cfRule type="expression" dxfId="3903" priority="1">
      <formula>H27=1</formula>
    </cfRule>
  </conditionalFormatting>
  <pageMargins left="0.7" right="0.7" top="0.75" bottom="0.75" header="0.3" footer="0.3"/>
  <pageSetup scale="77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P56"/>
  <sheetViews>
    <sheetView zoomScaleNormal="100" workbookViewId="0">
      <selection activeCell="F7" sqref="F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47</v>
      </c>
    </row>
    <row r="4" spans="1:16" x14ac:dyDescent="0.25">
      <c r="D4" s="2" t="s">
        <v>0</v>
      </c>
      <c r="E4" s="1"/>
      <c r="F4" t="s">
        <v>1580</v>
      </c>
      <c r="I4" s="2" t="s">
        <v>4</v>
      </c>
      <c r="J4" t="s">
        <v>816</v>
      </c>
    </row>
    <row r="5" spans="1:16" x14ac:dyDescent="0.25">
      <c r="D5" s="2" t="s">
        <v>1</v>
      </c>
      <c r="F5" s="52" t="s">
        <v>1581</v>
      </c>
    </row>
    <row r="6" spans="1:16" x14ac:dyDescent="0.25">
      <c r="D6" s="2" t="s">
        <v>2</v>
      </c>
      <c r="F6" s="6">
        <v>43517</v>
      </c>
      <c r="H6" s="11"/>
    </row>
    <row r="7" spans="1:16" x14ac:dyDescent="0.25">
      <c r="D7" s="2" t="s">
        <v>3</v>
      </c>
      <c r="F7" s="5">
        <f>+I7+J7</f>
        <v>4450000</v>
      </c>
      <c r="G7" s="2" t="s">
        <v>34</v>
      </c>
      <c r="H7" s="11"/>
      <c r="I7" s="19">
        <v>972000</v>
      </c>
      <c r="J7" s="19">
        <v>3478000</v>
      </c>
    </row>
    <row r="8" spans="1:16" x14ac:dyDescent="0.25">
      <c r="D8" s="2" t="s">
        <v>18</v>
      </c>
      <c r="F8" s="5">
        <f>MIN(K23:K43)</f>
        <v>5282906</v>
      </c>
      <c r="H8" s="11"/>
      <c r="I8" s="18" t="s">
        <v>43</v>
      </c>
      <c r="J8" s="18" t="s">
        <v>44</v>
      </c>
      <c r="P8" s="66">
        <f>+K26/K24</f>
        <v>0.86834492574503774</v>
      </c>
    </row>
    <row r="9" spans="1:16" x14ac:dyDescent="0.25">
      <c r="D9" s="2" t="s">
        <v>19</v>
      </c>
      <c r="F9" s="4">
        <f>+F8-F7</f>
        <v>832906</v>
      </c>
      <c r="G9" s="16">
        <f>+F9/F7</f>
        <v>0.18716988764044945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-3011118.4285714282</v>
      </c>
      <c r="H10" s="11"/>
    </row>
    <row r="11" spans="1:16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SUM(K23:K43)/H12</f>
        <v>7461118.4285714282</v>
      </c>
      <c r="G12" s="14"/>
      <c r="H12" s="11">
        <f>COUNT(K23:K43)</f>
        <v>7</v>
      </c>
      <c r="I12" s="1" t="s">
        <v>31</v>
      </c>
      <c r="J12" s="4">
        <f>+F8*0.9</f>
        <v>4754615.4000000004</v>
      </c>
      <c r="K12" s="1" t="s">
        <v>69</v>
      </c>
    </row>
    <row r="13" spans="1:16" x14ac:dyDescent="0.25">
      <c r="D13" s="2" t="s">
        <v>29</v>
      </c>
      <c r="F13" s="4">
        <f>MAX(K23:K43)-MIN(K23:K43)</f>
        <v>3486329</v>
      </c>
      <c r="G13" s="269">
        <f>MEDIAN(K23:K43)</f>
        <v>7590757</v>
      </c>
      <c r="H13" s="270"/>
      <c r="I13" s="1" t="s">
        <v>30</v>
      </c>
      <c r="J13" s="4">
        <f>+F12*1.1</f>
        <v>8207230.271428572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6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0.15084745762711865</v>
      </c>
    </row>
    <row r="18" spans="3:15" x14ac:dyDescent="0.25">
      <c r="F18" s="4">
        <f>+F7</f>
        <v>4450000</v>
      </c>
      <c r="G18" s="1" t="s">
        <v>12</v>
      </c>
      <c r="H18" s="11"/>
      <c r="I18" t="s">
        <v>16</v>
      </c>
      <c r="J18" s="7">
        <f>+F8/F18</f>
        <v>1.1871698876404495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0.17609686666666666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997</v>
      </c>
      <c r="E23" s="33"/>
      <c r="F23" t="s">
        <v>998</v>
      </c>
      <c r="G23" t="s">
        <v>25</v>
      </c>
      <c r="H23">
        <f>RANK(K23,K$23:K$43,1)</f>
        <v>2</v>
      </c>
      <c r="I23" s="4">
        <v>1239090</v>
      </c>
      <c r="J23" s="4">
        <v>5324570</v>
      </c>
      <c r="K23" s="4">
        <f>+J23+I23</f>
        <v>6563660</v>
      </c>
      <c r="L23" s="4"/>
      <c r="M23" s="22"/>
      <c r="N23" s="22"/>
      <c r="O23" s="22"/>
    </row>
    <row r="24" spans="3:15" x14ac:dyDescent="0.25">
      <c r="C24" s="33" t="str">
        <f t="shared" ref="C24:C29" si="0">IF(H24=1,"u","")</f>
        <v/>
      </c>
      <c r="D24" s="11" t="s">
        <v>653</v>
      </c>
      <c r="E24" s="33"/>
      <c r="F24" t="s">
        <v>391</v>
      </c>
      <c r="G24" t="s">
        <v>93</v>
      </c>
      <c r="H24">
        <f t="shared" ref="H24:H29" si="1">RANK(K24,K$23:K$43,1)</f>
        <v>6</v>
      </c>
      <c r="I24" s="4">
        <v>2385859</v>
      </c>
      <c r="J24" s="4">
        <v>6355779</v>
      </c>
      <c r="K24" s="4">
        <f t="shared" ref="K24:K29" si="2">+J24+I24</f>
        <v>8741638</v>
      </c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679</v>
      </c>
      <c r="E25" s="33"/>
      <c r="F25" t="s">
        <v>193</v>
      </c>
      <c r="G25" t="s">
        <v>25</v>
      </c>
      <c r="H25">
        <f t="shared" si="1"/>
        <v>3</v>
      </c>
      <c r="I25" s="4">
        <v>1273065</v>
      </c>
      <c r="J25" s="4">
        <v>5483935</v>
      </c>
      <c r="K25" s="4">
        <f t="shared" si="2"/>
        <v>6757000</v>
      </c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 t="s">
        <v>561</v>
      </c>
      <c r="E26" s="33"/>
      <c r="F26" t="s">
        <v>215</v>
      </c>
      <c r="G26" t="s">
        <v>25</v>
      </c>
      <c r="H26">
        <f t="shared" si="1"/>
        <v>4</v>
      </c>
      <c r="I26" s="4">
        <v>1341457</v>
      </c>
      <c r="J26" s="4">
        <v>6249300</v>
      </c>
      <c r="K26" s="4">
        <f t="shared" si="2"/>
        <v>7590757</v>
      </c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 t="s">
        <v>626</v>
      </c>
      <c r="E27" s="33"/>
      <c r="F27" t="s">
        <v>308</v>
      </c>
      <c r="G27" t="s">
        <v>25</v>
      </c>
      <c r="H27">
        <f t="shared" si="1"/>
        <v>7</v>
      </c>
      <c r="I27" s="4">
        <v>1461440</v>
      </c>
      <c r="J27" s="4">
        <v>7307795</v>
      </c>
      <c r="K27" s="4">
        <f t="shared" si="2"/>
        <v>8769235</v>
      </c>
      <c r="L27" s="4"/>
      <c r="M27" s="22"/>
      <c r="N27" s="22"/>
      <c r="O27" s="22"/>
    </row>
    <row r="28" spans="3:15" x14ac:dyDescent="0.25">
      <c r="C28" s="33" t="str">
        <f t="shared" si="0"/>
        <v>u</v>
      </c>
      <c r="D28" s="11" t="s">
        <v>1005</v>
      </c>
      <c r="E28" s="33"/>
      <c r="F28" t="s">
        <v>95</v>
      </c>
      <c r="G28" t="s">
        <v>93</v>
      </c>
      <c r="H28">
        <f t="shared" si="1"/>
        <v>1</v>
      </c>
      <c r="I28" s="4">
        <v>1226950</v>
      </c>
      <c r="J28" s="4">
        <v>4055956</v>
      </c>
      <c r="K28" s="4">
        <f t="shared" si="2"/>
        <v>5282906</v>
      </c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 t="s">
        <v>1004</v>
      </c>
      <c r="E29" s="33"/>
      <c r="F29" t="s">
        <v>147</v>
      </c>
      <c r="G29" t="s">
        <v>93</v>
      </c>
      <c r="H29">
        <f t="shared" si="1"/>
        <v>5</v>
      </c>
      <c r="I29" s="4">
        <v>1443100</v>
      </c>
      <c r="J29" s="4">
        <v>7079533</v>
      </c>
      <c r="K29" s="4">
        <f t="shared" si="2"/>
        <v>8522633</v>
      </c>
      <c r="L29" s="4"/>
      <c r="M29" s="22"/>
      <c r="N29" s="22"/>
      <c r="O29" s="22"/>
    </row>
    <row r="30" spans="3:15" x14ac:dyDescent="0.25">
      <c r="C30" s="33" t="str">
        <f t="shared" ref="C30:C43" si="3">IF(H30=1,"u","")</f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3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3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3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3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3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3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3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3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3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3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3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3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3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3902" priority="32" operator="containsText" text="FAIL">
      <formula>NOT(ISERROR(SEARCH("FAIL",I9)))</formula>
    </cfRule>
  </conditionalFormatting>
  <conditionalFormatting sqref="I9">
    <cfRule type="containsText" dxfId="3901" priority="31" operator="containsText" text="GOOD">
      <formula>NOT(ISERROR(SEARCH("GOOD",I9)))</formula>
    </cfRule>
  </conditionalFormatting>
  <conditionalFormatting sqref="I9">
    <cfRule type="containsText" dxfId="3900" priority="30" operator="containsText" text="FAIL">
      <formula>NOT(ISERROR(SEARCH("FAIL",I9)))</formula>
    </cfRule>
  </conditionalFormatting>
  <conditionalFormatting sqref="I9">
    <cfRule type="containsText" dxfId="3899" priority="29" operator="containsText" text="GOOD">
      <formula>NOT(ISERROR(SEARCH("GOOD",I9)))</formula>
    </cfRule>
  </conditionalFormatting>
  <conditionalFormatting sqref="I9">
    <cfRule type="containsText" dxfId="3898" priority="28" operator="containsText" text="FAIL">
      <formula>NOT(ISERROR(SEARCH("FAIL",I9)))</formula>
    </cfRule>
  </conditionalFormatting>
  <conditionalFormatting sqref="I9">
    <cfRule type="containsText" dxfId="3897" priority="27" operator="containsText" text="GOOD">
      <formula>NOT(ISERROR(SEARCH("GOOD",I9)))</formula>
    </cfRule>
  </conditionalFormatting>
  <conditionalFormatting sqref="F11">
    <cfRule type="containsText" dxfId="3896" priority="26" operator="containsText" text="FAIL">
      <formula>NOT(ISERROR(SEARCH("FAIL",F11)))</formula>
    </cfRule>
  </conditionalFormatting>
  <conditionalFormatting sqref="F11">
    <cfRule type="containsText" dxfId="3895" priority="25" operator="containsText" text="GOOD">
      <formula>NOT(ISERROR(SEARCH("GOOD",F11)))</formula>
    </cfRule>
  </conditionalFormatting>
  <conditionalFormatting sqref="I9">
    <cfRule type="containsText" dxfId="3894" priority="24" operator="containsText" text="FAIL">
      <formula>NOT(ISERROR(SEARCH("FAIL",I9)))</formula>
    </cfRule>
  </conditionalFormatting>
  <conditionalFormatting sqref="I9">
    <cfRule type="containsText" dxfId="3893" priority="23" operator="containsText" text="GOOD">
      <formula>NOT(ISERROR(SEARCH("GOOD",I9)))</formula>
    </cfRule>
  </conditionalFormatting>
  <conditionalFormatting sqref="F11">
    <cfRule type="containsText" dxfId="3892" priority="22" operator="containsText" text="FAIL">
      <formula>NOT(ISERROR(SEARCH("FAIL",F11)))</formula>
    </cfRule>
  </conditionalFormatting>
  <conditionalFormatting sqref="F11">
    <cfRule type="containsText" dxfId="3891" priority="21" operator="containsText" text="GOOD">
      <formula>NOT(ISERROR(SEARCH("GOOD",F11)))</formula>
    </cfRule>
  </conditionalFormatting>
  <conditionalFormatting sqref="D39:D43 D31:D33">
    <cfRule type="expression" dxfId="3890" priority="20">
      <formula>H31=1</formula>
    </cfRule>
  </conditionalFormatting>
  <conditionalFormatting sqref="C39:C43 C23:C33">
    <cfRule type="expression" dxfId="3889" priority="19">
      <formula>H23=1</formula>
    </cfRule>
  </conditionalFormatting>
  <conditionalFormatting sqref="E39:E43 E31:E33">
    <cfRule type="expression" dxfId="3888" priority="18">
      <formula>H31=1</formula>
    </cfRule>
  </conditionalFormatting>
  <conditionalFormatting sqref="E39:E43 E31:E33">
    <cfRule type="expression" dxfId="3887" priority="17">
      <formula>H31=1</formula>
    </cfRule>
  </conditionalFormatting>
  <conditionalFormatting sqref="F11">
    <cfRule type="containsText" dxfId="3886" priority="16" operator="containsText" text="FAIL">
      <formula>NOT(ISERROR(SEARCH("FAIL",F11)))</formula>
    </cfRule>
  </conditionalFormatting>
  <conditionalFormatting sqref="F11">
    <cfRule type="containsText" dxfId="3885" priority="15" operator="containsText" text="GOOD">
      <formula>NOT(ISERROR(SEARCH("GOOD",F11)))</formula>
    </cfRule>
  </conditionalFormatting>
  <conditionalFormatting sqref="D34:D37">
    <cfRule type="expression" dxfId="3884" priority="14">
      <formula>H34=1</formula>
    </cfRule>
  </conditionalFormatting>
  <conditionalFormatting sqref="C34:C37">
    <cfRule type="expression" dxfId="3883" priority="13">
      <formula>H34=1</formula>
    </cfRule>
  </conditionalFormatting>
  <conditionalFormatting sqref="E34:E37">
    <cfRule type="expression" dxfId="3882" priority="12">
      <formula>H34=1</formula>
    </cfRule>
  </conditionalFormatting>
  <conditionalFormatting sqref="E34:E37">
    <cfRule type="expression" dxfId="3881" priority="11">
      <formula>H34=1</formula>
    </cfRule>
  </conditionalFormatting>
  <conditionalFormatting sqref="D38">
    <cfRule type="expression" dxfId="3880" priority="10">
      <formula>H38=1</formula>
    </cfRule>
  </conditionalFormatting>
  <conditionalFormatting sqref="C38">
    <cfRule type="expression" dxfId="3879" priority="9">
      <formula>H38=1</formula>
    </cfRule>
  </conditionalFormatting>
  <conditionalFormatting sqref="E38">
    <cfRule type="expression" dxfId="3878" priority="8">
      <formula>H38=1</formula>
    </cfRule>
  </conditionalFormatting>
  <conditionalFormatting sqref="E38">
    <cfRule type="expression" dxfId="3877" priority="7">
      <formula>H38=1</formula>
    </cfRule>
  </conditionalFormatting>
  <conditionalFormatting sqref="D23:D30">
    <cfRule type="expression" dxfId="3876" priority="6">
      <formula>H23=1</formula>
    </cfRule>
  </conditionalFormatting>
  <conditionalFormatting sqref="E23:E30">
    <cfRule type="expression" dxfId="3875" priority="5">
      <formula>H23=1</formula>
    </cfRule>
  </conditionalFormatting>
  <conditionalFormatting sqref="E23:E30">
    <cfRule type="expression" dxfId="3874" priority="4">
      <formula>H23=1</formula>
    </cfRule>
  </conditionalFormatting>
  <pageMargins left="0.7" right="0.7" top="0.75" bottom="0.75" header="0.3" footer="0.3"/>
  <pageSetup scale="68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P47"/>
  <sheetViews>
    <sheetView zoomScaleNormal="100" workbookViewId="0">
      <selection activeCell="L29" sqref="L2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1577</v>
      </c>
      <c r="I4" s="2" t="s">
        <v>4</v>
      </c>
      <c r="J4" t="s">
        <v>1251</v>
      </c>
    </row>
    <row r="5" spans="1:16" x14ac:dyDescent="0.25">
      <c r="D5" s="2" t="s">
        <v>1</v>
      </c>
      <c r="F5" t="s">
        <v>1578</v>
      </c>
    </row>
    <row r="6" spans="1:16" x14ac:dyDescent="0.25">
      <c r="D6" s="2" t="s">
        <v>2</v>
      </c>
      <c r="F6" s="6">
        <v>43516</v>
      </c>
      <c r="H6" s="11"/>
    </row>
    <row r="7" spans="1:16" x14ac:dyDescent="0.25">
      <c r="D7" s="2" t="s">
        <v>3</v>
      </c>
      <c r="F7" s="5">
        <v>1790000</v>
      </c>
      <c r="G7" s="2" t="s">
        <v>190</v>
      </c>
      <c r="H7" s="11"/>
    </row>
    <row r="8" spans="1:16" x14ac:dyDescent="0.25">
      <c r="D8" s="2" t="s">
        <v>18</v>
      </c>
      <c r="F8" s="5">
        <f>MIN(I23:I43)</f>
        <v>1443785</v>
      </c>
      <c r="H8" s="11"/>
    </row>
    <row r="9" spans="1:16" x14ac:dyDescent="0.25">
      <c r="D9" s="2" t="s">
        <v>67</v>
      </c>
      <c r="F9" s="4">
        <f>+F8-F7</f>
        <v>-346215</v>
      </c>
      <c r="G9" s="16">
        <f>+F9/F7</f>
        <v>-0.19341620111731844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-1705752.1428571427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3495752.1428571427</v>
      </c>
      <c r="G12" s="14"/>
      <c r="H12" s="11">
        <f>COUNT(I23:I43)</f>
        <v>7</v>
      </c>
      <c r="I12" s="1" t="s">
        <v>31</v>
      </c>
      <c r="J12" s="4">
        <f>+F8*0.9</f>
        <v>1299406.5</v>
      </c>
      <c r="K12" s="1" t="s">
        <v>69</v>
      </c>
    </row>
    <row r="13" spans="1:16" x14ac:dyDescent="0.25">
      <c r="D13" s="2" t="s">
        <v>29</v>
      </c>
      <c r="F13" s="4">
        <f>MAX(I23:I43)-MIN(I23:I43)</f>
        <v>4210655</v>
      </c>
      <c r="G13" s="269">
        <f>MEDIAN(I23:I43)</f>
        <v>3513600</v>
      </c>
      <c r="H13" s="270"/>
      <c r="I13" s="1" t="s">
        <v>30</v>
      </c>
      <c r="J13" s="4">
        <f>+F12*1.1</f>
        <v>3845327.3571428573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1540</v>
      </c>
      <c r="E23" s="33"/>
      <c r="F23" t="s">
        <v>147</v>
      </c>
      <c r="G23" t="s">
        <v>93</v>
      </c>
      <c r="H23">
        <f t="shared" ref="H23:H29" si="0">RANK(I23,I$23:I$43,1)</f>
        <v>5</v>
      </c>
      <c r="I23" s="4">
        <v>3953175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ref="C24:C43" si="1">IF(H24=1,"u","")</f>
        <v/>
      </c>
      <c r="D24" s="11" t="s">
        <v>542</v>
      </c>
      <c r="E24" s="33"/>
      <c r="F24" t="s">
        <v>161</v>
      </c>
      <c r="G24" t="s">
        <v>93</v>
      </c>
      <c r="H24">
        <f t="shared" si="0"/>
        <v>6</v>
      </c>
      <c r="I24" s="4">
        <v>4573290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1"/>
        <v/>
      </c>
      <c r="D25" s="11" t="s">
        <v>440</v>
      </c>
      <c r="E25" s="33"/>
      <c r="F25" t="s">
        <v>193</v>
      </c>
      <c r="G25" t="s">
        <v>25</v>
      </c>
      <c r="H25">
        <f t="shared" si="0"/>
        <v>7</v>
      </c>
      <c r="I25" s="4">
        <v>5654440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1"/>
        <v/>
      </c>
      <c r="D26" s="11" t="s">
        <v>529</v>
      </c>
      <c r="E26" s="33"/>
      <c r="F26" t="s">
        <v>170</v>
      </c>
      <c r="G26" t="s">
        <v>93</v>
      </c>
      <c r="H26">
        <f t="shared" si="0"/>
        <v>4</v>
      </c>
      <c r="I26" s="4">
        <v>3513600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>u</v>
      </c>
      <c r="D27" s="11" t="s">
        <v>1197</v>
      </c>
      <c r="E27" s="33"/>
      <c r="F27" t="s">
        <v>918</v>
      </c>
      <c r="G27" t="s">
        <v>25</v>
      </c>
      <c r="H27">
        <f t="shared" si="0"/>
        <v>1</v>
      </c>
      <c r="I27" s="4">
        <v>1443785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676</v>
      </c>
      <c r="E28" s="33"/>
      <c r="F28" t="s">
        <v>85</v>
      </c>
      <c r="G28" t="s">
        <v>25</v>
      </c>
      <c r="H28">
        <f t="shared" si="0"/>
        <v>2</v>
      </c>
      <c r="I28" s="4">
        <v>1884975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 t="s">
        <v>1579</v>
      </c>
      <c r="E29" s="11"/>
      <c r="F29" t="s">
        <v>407</v>
      </c>
      <c r="G29" t="s">
        <v>93</v>
      </c>
      <c r="H29">
        <f t="shared" si="0"/>
        <v>3</v>
      </c>
      <c r="I29" s="4">
        <v>3447000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873" priority="12" operator="containsText" text="FAIL">
      <formula>NOT(ISERROR(SEARCH("FAIL",I9)))</formula>
    </cfRule>
  </conditionalFormatting>
  <conditionalFormatting sqref="I9">
    <cfRule type="containsText" dxfId="3872" priority="11" operator="containsText" text="GOOD">
      <formula>NOT(ISERROR(SEARCH("GOOD",I9)))</formula>
    </cfRule>
  </conditionalFormatting>
  <conditionalFormatting sqref="F11">
    <cfRule type="containsText" dxfId="3871" priority="10" operator="containsText" text="FAIL">
      <formula>NOT(ISERROR(SEARCH("FAIL",F11)))</formula>
    </cfRule>
  </conditionalFormatting>
  <conditionalFormatting sqref="F11">
    <cfRule type="containsText" dxfId="3870" priority="9" operator="containsText" text="GOOD">
      <formula>NOT(ISERROR(SEARCH("GOOD",F11)))</formula>
    </cfRule>
  </conditionalFormatting>
  <conditionalFormatting sqref="D23:D43">
    <cfRule type="expression" dxfId="3869" priority="8">
      <formula>H23=1</formula>
    </cfRule>
  </conditionalFormatting>
  <conditionalFormatting sqref="C23:C43">
    <cfRule type="expression" dxfId="3868" priority="7">
      <formula>H23=1</formula>
    </cfRule>
  </conditionalFormatting>
  <conditionalFormatting sqref="E23:E28 E30:E43">
    <cfRule type="expression" dxfId="3867" priority="6">
      <formula>H23=1</formula>
    </cfRule>
  </conditionalFormatting>
  <conditionalFormatting sqref="F11">
    <cfRule type="containsText" dxfId="3866" priority="5" operator="containsText" text="FAIL">
      <formula>NOT(ISERROR(SEARCH("FAIL",F11)))</formula>
    </cfRule>
  </conditionalFormatting>
  <conditionalFormatting sqref="F11">
    <cfRule type="containsText" dxfId="3865" priority="4" operator="containsText" text="GOOD">
      <formula>NOT(ISERROR(SEARCH("GOOD",F11)))</formula>
    </cfRule>
  </conditionalFormatting>
  <conditionalFormatting sqref="E29">
    <cfRule type="expression" dxfId="3864" priority="3">
      <formula>I29=1</formula>
    </cfRule>
  </conditionalFormatting>
  <pageMargins left="0.7" right="0.7" top="0.75" bottom="0.75" header="0.3" footer="0.3"/>
  <pageSetup scale="68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2:P47"/>
  <sheetViews>
    <sheetView zoomScaleNormal="100" workbookViewId="0">
      <selection activeCell="K28" sqref="K2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1576</v>
      </c>
      <c r="I4" s="2" t="s">
        <v>4</v>
      </c>
      <c r="J4" t="s">
        <v>1447</v>
      </c>
    </row>
    <row r="5" spans="1:16" x14ac:dyDescent="0.25">
      <c r="D5" s="2" t="s">
        <v>1</v>
      </c>
      <c r="F5" t="s">
        <v>1448</v>
      </c>
    </row>
    <row r="6" spans="1:16" x14ac:dyDescent="0.25">
      <c r="D6" s="2" t="s">
        <v>2</v>
      </c>
      <c r="F6" s="6">
        <v>43516</v>
      </c>
      <c r="H6" s="11"/>
    </row>
    <row r="7" spans="1:16" x14ac:dyDescent="0.25">
      <c r="D7" s="2" t="s">
        <v>3</v>
      </c>
      <c r="F7" s="5">
        <v>1880000</v>
      </c>
      <c r="G7" s="2" t="s">
        <v>190</v>
      </c>
      <c r="H7" s="11"/>
    </row>
    <row r="8" spans="1:16" x14ac:dyDescent="0.25">
      <c r="D8" s="2" t="s">
        <v>18</v>
      </c>
      <c r="F8" s="5">
        <f>MIN(I23:I43)</f>
        <v>1101828</v>
      </c>
      <c r="H8" s="11"/>
    </row>
    <row r="9" spans="1:16" x14ac:dyDescent="0.25">
      <c r="D9" s="2" t="s">
        <v>67</v>
      </c>
      <c r="F9" s="4">
        <f>+F8-F7</f>
        <v>-778172</v>
      </c>
      <c r="G9" s="16">
        <f>+F9/F7</f>
        <v>-0.41392127659574468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-1234163.5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3114163.5</v>
      </c>
      <c r="G12" s="14"/>
      <c r="H12" s="11">
        <f>COUNT(I23:I43)</f>
        <v>6</v>
      </c>
      <c r="I12" s="1" t="s">
        <v>31</v>
      </c>
      <c r="J12" s="4">
        <f>+F8*0.9</f>
        <v>991645.20000000007</v>
      </c>
      <c r="K12" s="1" t="s">
        <v>69</v>
      </c>
    </row>
    <row r="13" spans="1:16" x14ac:dyDescent="0.25">
      <c r="D13" s="2" t="s">
        <v>29</v>
      </c>
      <c r="F13" s="4">
        <f>MAX(I23:I43)-MIN(I23:I43)</f>
        <v>3305613</v>
      </c>
      <c r="G13" s="269">
        <f>MEDIAN(I23:I43)</f>
        <v>3108350</v>
      </c>
      <c r="H13" s="270"/>
      <c r="I13" s="1" t="s">
        <v>30</v>
      </c>
      <c r="J13" s="4">
        <f>+F12*1.1</f>
        <v>3425579.85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 t="shared" ref="C23:C28" si="0">IF(H23=1,"u","")</f>
        <v/>
      </c>
      <c r="D23" s="11" t="s">
        <v>1540</v>
      </c>
      <c r="E23" s="33"/>
      <c r="F23" t="s">
        <v>147</v>
      </c>
      <c r="G23" t="s">
        <v>93</v>
      </c>
      <c r="H23">
        <f t="shared" ref="H23:H28" si="1">RANK(I23,I$23:I$43,1)</f>
        <v>2</v>
      </c>
      <c r="I23" s="4">
        <v>2593400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si="0"/>
        <v/>
      </c>
      <c r="D24" s="11" t="s">
        <v>542</v>
      </c>
      <c r="E24" s="33"/>
      <c r="F24" t="s">
        <v>161</v>
      </c>
      <c r="G24" t="s">
        <v>93</v>
      </c>
      <c r="H24">
        <f t="shared" si="1"/>
        <v>6</v>
      </c>
      <c r="I24" s="4">
        <v>4407441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440</v>
      </c>
      <c r="E25" s="33"/>
      <c r="F25" t="s">
        <v>193</v>
      </c>
      <c r="G25" t="s">
        <v>25</v>
      </c>
      <c r="H25">
        <f t="shared" si="1"/>
        <v>5</v>
      </c>
      <c r="I25" s="4">
        <v>4365612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 t="s">
        <v>529</v>
      </c>
      <c r="E26" s="33"/>
      <c r="F26" t="s">
        <v>170</v>
      </c>
      <c r="G26" t="s">
        <v>93</v>
      </c>
      <c r="H26">
        <f t="shared" si="1"/>
        <v>3</v>
      </c>
      <c r="I26" s="4">
        <v>2673000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>u</v>
      </c>
      <c r="D27" s="11" t="s">
        <v>1197</v>
      </c>
      <c r="E27" s="33"/>
      <c r="F27" t="s">
        <v>918</v>
      </c>
      <c r="G27" t="s">
        <v>25</v>
      </c>
      <c r="H27">
        <f t="shared" si="1"/>
        <v>1</v>
      </c>
      <c r="I27" s="4">
        <v>1101828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 t="s">
        <v>676</v>
      </c>
      <c r="E28" s="33"/>
      <c r="F28" t="s">
        <v>85</v>
      </c>
      <c r="G28" t="s">
        <v>25</v>
      </c>
      <c r="H28">
        <f t="shared" si="1"/>
        <v>4</v>
      </c>
      <c r="I28" s="4">
        <v>3543700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2">IF(H29=1,"u","")</f>
        <v/>
      </c>
      <c r="D29" s="33"/>
      <c r="E29" s="11"/>
      <c r="F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2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 t="str">
        <f t="shared" ref="E36:E43" si="3">IF(H36=1,"t","")</f>
        <v/>
      </c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863" priority="13" operator="containsText" text="FAIL">
      <formula>NOT(ISERROR(SEARCH("FAIL",I9)))</formula>
    </cfRule>
  </conditionalFormatting>
  <conditionalFormatting sqref="I9">
    <cfRule type="containsText" dxfId="3862" priority="12" operator="containsText" text="GOOD">
      <formula>NOT(ISERROR(SEARCH("GOOD",I9)))</formula>
    </cfRule>
  </conditionalFormatting>
  <conditionalFormatting sqref="F11">
    <cfRule type="containsText" dxfId="3861" priority="11" operator="containsText" text="FAIL">
      <formula>NOT(ISERROR(SEARCH("FAIL",F11)))</formula>
    </cfRule>
  </conditionalFormatting>
  <conditionalFormatting sqref="F11">
    <cfRule type="containsText" dxfId="3860" priority="10" operator="containsText" text="GOOD">
      <formula>NOT(ISERROR(SEARCH("GOOD",F11)))</formula>
    </cfRule>
  </conditionalFormatting>
  <conditionalFormatting sqref="D23:D28 D30:D43">
    <cfRule type="expression" dxfId="3859" priority="9">
      <formula>H23=1</formula>
    </cfRule>
  </conditionalFormatting>
  <conditionalFormatting sqref="C23:C43">
    <cfRule type="expression" dxfId="3858" priority="8">
      <formula>H23=1</formula>
    </cfRule>
  </conditionalFormatting>
  <conditionalFormatting sqref="E23:E28 E30:E43">
    <cfRule type="expression" dxfId="3857" priority="7">
      <formula>H23=1</formula>
    </cfRule>
  </conditionalFormatting>
  <conditionalFormatting sqref="F11">
    <cfRule type="containsText" dxfId="3856" priority="6" operator="containsText" text="FAIL">
      <formula>NOT(ISERROR(SEARCH("FAIL",F11)))</formula>
    </cfRule>
  </conditionalFormatting>
  <conditionalFormatting sqref="F11">
    <cfRule type="containsText" dxfId="3855" priority="5" operator="containsText" text="GOOD">
      <formula>NOT(ISERROR(SEARCH("GOOD",F11)))</formula>
    </cfRule>
  </conditionalFormatting>
  <conditionalFormatting sqref="E29">
    <cfRule type="expression" dxfId="3854" priority="3">
      <formula>I29=1</formula>
    </cfRule>
  </conditionalFormatting>
  <conditionalFormatting sqref="D29">
    <cfRule type="expression" dxfId="3853" priority="2">
      <formula>I29=1</formula>
    </cfRule>
  </conditionalFormatting>
  <conditionalFormatting sqref="F29">
    <cfRule type="expression" dxfId="3852" priority="1">
      <formula>I29=1</formula>
    </cfRule>
  </conditionalFormatting>
  <pageMargins left="0.7" right="0.7" top="0.75" bottom="0.75" header="0.3" footer="0.3"/>
  <pageSetup scale="68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2:P47"/>
  <sheetViews>
    <sheetView zoomScaleNormal="100" workbookViewId="0">
      <selection activeCell="F11" sqref="F11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1574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1575</v>
      </c>
    </row>
    <row r="6" spans="1:16" x14ac:dyDescent="0.25">
      <c r="D6" s="2" t="s">
        <v>2</v>
      </c>
      <c r="F6" s="6">
        <v>43503</v>
      </c>
      <c r="H6" s="11"/>
    </row>
    <row r="7" spans="1:16" x14ac:dyDescent="0.25">
      <c r="D7" s="2" t="s">
        <v>3</v>
      </c>
      <c r="F7" s="5">
        <v>1130000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1686000</v>
      </c>
      <c r="H8" s="11"/>
    </row>
    <row r="9" spans="1:16" x14ac:dyDescent="0.25">
      <c r="D9" s="2" t="s">
        <v>67</v>
      </c>
      <c r="F9" s="4">
        <f>+F8-F7</f>
        <v>556000</v>
      </c>
      <c r="G9" s="16">
        <f>+F9/F7</f>
        <v>0.49203539823008852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-803500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1933500</v>
      </c>
      <c r="G12" s="14"/>
      <c r="H12" s="11">
        <f>COUNT(I23:I43)</f>
        <v>2</v>
      </c>
      <c r="I12" s="1" t="s">
        <v>31</v>
      </c>
      <c r="J12" s="4">
        <f>+F8*0.9</f>
        <v>1517400</v>
      </c>
      <c r="K12" s="1" t="s">
        <v>69</v>
      </c>
    </row>
    <row r="13" spans="1:16" x14ac:dyDescent="0.25">
      <c r="D13" s="2" t="s">
        <v>29</v>
      </c>
      <c r="F13" s="4">
        <f>MAX(I23:I43)-MIN(I23:I43)</f>
        <v>495000</v>
      </c>
      <c r="G13" s="269">
        <f>MEDIAN(I23:I43)</f>
        <v>1933500</v>
      </c>
      <c r="H13" s="270"/>
      <c r="I13" s="1" t="s">
        <v>30</v>
      </c>
      <c r="J13" s="4">
        <f>+F12*1.1</f>
        <v>2126850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824</v>
      </c>
      <c r="E23" s="33"/>
      <c r="F23" t="s">
        <v>186</v>
      </c>
      <c r="G23" t="s">
        <v>25</v>
      </c>
      <c r="H23">
        <f>RANK(I23,I$23:I$43,1)</f>
        <v>2</v>
      </c>
      <c r="I23" s="4">
        <v>2181000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676</v>
      </c>
      <c r="E24" s="33"/>
      <c r="F24" t="s">
        <v>85</v>
      </c>
      <c r="G24" t="s">
        <v>25</v>
      </c>
      <c r="H24">
        <f>RANK(I24,I$23:I$43,1)</f>
        <v>1</v>
      </c>
      <c r="I24" s="4">
        <v>1686000</v>
      </c>
      <c r="J24" s="4"/>
      <c r="K24" s="4"/>
      <c r="L24" s="4"/>
      <c r="M24" s="22"/>
      <c r="N24" s="22"/>
      <c r="O24" s="22"/>
    </row>
    <row r="25" spans="3:15" x14ac:dyDescent="0.25">
      <c r="C25" s="33"/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 t="str">
        <f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851" priority="10" operator="containsText" text="FAIL">
      <formula>NOT(ISERROR(SEARCH("FAIL",I9)))</formula>
    </cfRule>
  </conditionalFormatting>
  <conditionalFormatting sqref="I9">
    <cfRule type="containsText" dxfId="3850" priority="9" operator="containsText" text="GOOD">
      <formula>NOT(ISERROR(SEARCH("GOOD",I9)))</formula>
    </cfRule>
  </conditionalFormatting>
  <conditionalFormatting sqref="F11">
    <cfRule type="containsText" dxfId="3849" priority="8" operator="containsText" text="FAIL">
      <formula>NOT(ISERROR(SEARCH("FAIL",F11)))</formula>
    </cfRule>
  </conditionalFormatting>
  <conditionalFormatting sqref="F11">
    <cfRule type="containsText" dxfId="3848" priority="7" operator="containsText" text="GOOD">
      <formula>NOT(ISERROR(SEARCH("GOOD",F11)))</formula>
    </cfRule>
  </conditionalFormatting>
  <conditionalFormatting sqref="D23:D43">
    <cfRule type="expression" dxfId="3847" priority="6">
      <formula>H23=1</formula>
    </cfRule>
  </conditionalFormatting>
  <conditionalFormatting sqref="C29:C43 C23:C26">
    <cfRule type="expression" dxfId="3846" priority="5">
      <formula>H23=1</formula>
    </cfRule>
  </conditionalFormatting>
  <conditionalFormatting sqref="E23:E43">
    <cfRule type="expression" dxfId="3845" priority="4">
      <formula>H23=1</formula>
    </cfRule>
  </conditionalFormatting>
  <conditionalFormatting sqref="F11">
    <cfRule type="containsText" dxfId="3844" priority="3" operator="containsText" text="FAIL">
      <formula>NOT(ISERROR(SEARCH("FAIL",F11)))</formula>
    </cfRule>
  </conditionalFormatting>
  <conditionalFormatting sqref="F11">
    <cfRule type="containsText" dxfId="3843" priority="2" operator="containsText" text="GOOD">
      <formula>NOT(ISERROR(SEARCH("GOOD",F11)))</formula>
    </cfRule>
  </conditionalFormatting>
  <conditionalFormatting sqref="C27:C28">
    <cfRule type="expression" dxfId="3842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2:P47"/>
  <sheetViews>
    <sheetView zoomScaleNormal="100" workbookViewId="0">
      <selection activeCell="M28" sqref="M2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1569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1570</v>
      </c>
    </row>
    <row r="6" spans="1:16" x14ac:dyDescent="0.25">
      <c r="D6" s="2" t="s">
        <v>2</v>
      </c>
      <c r="F6" s="6">
        <v>43503</v>
      </c>
      <c r="H6" s="11"/>
    </row>
    <row r="7" spans="1:16" x14ac:dyDescent="0.25">
      <c r="D7" s="2" t="s">
        <v>3</v>
      </c>
      <c r="F7" s="5">
        <v>684000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615000</v>
      </c>
      <c r="H8" s="11"/>
    </row>
    <row r="9" spans="1:16" x14ac:dyDescent="0.25">
      <c r="D9" s="2" t="s">
        <v>67</v>
      </c>
      <c r="F9" s="4">
        <f>+F8-F7</f>
        <v>-69000</v>
      </c>
      <c r="G9" s="16">
        <f>+F9/F7</f>
        <v>-0.10087719298245613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-240493.40000000002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924493.4</v>
      </c>
      <c r="G12" s="14"/>
      <c r="H12" s="11">
        <f>COUNT(I23:I43)</f>
        <v>5</v>
      </c>
      <c r="I12" s="1" t="s">
        <v>31</v>
      </c>
      <c r="J12" s="4">
        <f>+F8*0.9</f>
        <v>553500</v>
      </c>
      <c r="K12" s="1" t="s">
        <v>69</v>
      </c>
    </row>
    <row r="13" spans="1:16" x14ac:dyDescent="0.25">
      <c r="D13" s="2" t="s">
        <v>29</v>
      </c>
      <c r="F13" s="4">
        <f>MAX(I23:I43)-MIN(I23:I43)</f>
        <v>1133000</v>
      </c>
      <c r="G13" s="269">
        <f>MEDIAN(I23:I43)</f>
        <v>701543</v>
      </c>
      <c r="H13" s="270"/>
      <c r="I13" s="1" t="s">
        <v>30</v>
      </c>
      <c r="J13" s="4">
        <f>+F12*1.1</f>
        <v>1016942.7400000001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1571</v>
      </c>
      <c r="E23" s="33"/>
      <c r="F23" t="s">
        <v>645</v>
      </c>
      <c r="G23" t="s">
        <v>25</v>
      </c>
      <c r="H23">
        <f>RANK(I23,I$23:I$43,1)</f>
        <v>3</v>
      </c>
      <c r="I23" s="4">
        <v>701543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1572</v>
      </c>
      <c r="E24" s="33"/>
      <c r="F24" t="s">
        <v>159</v>
      </c>
      <c r="G24" t="s">
        <v>93</v>
      </c>
      <c r="H24">
        <f>RANK(I24,I$23:I$43,1)</f>
        <v>4</v>
      </c>
      <c r="I24" s="4">
        <v>872000</v>
      </c>
      <c r="J24" s="4"/>
      <c r="K24" s="4"/>
      <c r="L24" s="4"/>
      <c r="M24" s="22"/>
      <c r="N24" s="22"/>
      <c r="O24" s="22"/>
    </row>
    <row r="25" spans="3:15" x14ac:dyDescent="0.25">
      <c r="C25" s="33"/>
      <c r="D25" s="11" t="s">
        <v>631</v>
      </c>
      <c r="E25" s="33"/>
      <c r="F25" t="s">
        <v>131</v>
      </c>
      <c r="G25" t="s">
        <v>25</v>
      </c>
      <c r="H25">
        <f>RANK(I25,I$23:I$43,1)</f>
        <v>5</v>
      </c>
      <c r="I25" s="4">
        <v>1748000</v>
      </c>
      <c r="J25" s="4"/>
      <c r="K25" s="4"/>
      <c r="L25" s="4"/>
      <c r="M25" s="22"/>
      <c r="N25" s="22"/>
      <c r="O25" s="22"/>
    </row>
    <row r="26" spans="3:15" x14ac:dyDescent="0.25">
      <c r="C26" s="33" t="str">
        <f>IF(H26=1,"u","")</f>
        <v/>
      </c>
      <c r="D26" s="11" t="s">
        <v>1155</v>
      </c>
      <c r="E26" s="33"/>
      <c r="F26" t="s">
        <v>181</v>
      </c>
      <c r="G26" t="s">
        <v>93</v>
      </c>
      <c r="H26">
        <f>RANK(I26,I$23:I$43,1)</f>
        <v>2</v>
      </c>
      <c r="I26" s="4">
        <v>685924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1573</v>
      </c>
      <c r="E27" s="33"/>
      <c r="F27" t="s">
        <v>532</v>
      </c>
      <c r="G27" t="s">
        <v>93</v>
      </c>
      <c r="H27">
        <f>RANK(I27,I$23:I$43,1)</f>
        <v>1</v>
      </c>
      <c r="I27" s="4">
        <v>615000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841" priority="14" operator="containsText" text="FAIL">
      <formula>NOT(ISERROR(SEARCH("FAIL",I9)))</formula>
    </cfRule>
  </conditionalFormatting>
  <conditionalFormatting sqref="I9">
    <cfRule type="containsText" dxfId="3840" priority="13" operator="containsText" text="GOOD">
      <formula>NOT(ISERROR(SEARCH("GOOD",I9)))</formula>
    </cfRule>
  </conditionalFormatting>
  <conditionalFormatting sqref="F11">
    <cfRule type="containsText" dxfId="3839" priority="12" operator="containsText" text="FAIL">
      <formula>NOT(ISERROR(SEARCH("FAIL",F11)))</formula>
    </cfRule>
  </conditionalFormatting>
  <conditionalFormatting sqref="F11">
    <cfRule type="containsText" dxfId="3838" priority="11" operator="containsText" text="GOOD">
      <formula>NOT(ISERROR(SEARCH("GOOD",F11)))</formula>
    </cfRule>
  </conditionalFormatting>
  <conditionalFormatting sqref="D23:D43">
    <cfRule type="expression" dxfId="3837" priority="10">
      <formula>H23=1</formula>
    </cfRule>
  </conditionalFormatting>
  <conditionalFormatting sqref="C29:C43 C23:C26">
    <cfRule type="expression" dxfId="3836" priority="9">
      <formula>H23=1</formula>
    </cfRule>
  </conditionalFormatting>
  <conditionalFormatting sqref="E23:E43">
    <cfRule type="expression" dxfId="3835" priority="8">
      <formula>H23=1</formula>
    </cfRule>
  </conditionalFormatting>
  <conditionalFormatting sqref="F11">
    <cfRule type="containsText" dxfId="3834" priority="7" operator="containsText" text="FAIL">
      <formula>NOT(ISERROR(SEARCH("FAIL",F11)))</formula>
    </cfRule>
  </conditionalFormatting>
  <conditionalFormatting sqref="F11">
    <cfRule type="containsText" dxfId="3833" priority="6" operator="containsText" text="GOOD">
      <formula>NOT(ISERROR(SEARCH("GOOD",F11)))</formula>
    </cfRule>
  </conditionalFormatting>
  <conditionalFormatting sqref="C27:C28">
    <cfRule type="expression" dxfId="3832" priority="4">
      <formula>H27=1</formula>
    </cfRule>
  </conditionalFormatting>
  <pageMargins left="0.7" right="0.7" top="0.75" bottom="0.75" header="0.3" footer="0.3"/>
  <pageSetup scale="68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:P47"/>
  <sheetViews>
    <sheetView zoomScaleNormal="100" workbookViewId="0">
      <selection activeCell="M25" sqref="M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1567</v>
      </c>
      <c r="I4" s="2" t="s">
        <v>4</v>
      </c>
      <c r="J4" t="s">
        <v>816</v>
      </c>
    </row>
    <row r="5" spans="1:16" x14ac:dyDescent="0.25">
      <c r="D5" s="2" t="s">
        <v>1</v>
      </c>
      <c r="F5" t="s">
        <v>1568</v>
      </c>
    </row>
    <row r="6" spans="1:16" x14ac:dyDescent="0.25">
      <c r="D6" s="2" t="s">
        <v>2</v>
      </c>
      <c r="F6" s="6">
        <v>43501</v>
      </c>
      <c r="H6" s="11"/>
    </row>
    <row r="7" spans="1:16" x14ac:dyDescent="0.25">
      <c r="D7" s="2" t="s">
        <v>3</v>
      </c>
      <c r="F7" s="5">
        <v>13910000</v>
      </c>
      <c r="G7" s="2" t="s">
        <v>190</v>
      </c>
      <c r="H7" s="11"/>
    </row>
    <row r="8" spans="1:16" x14ac:dyDescent="0.25">
      <c r="D8" s="2" t="s">
        <v>18</v>
      </c>
      <c r="F8" s="5">
        <f>MIN(I23:I43)</f>
        <v>11745510</v>
      </c>
      <c r="H8" s="11"/>
    </row>
    <row r="9" spans="1:16" x14ac:dyDescent="0.25">
      <c r="D9" s="2" t="s">
        <v>67</v>
      </c>
      <c r="F9" s="4">
        <f>+F8-F7</f>
        <v>-2164490</v>
      </c>
      <c r="G9" s="16">
        <f>+F9/F7</f>
        <v>-0.15560675772825305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-1703590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15613590</v>
      </c>
      <c r="G12" s="14"/>
      <c r="H12" s="11">
        <f>COUNT(I23:I43)</f>
        <v>4</v>
      </c>
      <c r="I12" s="1" t="s">
        <v>31</v>
      </c>
      <c r="J12" s="4">
        <f>+F8*0.9</f>
        <v>10570959</v>
      </c>
      <c r="K12" s="1" t="s">
        <v>69</v>
      </c>
    </row>
    <row r="13" spans="1:16" x14ac:dyDescent="0.25">
      <c r="D13" s="2" t="s">
        <v>29</v>
      </c>
      <c r="F13" s="4">
        <f>MAX(I23:I43)-MIN(I23:I43)</f>
        <v>10814490</v>
      </c>
      <c r="G13" s="269">
        <f>MEDIAN(I23:I43)</f>
        <v>14074425</v>
      </c>
      <c r="H13" s="270"/>
      <c r="I13" s="1" t="s">
        <v>30</v>
      </c>
      <c r="J13" s="4">
        <f>+F12*1.1</f>
        <v>17174949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573</v>
      </c>
      <c r="E23" s="33"/>
      <c r="F23" t="s">
        <v>490</v>
      </c>
      <c r="G23" t="s">
        <v>25</v>
      </c>
      <c r="H23">
        <f>RANK(I23,I$23:I$43,1)</f>
        <v>2</v>
      </c>
      <c r="I23" s="4">
        <v>13320000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568</v>
      </c>
      <c r="E24" s="33"/>
      <c r="F24" t="s">
        <v>569</v>
      </c>
      <c r="G24" t="s">
        <v>570</v>
      </c>
      <c r="H24">
        <f>RANK(I24,I$23:I$43,1)</f>
        <v>4</v>
      </c>
      <c r="I24" s="4">
        <v>22560000</v>
      </c>
      <c r="J24" s="4"/>
      <c r="K24" s="4"/>
      <c r="L24" s="4"/>
      <c r="M24" s="22"/>
      <c r="N24" s="22"/>
      <c r="O24" s="22"/>
    </row>
    <row r="25" spans="3:15" x14ac:dyDescent="0.25">
      <c r="C25" s="33"/>
      <c r="D25" s="11" t="s">
        <v>571</v>
      </c>
      <c r="E25" s="33"/>
      <c r="F25" t="s">
        <v>572</v>
      </c>
      <c r="G25" t="s">
        <v>321</v>
      </c>
      <c r="H25">
        <f>RANK(I25,I$23:I$43,1)</f>
        <v>1</v>
      </c>
      <c r="I25" s="4">
        <v>11745510</v>
      </c>
      <c r="J25" s="4"/>
      <c r="K25" s="4"/>
      <c r="L25" s="4"/>
      <c r="M25" s="22"/>
      <c r="N25" s="22"/>
      <c r="O25" s="22"/>
    </row>
    <row r="26" spans="3:15" x14ac:dyDescent="0.25">
      <c r="C26" s="33" t="str">
        <f>IF(H26=1,"u","")</f>
        <v/>
      </c>
      <c r="D26" s="11" t="s">
        <v>1062</v>
      </c>
      <c r="E26" s="33"/>
      <c r="F26" t="s">
        <v>575</v>
      </c>
      <c r="G26" t="s">
        <v>333</v>
      </c>
      <c r="H26">
        <f>RANK(I26,I$23:I$43,1)</f>
        <v>3</v>
      </c>
      <c r="I26" s="4">
        <v>14828850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831" priority="14" operator="containsText" text="FAIL">
      <formula>NOT(ISERROR(SEARCH("FAIL",I9)))</formula>
    </cfRule>
  </conditionalFormatting>
  <conditionalFormatting sqref="I9">
    <cfRule type="containsText" dxfId="3830" priority="13" operator="containsText" text="GOOD">
      <formula>NOT(ISERROR(SEARCH("GOOD",I9)))</formula>
    </cfRule>
  </conditionalFormatting>
  <conditionalFormatting sqref="F11">
    <cfRule type="containsText" dxfId="3829" priority="12" operator="containsText" text="FAIL">
      <formula>NOT(ISERROR(SEARCH("FAIL",F11)))</formula>
    </cfRule>
  </conditionalFormatting>
  <conditionalFormatting sqref="F11">
    <cfRule type="containsText" dxfId="3828" priority="11" operator="containsText" text="GOOD">
      <formula>NOT(ISERROR(SEARCH("GOOD",F11)))</formula>
    </cfRule>
  </conditionalFormatting>
  <conditionalFormatting sqref="D29:D43 D23:D26">
    <cfRule type="expression" dxfId="3827" priority="10">
      <formula>H23=1</formula>
    </cfRule>
  </conditionalFormatting>
  <conditionalFormatting sqref="C29:C43 C23:C26">
    <cfRule type="expression" dxfId="3826" priority="9">
      <formula>H23=1</formula>
    </cfRule>
  </conditionalFormatting>
  <conditionalFormatting sqref="E29:E43 E23:E26">
    <cfRule type="expression" dxfId="3825" priority="8">
      <formula>H23=1</formula>
    </cfRule>
  </conditionalFormatting>
  <conditionalFormatting sqref="F11">
    <cfRule type="containsText" dxfId="3824" priority="7" operator="containsText" text="FAIL">
      <formula>NOT(ISERROR(SEARCH("FAIL",F11)))</formula>
    </cfRule>
  </conditionalFormatting>
  <conditionalFormatting sqref="F11">
    <cfRule type="containsText" dxfId="3823" priority="6" operator="containsText" text="GOOD">
      <formula>NOT(ISERROR(SEARCH("GOOD",F11)))</formula>
    </cfRule>
  </conditionalFormatting>
  <conditionalFormatting sqref="D28">
    <cfRule type="expression" dxfId="3822" priority="5">
      <formula>H28=1</formula>
    </cfRule>
  </conditionalFormatting>
  <conditionalFormatting sqref="C27:C28">
    <cfRule type="expression" dxfId="3821" priority="4">
      <formula>H27=1</formula>
    </cfRule>
  </conditionalFormatting>
  <conditionalFormatting sqref="E28">
    <cfRule type="expression" dxfId="3820" priority="3">
      <formula>H28=1</formula>
    </cfRule>
  </conditionalFormatting>
  <conditionalFormatting sqref="D27">
    <cfRule type="expression" dxfId="3819" priority="2">
      <formula>H27=1</formula>
    </cfRule>
  </conditionalFormatting>
  <conditionalFormatting sqref="E27">
    <cfRule type="expression" dxfId="3818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P47"/>
  <sheetViews>
    <sheetView zoomScaleNormal="100" workbookViewId="0">
      <selection activeCell="N14" sqref="N14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1564</v>
      </c>
      <c r="I4" s="2" t="s">
        <v>4</v>
      </c>
      <c r="J4" t="s">
        <v>1251</v>
      </c>
    </row>
    <row r="5" spans="1:15" x14ac:dyDescent="0.25">
      <c r="D5" s="2" t="s">
        <v>1</v>
      </c>
      <c r="F5" t="s">
        <v>1566</v>
      </c>
    </row>
    <row r="6" spans="1:15" x14ac:dyDescent="0.25">
      <c r="D6" s="2" t="s">
        <v>2</v>
      </c>
      <c r="F6" s="6">
        <v>43496</v>
      </c>
      <c r="H6" s="11"/>
    </row>
    <row r="7" spans="1:15" x14ac:dyDescent="0.25">
      <c r="D7" s="2" t="s">
        <v>3</v>
      </c>
      <c r="F7" s="5">
        <f>+L7+K7+J7+I7+(M7*K7)</f>
        <v>92495500</v>
      </c>
      <c r="G7" s="2" t="s">
        <v>34</v>
      </c>
      <c r="H7" s="11"/>
      <c r="I7" s="19">
        <v>39160000</v>
      </c>
      <c r="J7" s="19">
        <v>44170000</v>
      </c>
      <c r="K7" s="19">
        <v>7970000</v>
      </c>
      <c r="L7" s="19">
        <v>0</v>
      </c>
      <c r="M7" s="20">
        <v>0.15</v>
      </c>
    </row>
    <row r="8" spans="1:15" x14ac:dyDescent="0.25">
      <c r="D8" s="2" t="s">
        <v>18</v>
      </c>
      <c r="F8" s="5">
        <f>MIN(M23:M43)</f>
        <v>63348000</v>
      </c>
      <c r="H8" s="11"/>
      <c r="I8" s="18" t="s">
        <v>43</v>
      </c>
      <c r="J8" s="18" t="s">
        <v>44</v>
      </c>
      <c r="K8" s="18" t="s">
        <v>49</v>
      </c>
      <c r="L8" s="18" t="s">
        <v>934</v>
      </c>
      <c r="M8" s="18" t="s">
        <v>50</v>
      </c>
    </row>
    <row r="9" spans="1:15" x14ac:dyDescent="0.25">
      <c r="D9" s="2" t="s">
        <v>19</v>
      </c>
      <c r="F9" s="4">
        <f>+F8-F7</f>
        <v>-29147500</v>
      </c>
      <c r="G9" s="16">
        <f>+F9/F7</f>
        <v>-0.31512343843754559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5" x14ac:dyDescent="0.25">
      <c r="D10" s="2" t="s">
        <v>68</v>
      </c>
      <c r="F10" s="4">
        <f>+F7-F12</f>
        <v>23710263.333333328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FAIL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68785236.666666672</v>
      </c>
      <c r="G12" s="14"/>
      <c r="H12" s="11">
        <f>COUNT(M23:M43)</f>
        <v>3</v>
      </c>
      <c r="I12" s="1" t="s">
        <v>31</v>
      </c>
      <c r="J12" s="4">
        <f>+F8*0.9</f>
        <v>57013200</v>
      </c>
      <c r="K12" s="1" t="s">
        <v>69</v>
      </c>
      <c r="L12" s="1"/>
      <c r="O12" t="str">
        <f>INDEX(D23:D43,MATCH(1,H23:H43,0))</f>
        <v>El Sol / GCCOM JV</v>
      </c>
    </row>
    <row r="13" spans="1:15" x14ac:dyDescent="0.25">
      <c r="D13" s="2" t="s">
        <v>29</v>
      </c>
      <c r="F13" s="4">
        <f>MAX(M23:M43)-MIN(M23:M43)</f>
        <v>9260710</v>
      </c>
      <c r="G13" s="269">
        <f>MEDIAN(M23:M43)</f>
        <v>70399000</v>
      </c>
      <c r="H13" s="270"/>
      <c r="I13" s="1" t="s">
        <v>30</v>
      </c>
      <c r="J13" s="4">
        <f>+F12*1.1</f>
        <v>75663760.333333343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5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6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6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 t="shared" ref="C23:C28" si="0">IF(H23=1,"u","")</f>
        <v/>
      </c>
      <c r="D23" s="11" t="s">
        <v>506</v>
      </c>
      <c r="E23" s="33"/>
      <c r="F23" t="s">
        <v>40</v>
      </c>
      <c r="G23" t="s">
        <v>25</v>
      </c>
      <c r="H23">
        <f>RANK(M23,M$23:M$43,1)</f>
        <v>2</v>
      </c>
      <c r="I23" s="4">
        <v>19151942</v>
      </c>
      <c r="J23" s="4">
        <v>41523658</v>
      </c>
      <c r="K23" s="4">
        <v>0</v>
      </c>
      <c r="L23" s="7">
        <v>0.22</v>
      </c>
      <c r="M23" s="4">
        <f>+K23+I23+J23+(L23*K$7)+$K$7</f>
        <v>70399000</v>
      </c>
      <c r="N23" s="22"/>
      <c r="O23" s="22">
        <f>+L23*$K$7</f>
        <v>1753400</v>
      </c>
      <c r="P23" s="22"/>
    </row>
    <row r="24" spans="3:16" x14ac:dyDescent="0.25">
      <c r="C24" s="33" t="str">
        <f t="shared" si="0"/>
        <v>u</v>
      </c>
      <c r="D24" s="11" t="s">
        <v>1565</v>
      </c>
      <c r="E24" s="33"/>
      <c r="F24" t="s">
        <v>407</v>
      </c>
      <c r="G24" t="s">
        <v>93</v>
      </c>
      <c r="H24">
        <f>RANK(M24,M$23:M$43,1)</f>
        <v>1</v>
      </c>
      <c r="I24" s="4">
        <v>14269375</v>
      </c>
      <c r="J24" s="4">
        <v>40710125</v>
      </c>
      <c r="K24" s="4">
        <v>0</v>
      </c>
      <c r="L24" s="7">
        <v>0.05</v>
      </c>
      <c r="M24" s="4">
        <f>+K24+I24+J24+(L24*K$7)+$K$7</f>
        <v>63348000</v>
      </c>
      <c r="N24" s="22"/>
      <c r="O24" s="22">
        <f>+L24*$K$7</f>
        <v>398500</v>
      </c>
      <c r="P24" s="22"/>
    </row>
    <row r="25" spans="3:16" x14ac:dyDescent="0.25">
      <c r="C25" s="33" t="str">
        <f t="shared" si="0"/>
        <v/>
      </c>
      <c r="D25" s="11" t="s">
        <v>913</v>
      </c>
      <c r="E25" s="33"/>
      <c r="F25" t="s">
        <v>937</v>
      </c>
      <c r="G25" t="s">
        <v>25</v>
      </c>
      <c r="H25">
        <f>RANK(M25,M$23:M$43,1)</f>
        <v>3</v>
      </c>
      <c r="I25" s="4">
        <v>16743052</v>
      </c>
      <c r="J25" s="4">
        <v>46301658</v>
      </c>
      <c r="K25" s="4">
        <v>0</v>
      </c>
      <c r="L25" s="7">
        <v>0.2</v>
      </c>
      <c r="M25" s="4">
        <f>+K25+I25+J25+(L25*K$7)+$K$7</f>
        <v>72608710</v>
      </c>
      <c r="N25" s="22"/>
      <c r="O25" s="22">
        <f>+L25*$K$7</f>
        <v>1594000</v>
      </c>
      <c r="P25" s="22"/>
    </row>
    <row r="26" spans="3:16" x14ac:dyDescent="0.25">
      <c r="C26" s="33" t="str">
        <f t="shared" si="0"/>
        <v/>
      </c>
      <c r="D26" s="11"/>
      <c r="E26" s="33"/>
      <c r="I26" s="4"/>
      <c r="J26" s="4"/>
      <c r="K26" s="4"/>
      <c r="L26" s="7"/>
      <c r="M26" s="4"/>
      <c r="N26" s="22"/>
      <c r="O26" s="22"/>
      <c r="P26" s="22"/>
    </row>
    <row r="27" spans="3:16" x14ac:dyDescent="0.25">
      <c r="C27" s="33" t="str">
        <f t="shared" si="0"/>
        <v/>
      </c>
      <c r="D27" s="11"/>
      <c r="E27" s="33"/>
      <c r="I27" s="4"/>
      <c r="J27" s="4"/>
      <c r="K27" s="4"/>
      <c r="L27" s="7"/>
      <c r="M27" s="4"/>
      <c r="N27" s="22"/>
      <c r="O27" s="22"/>
      <c r="P27" s="22"/>
    </row>
    <row r="28" spans="3:16" x14ac:dyDescent="0.25">
      <c r="C28" s="33" t="str">
        <f t="shared" si="0"/>
        <v/>
      </c>
      <c r="D28" s="11"/>
      <c r="E28" s="33"/>
      <c r="I28" s="4"/>
      <c r="J28" s="4"/>
      <c r="K28" s="4"/>
      <c r="L28" s="7"/>
      <c r="M28" s="4"/>
      <c r="N28" s="22"/>
      <c r="O28" s="22"/>
      <c r="P28" s="22"/>
    </row>
    <row r="29" spans="3:16" x14ac:dyDescent="0.25">
      <c r="C29" s="33"/>
      <c r="D29" s="11"/>
      <c r="E29" s="33"/>
      <c r="I29" s="4"/>
      <c r="J29" s="4"/>
      <c r="K29" s="4"/>
      <c r="L29" s="7"/>
      <c r="M29" s="4"/>
      <c r="N29" s="22"/>
      <c r="O29" s="22"/>
      <c r="P29" s="22"/>
    </row>
    <row r="30" spans="3:16" x14ac:dyDescent="0.25">
      <c r="C30" s="33"/>
      <c r="D30" s="11"/>
      <c r="E30" s="33"/>
      <c r="I30" s="4"/>
      <c r="J30" s="4"/>
      <c r="K30" s="4"/>
      <c r="L30" s="7"/>
      <c r="M30" s="4"/>
      <c r="N30" s="22"/>
      <c r="O30" s="22"/>
      <c r="P30" s="22"/>
    </row>
    <row r="31" spans="3:16" x14ac:dyDescent="0.25">
      <c r="C31" s="33" t="str">
        <f t="shared" ref="C31:C43" si="1">IF(H31=1,"u","")</f>
        <v/>
      </c>
      <c r="D31" s="11"/>
      <c r="E31" s="33" t="str">
        <f t="shared" ref="E31:E43" si="2">IF(H31=1,"t","")</f>
        <v/>
      </c>
      <c r="I31" s="4"/>
      <c r="J31" s="4"/>
      <c r="K31" s="4"/>
      <c r="L31" s="7"/>
      <c r="M31" s="4"/>
      <c r="N31" s="22"/>
      <c r="O31" s="22"/>
      <c r="P31" s="22"/>
    </row>
    <row r="32" spans="3:16" x14ac:dyDescent="0.25">
      <c r="C32" s="33" t="str">
        <f t="shared" si="1"/>
        <v/>
      </c>
      <c r="D32" s="11"/>
      <c r="E32" s="33" t="str">
        <f t="shared" si="2"/>
        <v/>
      </c>
      <c r="I32" s="4"/>
      <c r="J32" s="4"/>
      <c r="K32" s="7"/>
      <c r="L32" s="7"/>
      <c r="M32" s="4"/>
      <c r="N32" s="22"/>
      <c r="O32" s="22"/>
      <c r="P32" s="22"/>
    </row>
    <row r="33" spans="3:16" x14ac:dyDescent="0.25">
      <c r="C33" s="33" t="str">
        <f t="shared" si="1"/>
        <v/>
      </c>
      <c r="D33" s="11"/>
      <c r="E33" s="33" t="str">
        <f t="shared" si="2"/>
        <v/>
      </c>
      <c r="I33" s="4"/>
      <c r="J33" s="4"/>
      <c r="K33" s="7"/>
      <c r="L33" s="7"/>
      <c r="M33" s="4"/>
      <c r="N33" s="21"/>
      <c r="O33" s="21"/>
      <c r="P33" s="21"/>
    </row>
    <row r="34" spans="3:16" x14ac:dyDescent="0.25">
      <c r="C34" s="33" t="str">
        <f t="shared" si="1"/>
        <v/>
      </c>
      <c r="D34" s="11"/>
      <c r="E34" s="33" t="str">
        <f t="shared" si="2"/>
        <v/>
      </c>
      <c r="K34" s="7"/>
      <c r="L34" s="7"/>
      <c r="N34" s="21"/>
      <c r="O34" s="21"/>
      <c r="P34" s="21"/>
    </row>
    <row r="35" spans="3:16" x14ac:dyDescent="0.25">
      <c r="C35" s="33" t="str">
        <f t="shared" si="1"/>
        <v/>
      </c>
      <c r="D35" s="11"/>
      <c r="E35" s="33" t="str">
        <f t="shared" si="2"/>
        <v/>
      </c>
      <c r="K35" s="7"/>
      <c r="L35" s="7"/>
      <c r="N35" s="21"/>
      <c r="O35" s="21"/>
      <c r="P35" s="21"/>
    </row>
    <row r="36" spans="3:16" x14ac:dyDescent="0.25">
      <c r="C36" s="33" t="str">
        <f t="shared" si="1"/>
        <v/>
      </c>
      <c r="D36" s="11"/>
      <c r="E36" s="33" t="str">
        <f t="shared" si="2"/>
        <v/>
      </c>
      <c r="K36" s="7"/>
      <c r="L36" s="7"/>
      <c r="N36" s="21"/>
      <c r="O36" s="21"/>
      <c r="P36" s="21"/>
    </row>
    <row r="37" spans="3:16" x14ac:dyDescent="0.25">
      <c r="C37" s="33" t="str">
        <f t="shared" si="1"/>
        <v/>
      </c>
      <c r="D37" s="11"/>
      <c r="E37" s="33" t="str">
        <f t="shared" si="2"/>
        <v/>
      </c>
      <c r="K37" s="7"/>
      <c r="L37" s="7"/>
      <c r="N37" s="21"/>
      <c r="O37" s="21"/>
      <c r="P37" s="21"/>
    </row>
    <row r="38" spans="3:16" x14ac:dyDescent="0.25">
      <c r="C38" s="33" t="str">
        <f t="shared" si="1"/>
        <v/>
      </c>
      <c r="D38" s="11"/>
      <c r="E38" s="33" t="str">
        <f t="shared" si="2"/>
        <v/>
      </c>
      <c r="K38" s="7"/>
      <c r="L38" s="7"/>
      <c r="N38" s="21"/>
      <c r="O38" s="21"/>
      <c r="P38" s="21"/>
    </row>
    <row r="39" spans="3:16" x14ac:dyDescent="0.25">
      <c r="C39" s="33" t="str">
        <f t="shared" si="1"/>
        <v/>
      </c>
      <c r="D39" s="11"/>
      <c r="E39" s="33" t="str">
        <f t="shared" si="2"/>
        <v/>
      </c>
      <c r="K39" s="7"/>
      <c r="L39" s="7"/>
      <c r="N39" s="21"/>
      <c r="O39" s="21"/>
      <c r="P39" s="21"/>
    </row>
    <row r="40" spans="3:16" x14ac:dyDescent="0.25">
      <c r="C40" s="33" t="str">
        <f t="shared" si="1"/>
        <v/>
      </c>
      <c r="D40" s="11"/>
      <c r="E40" s="33" t="str">
        <f t="shared" si="2"/>
        <v/>
      </c>
      <c r="K40" s="7"/>
      <c r="L40" s="7"/>
      <c r="N40" s="21"/>
      <c r="O40" s="21"/>
      <c r="P40" s="21"/>
    </row>
    <row r="41" spans="3:16" x14ac:dyDescent="0.25">
      <c r="C41" s="33" t="str">
        <f t="shared" si="1"/>
        <v/>
      </c>
      <c r="D41" s="11"/>
      <c r="E41" s="33" t="str">
        <f t="shared" si="2"/>
        <v/>
      </c>
      <c r="K41" s="7"/>
      <c r="L41" s="7"/>
      <c r="N41" s="21"/>
      <c r="O41" s="21"/>
      <c r="P41" s="21"/>
    </row>
    <row r="42" spans="3:16" x14ac:dyDescent="0.25">
      <c r="C42" s="33" t="str">
        <f t="shared" si="1"/>
        <v/>
      </c>
      <c r="D42" s="11"/>
      <c r="E42" s="33" t="str">
        <f t="shared" si="2"/>
        <v/>
      </c>
      <c r="K42" s="7"/>
      <c r="L42" s="7"/>
      <c r="N42" s="21"/>
      <c r="O42" s="21"/>
      <c r="P42" s="21"/>
    </row>
    <row r="43" spans="3:16" x14ac:dyDescent="0.25">
      <c r="C43" s="33" t="str">
        <f t="shared" si="1"/>
        <v/>
      </c>
      <c r="D43" s="11"/>
      <c r="E43" s="33" t="str">
        <f t="shared" si="2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3817" priority="13" operator="containsText" text="FAIL">
      <formula>NOT(ISERROR(SEARCH("FAIL",F9)))</formula>
    </cfRule>
  </conditionalFormatting>
  <conditionalFormatting sqref="I9 F11">
    <cfRule type="containsText" dxfId="3816" priority="12" operator="containsText" text="GOOD">
      <formula>NOT(ISERROR(SEARCH("GOOD",F9)))</formula>
    </cfRule>
  </conditionalFormatting>
  <conditionalFormatting sqref="I9">
    <cfRule type="containsText" dxfId="3815" priority="11" operator="containsText" text="FAIL">
      <formula>NOT(ISERROR(SEARCH("FAIL",I9)))</formula>
    </cfRule>
  </conditionalFormatting>
  <conditionalFormatting sqref="I9">
    <cfRule type="containsText" dxfId="3814" priority="10" operator="containsText" text="GOOD">
      <formula>NOT(ISERROR(SEARCH("GOOD",I9)))</formula>
    </cfRule>
  </conditionalFormatting>
  <conditionalFormatting sqref="D23:D24 D29:D43">
    <cfRule type="expression" dxfId="3813" priority="9">
      <formula>H23=1</formula>
    </cfRule>
  </conditionalFormatting>
  <conditionalFormatting sqref="C23:C24 C29:C43">
    <cfRule type="expression" dxfId="3812" priority="8">
      <formula>H23=1</formula>
    </cfRule>
  </conditionalFormatting>
  <conditionalFormatting sqref="E23:E24 E29:E43">
    <cfRule type="expression" dxfId="3811" priority="7">
      <formula>H23=1</formula>
    </cfRule>
  </conditionalFormatting>
  <conditionalFormatting sqref="D25:D26">
    <cfRule type="expression" dxfId="3810" priority="6">
      <formula>H25=1</formula>
    </cfRule>
  </conditionalFormatting>
  <conditionalFormatting sqref="C25:C26">
    <cfRule type="expression" dxfId="3809" priority="5">
      <formula>H25=1</formula>
    </cfRule>
  </conditionalFormatting>
  <conditionalFormatting sqref="E25:E26">
    <cfRule type="expression" dxfId="3808" priority="4">
      <formula>H25=1</formula>
    </cfRule>
  </conditionalFormatting>
  <conditionalFormatting sqref="D27:D28">
    <cfRule type="expression" dxfId="3807" priority="3">
      <formula>H27=1</formula>
    </cfRule>
  </conditionalFormatting>
  <conditionalFormatting sqref="C27:C28">
    <cfRule type="expression" dxfId="3806" priority="2">
      <formula>H27=1</formula>
    </cfRule>
  </conditionalFormatting>
  <conditionalFormatting sqref="E27:E28">
    <cfRule type="expression" dxfId="3805" priority="1">
      <formula>H27=1</formula>
    </cfRule>
  </conditionalFormatting>
  <pageMargins left="0.7" right="0.7" top="0.75" bottom="0.75" header="0.3" footer="0.3"/>
  <pageSetup scale="77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:P56"/>
  <sheetViews>
    <sheetView zoomScaleNormal="100" workbookViewId="0">
      <selection activeCell="M15" sqref="M1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47</v>
      </c>
    </row>
    <row r="4" spans="1:16" x14ac:dyDescent="0.25">
      <c r="D4" s="2" t="s">
        <v>0</v>
      </c>
      <c r="E4" s="1"/>
      <c r="F4" t="s">
        <v>1562</v>
      </c>
      <c r="I4" s="2" t="s">
        <v>4</v>
      </c>
      <c r="J4" t="s">
        <v>784</v>
      </c>
    </row>
    <row r="5" spans="1:16" x14ac:dyDescent="0.25">
      <c r="D5" s="2" t="s">
        <v>1</v>
      </c>
      <c r="F5" s="52" t="s">
        <v>1563</v>
      </c>
    </row>
    <row r="6" spans="1:16" x14ac:dyDescent="0.25">
      <c r="D6" s="2" t="s">
        <v>2</v>
      </c>
      <c r="F6" s="6">
        <v>43489</v>
      </c>
      <c r="H6" s="11"/>
    </row>
    <row r="7" spans="1:16" x14ac:dyDescent="0.25">
      <c r="D7" s="2" t="s">
        <v>3</v>
      </c>
      <c r="F7" s="5">
        <f>+I7+J7</f>
        <v>23450000</v>
      </c>
      <c r="G7" s="2" t="s">
        <v>34</v>
      </c>
      <c r="H7" s="11"/>
      <c r="I7" s="19">
        <v>7230000</v>
      </c>
      <c r="J7" s="19">
        <v>16220000</v>
      </c>
    </row>
    <row r="8" spans="1:16" x14ac:dyDescent="0.25">
      <c r="D8" s="2" t="s">
        <v>18</v>
      </c>
      <c r="F8" s="5">
        <f>MIN(K23:K43)</f>
        <v>25644000</v>
      </c>
      <c r="H8" s="11"/>
      <c r="I8" s="18" t="s">
        <v>43</v>
      </c>
      <c r="J8" s="18" t="s">
        <v>44</v>
      </c>
      <c r="P8" s="66">
        <f>+K26/K24</f>
        <v>0</v>
      </c>
    </row>
    <row r="9" spans="1:16" x14ac:dyDescent="0.25">
      <c r="D9" s="2" t="s">
        <v>19</v>
      </c>
      <c r="F9" s="4">
        <f>+F8-F7</f>
        <v>2194000</v>
      </c>
      <c r="G9" s="16">
        <f>+F9/F7</f>
        <v>9.3560767590618335E-2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-4805558.5</v>
      </c>
      <c r="H10" s="11"/>
    </row>
    <row r="11" spans="1:16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SUM(K23:K43)/H12</f>
        <v>28255558.5</v>
      </c>
      <c r="G12" s="14"/>
      <c r="H12" s="11">
        <f>COUNT(K23:K43)</f>
        <v>2</v>
      </c>
      <c r="I12" s="1" t="s">
        <v>31</v>
      </c>
      <c r="J12" s="4">
        <f>+F8*0.9</f>
        <v>23079600</v>
      </c>
      <c r="K12" s="1" t="s">
        <v>69</v>
      </c>
    </row>
    <row r="13" spans="1:16" x14ac:dyDescent="0.25">
      <c r="D13" s="2" t="s">
        <v>29</v>
      </c>
      <c r="F13" s="4">
        <f>MAX(K23:K43)-MIN(K23:K43)</f>
        <v>5223117</v>
      </c>
      <c r="G13" s="269">
        <f>MEDIAN(K23:K43)</f>
        <v>28255558.5</v>
      </c>
      <c r="H13" s="270"/>
      <c r="I13" s="1" t="s">
        <v>30</v>
      </c>
      <c r="J13" s="4">
        <f>+F12*1.1</f>
        <v>31081114.350000001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6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0.79491525423728815</v>
      </c>
    </row>
    <row r="18" spans="3:15" x14ac:dyDescent="0.25">
      <c r="F18" s="4">
        <f>+F7</f>
        <v>23450000</v>
      </c>
      <c r="G18" s="1" t="s">
        <v>12</v>
      </c>
      <c r="H18" s="11"/>
      <c r="I18" t="s">
        <v>16</v>
      </c>
      <c r="J18" s="7">
        <f>+F8/F18</f>
        <v>1.0935607675906183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0.8548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541</v>
      </c>
      <c r="E23" s="33"/>
      <c r="F23" t="s">
        <v>147</v>
      </c>
      <c r="G23" t="s">
        <v>93</v>
      </c>
      <c r="H23">
        <f>RANK(K23,K$23:K$43,1)</f>
        <v>1</v>
      </c>
      <c r="I23" s="4">
        <v>6544000</v>
      </c>
      <c r="J23" s="4">
        <v>19100000</v>
      </c>
      <c r="K23" s="4">
        <f>+J23+I23</f>
        <v>25644000</v>
      </c>
      <c r="L23" s="4"/>
      <c r="M23" s="22"/>
      <c r="N23" s="22"/>
      <c r="O23" s="22"/>
    </row>
    <row r="24" spans="3:15" x14ac:dyDescent="0.25">
      <c r="C24" s="33" t="str">
        <f t="shared" ref="C24:C43" si="0">IF(H24=1,"u","")</f>
        <v/>
      </c>
      <c r="D24" s="11" t="s">
        <v>440</v>
      </c>
      <c r="E24" s="33"/>
      <c r="F24" t="s">
        <v>199</v>
      </c>
      <c r="G24" t="s">
        <v>93</v>
      </c>
      <c r="H24">
        <f>RANK(K24,K$23:K$43,1)</f>
        <v>2</v>
      </c>
      <c r="I24" s="4">
        <v>6068210</v>
      </c>
      <c r="J24" s="4">
        <v>24798907</v>
      </c>
      <c r="K24" s="4">
        <f>+J24+I24</f>
        <v>30867117</v>
      </c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3804" priority="32" operator="containsText" text="FAIL">
      <formula>NOT(ISERROR(SEARCH("FAIL",I9)))</formula>
    </cfRule>
  </conditionalFormatting>
  <conditionalFormatting sqref="I9">
    <cfRule type="containsText" dxfId="3803" priority="31" operator="containsText" text="GOOD">
      <formula>NOT(ISERROR(SEARCH("GOOD",I9)))</formula>
    </cfRule>
  </conditionalFormatting>
  <conditionalFormatting sqref="I9">
    <cfRule type="containsText" dxfId="3802" priority="30" operator="containsText" text="FAIL">
      <formula>NOT(ISERROR(SEARCH("FAIL",I9)))</formula>
    </cfRule>
  </conditionalFormatting>
  <conditionalFormatting sqref="I9">
    <cfRule type="containsText" dxfId="3801" priority="29" operator="containsText" text="GOOD">
      <formula>NOT(ISERROR(SEARCH("GOOD",I9)))</formula>
    </cfRule>
  </conditionalFormatting>
  <conditionalFormatting sqref="I9">
    <cfRule type="containsText" dxfId="3800" priority="28" operator="containsText" text="FAIL">
      <formula>NOT(ISERROR(SEARCH("FAIL",I9)))</formula>
    </cfRule>
  </conditionalFormatting>
  <conditionalFormatting sqref="I9">
    <cfRule type="containsText" dxfId="3799" priority="27" operator="containsText" text="GOOD">
      <formula>NOT(ISERROR(SEARCH("GOOD",I9)))</formula>
    </cfRule>
  </conditionalFormatting>
  <conditionalFormatting sqref="F11">
    <cfRule type="containsText" dxfId="3798" priority="26" operator="containsText" text="FAIL">
      <formula>NOT(ISERROR(SEARCH("FAIL",F11)))</formula>
    </cfRule>
  </conditionalFormatting>
  <conditionalFormatting sqref="F11">
    <cfRule type="containsText" dxfId="3797" priority="25" operator="containsText" text="GOOD">
      <formula>NOT(ISERROR(SEARCH("GOOD",F11)))</formula>
    </cfRule>
  </conditionalFormatting>
  <conditionalFormatting sqref="I9">
    <cfRule type="containsText" dxfId="3796" priority="24" operator="containsText" text="FAIL">
      <formula>NOT(ISERROR(SEARCH("FAIL",I9)))</formula>
    </cfRule>
  </conditionalFormatting>
  <conditionalFormatting sqref="I9">
    <cfRule type="containsText" dxfId="3795" priority="23" operator="containsText" text="GOOD">
      <formula>NOT(ISERROR(SEARCH("GOOD",I9)))</formula>
    </cfRule>
  </conditionalFormatting>
  <conditionalFormatting sqref="F11">
    <cfRule type="containsText" dxfId="3794" priority="22" operator="containsText" text="FAIL">
      <formula>NOT(ISERROR(SEARCH("FAIL",F11)))</formula>
    </cfRule>
  </conditionalFormatting>
  <conditionalFormatting sqref="F11">
    <cfRule type="containsText" dxfId="3793" priority="21" operator="containsText" text="GOOD">
      <formula>NOT(ISERROR(SEARCH("GOOD",F11)))</formula>
    </cfRule>
  </conditionalFormatting>
  <conditionalFormatting sqref="D39:D43 D31:D33">
    <cfRule type="expression" dxfId="3792" priority="20">
      <formula>H31=1</formula>
    </cfRule>
  </conditionalFormatting>
  <conditionalFormatting sqref="C39:C43 C23:C33">
    <cfRule type="expression" dxfId="3791" priority="19">
      <formula>H23=1</formula>
    </cfRule>
  </conditionalFormatting>
  <conditionalFormatting sqref="E39:E43 E31:E33">
    <cfRule type="expression" dxfId="3790" priority="18">
      <formula>H31=1</formula>
    </cfRule>
  </conditionalFormatting>
  <conditionalFormatting sqref="E39:E43 E31:E33">
    <cfRule type="expression" dxfId="3789" priority="17">
      <formula>H31=1</formula>
    </cfRule>
  </conditionalFormatting>
  <conditionalFormatting sqref="F11">
    <cfRule type="containsText" dxfId="3788" priority="16" operator="containsText" text="FAIL">
      <formula>NOT(ISERROR(SEARCH("FAIL",F11)))</formula>
    </cfRule>
  </conditionalFormatting>
  <conditionalFormatting sqref="F11">
    <cfRule type="containsText" dxfId="3787" priority="15" operator="containsText" text="GOOD">
      <formula>NOT(ISERROR(SEARCH("GOOD",F11)))</formula>
    </cfRule>
  </conditionalFormatting>
  <conditionalFormatting sqref="D34:D37">
    <cfRule type="expression" dxfId="3786" priority="14">
      <formula>H34=1</formula>
    </cfRule>
  </conditionalFormatting>
  <conditionalFormatting sqref="C34:C37">
    <cfRule type="expression" dxfId="3785" priority="13">
      <formula>H34=1</formula>
    </cfRule>
  </conditionalFormatting>
  <conditionalFormatting sqref="E34:E37">
    <cfRule type="expression" dxfId="3784" priority="12">
      <formula>H34=1</formula>
    </cfRule>
  </conditionalFormatting>
  <conditionalFormatting sqref="E34:E37">
    <cfRule type="expression" dxfId="3783" priority="11">
      <formula>H34=1</formula>
    </cfRule>
  </conditionalFormatting>
  <conditionalFormatting sqref="D38">
    <cfRule type="expression" dxfId="3782" priority="10">
      <formula>H38=1</formula>
    </cfRule>
  </conditionalFormatting>
  <conditionalFormatting sqref="C38">
    <cfRule type="expression" dxfId="3781" priority="9">
      <formula>H38=1</formula>
    </cfRule>
  </conditionalFormatting>
  <conditionalFormatting sqref="E38">
    <cfRule type="expression" dxfId="3780" priority="8">
      <formula>H38=1</formula>
    </cfRule>
  </conditionalFormatting>
  <conditionalFormatting sqref="E38">
    <cfRule type="expression" dxfId="3779" priority="7">
      <formula>H38=1</formula>
    </cfRule>
  </conditionalFormatting>
  <conditionalFormatting sqref="D23:D25 D29:D30">
    <cfRule type="expression" dxfId="3778" priority="6">
      <formula>H23=1</formula>
    </cfRule>
  </conditionalFormatting>
  <conditionalFormatting sqref="E23:E25 E29:E30">
    <cfRule type="expression" dxfId="3777" priority="5">
      <formula>H23=1</formula>
    </cfRule>
  </conditionalFormatting>
  <conditionalFormatting sqref="E23:E25 E29:E30">
    <cfRule type="expression" dxfId="3776" priority="4">
      <formula>H23=1</formula>
    </cfRule>
  </conditionalFormatting>
  <conditionalFormatting sqref="D26:D28">
    <cfRule type="expression" dxfId="3775" priority="3">
      <formula>H26=1</formula>
    </cfRule>
  </conditionalFormatting>
  <conditionalFormatting sqref="E26:E28">
    <cfRule type="expression" dxfId="3774" priority="2">
      <formula>H26=1</formula>
    </cfRule>
  </conditionalFormatting>
  <conditionalFormatting sqref="E26:E28">
    <cfRule type="expression" dxfId="3773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:P47"/>
  <sheetViews>
    <sheetView zoomScaleNormal="100" workbookViewId="0">
      <selection activeCell="O19" sqref="O19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1559</v>
      </c>
      <c r="I4" s="2" t="s">
        <v>4</v>
      </c>
      <c r="J4" t="s">
        <v>1251</v>
      </c>
    </row>
    <row r="5" spans="1:15" x14ac:dyDescent="0.25">
      <c r="D5" s="2" t="s">
        <v>1</v>
      </c>
      <c r="F5" t="s">
        <v>1560</v>
      </c>
    </row>
    <row r="6" spans="1:15" x14ac:dyDescent="0.25">
      <c r="D6" s="2" t="s">
        <v>2</v>
      </c>
      <c r="F6" s="6">
        <v>43488</v>
      </c>
      <c r="H6" s="11"/>
    </row>
    <row r="7" spans="1:15" x14ac:dyDescent="0.25">
      <c r="D7" s="2" t="s">
        <v>3</v>
      </c>
      <c r="F7" s="5">
        <f>+L7+K7+J7+I7+(M7*K7)</f>
        <v>28219450</v>
      </c>
      <c r="G7" s="2" t="s">
        <v>34</v>
      </c>
      <c r="H7" s="11"/>
      <c r="I7" s="19">
        <v>0</v>
      </c>
      <c r="J7" s="19">
        <v>25180000</v>
      </c>
      <c r="K7" s="19">
        <v>2643000</v>
      </c>
      <c r="L7" s="19">
        <v>0</v>
      </c>
      <c r="M7" s="20">
        <v>0.15</v>
      </c>
    </row>
    <row r="8" spans="1:15" x14ac:dyDescent="0.25">
      <c r="D8" s="2" t="s">
        <v>18</v>
      </c>
      <c r="F8" s="5">
        <f>MIN(M23:M43)</f>
        <v>27620150</v>
      </c>
      <c r="H8" s="11"/>
      <c r="I8" s="18" t="s">
        <v>43</v>
      </c>
      <c r="J8" s="18" t="s">
        <v>44</v>
      </c>
      <c r="K8" s="18" t="s">
        <v>49</v>
      </c>
      <c r="L8" s="18" t="s">
        <v>934</v>
      </c>
      <c r="M8" s="18" t="s">
        <v>50</v>
      </c>
    </row>
    <row r="9" spans="1:15" x14ac:dyDescent="0.25">
      <c r="D9" s="2" t="s">
        <v>19</v>
      </c>
      <c r="F9" s="4">
        <f>+F8-F7</f>
        <v>-599300</v>
      </c>
      <c r="G9" s="16">
        <f>+F9/F7</f>
        <v>-2.1237125457795953E-2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5" x14ac:dyDescent="0.25">
      <c r="D10" s="2" t="s">
        <v>68</v>
      </c>
      <c r="F10" s="4">
        <f>+F7-F12</f>
        <v>-10111990.5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GOOD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38331440.5</v>
      </c>
      <c r="G12" s="14"/>
      <c r="H12" s="11">
        <f>COUNT(M23:M43)</f>
        <v>6</v>
      </c>
      <c r="I12" s="1" t="s">
        <v>31</v>
      </c>
      <c r="J12" s="4">
        <f>+F8*0.9</f>
        <v>24858135</v>
      </c>
      <c r="K12" s="1" t="s">
        <v>69</v>
      </c>
      <c r="L12" s="1"/>
      <c r="O12" t="str">
        <f>INDEX(D23:D43,MATCH(1,H23:H43,0))</f>
        <v>PJS Electric</v>
      </c>
    </row>
    <row r="13" spans="1:15" x14ac:dyDescent="0.25">
      <c r="D13" s="2" t="s">
        <v>29</v>
      </c>
      <c r="F13" s="4">
        <f>MAX(M23:M43)-MIN(M23:M43)</f>
        <v>22491850</v>
      </c>
      <c r="G13" s="269">
        <f>MEDIAN(M23:M43)</f>
        <v>35956596.5</v>
      </c>
      <c r="H13" s="270"/>
      <c r="I13" s="1" t="s">
        <v>30</v>
      </c>
      <c r="J13" s="4">
        <f>+F12*1.1</f>
        <v>42164584.550000004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5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6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6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 t="shared" ref="C23:C28" si="0">IF(H23=1,"u","")</f>
        <v/>
      </c>
      <c r="D23" s="11" t="s">
        <v>487</v>
      </c>
      <c r="E23" s="33"/>
      <c r="F23" t="s">
        <v>113</v>
      </c>
      <c r="G23" t="s">
        <v>25</v>
      </c>
      <c r="H23">
        <f t="shared" ref="H23:H28" si="1">RANK(M23,M$23:M$43,1)</f>
        <v>2</v>
      </c>
      <c r="I23" s="4">
        <v>0</v>
      </c>
      <c r="J23" s="4">
        <v>28475260</v>
      </c>
      <c r="K23" s="4">
        <v>0</v>
      </c>
      <c r="L23" s="7">
        <v>0.18</v>
      </c>
      <c r="M23" s="4">
        <f t="shared" ref="M23:M28" si="2">+K23+I23+J23+(L23*K$7)+$K$7</f>
        <v>31594000</v>
      </c>
      <c r="N23" s="22"/>
      <c r="O23" s="22">
        <f t="shared" ref="O23:O28" si="3">+L23*$K$7</f>
        <v>475740</v>
      </c>
      <c r="P23" s="22"/>
    </row>
    <row r="24" spans="3:16" x14ac:dyDescent="0.25">
      <c r="C24" s="33" t="str">
        <f t="shared" si="0"/>
        <v/>
      </c>
      <c r="D24" s="11" t="s">
        <v>1017</v>
      </c>
      <c r="E24" s="33"/>
      <c r="F24" t="s">
        <v>201</v>
      </c>
      <c r="G24" t="s">
        <v>25</v>
      </c>
      <c r="H24">
        <f t="shared" si="1"/>
        <v>6</v>
      </c>
      <c r="I24" s="4">
        <v>0</v>
      </c>
      <c r="J24" s="4">
        <v>46940400</v>
      </c>
      <c r="K24" s="4">
        <v>0</v>
      </c>
      <c r="L24" s="7">
        <v>0.2</v>
      </c>
      <c r="M24" s="4">
        <f t="shared" si="2"/>
        <v>50112000</v>
      </c>
      <c r="N24" s="22"/>
      <c r="O24" s="22">
        <f t="shared" si="3"/>
        <v>528600</v>
      </c>
      <c r="P24" s="22"/>
    </row>
    <row r="25" spans="3:16" x14ac:dyDescent="0.25">
      <c r="C25" s="33" t="str">
        <f t="shared" si="0"/>
        <v/>
      </c>
      <c r="D25" s="11" t="s">
        <v>491</v>
      </c>
      <c r="E25" s="33"/>
      <c r="F25" t="s">
        <v>203</v>
      </c>
      <c r="G25" t="s">
        <v>204</v>
      </c>
      <c r="H25">
        <f t="shared" si="1"/>
        <v>3</v>
      </c>
      <c r="I25" s="4">
        <v>0</v>
      </c>
      <c r="J25" s="4">
        <v>31122853</v>
      </c>
      <c r="K25" s="4">
        <v>0</v>
      </c>
      <c r="L25" s="7">
        <v>0.08</v>
      </c>
      <c r="M25" s="4">
        <f t="shared" si="2"/>
        <v>33977293</v>
      </c>
      <c r="N25" s="22"/>
      <c r="O25" s="22">
        <f t="shared" si="3"/>
        <v>211440</v>
      </c>
      <c r="P25" s="22"/>
    </row>
    <row r="26" spans="3:16" x14ac:dyDescent="0.25">
      <c r="C26" s="33" t="str">
        <f t="shared" si="0"/>
        <v/>
      </c>
      <c r="D26" s="11" t="s">
        <v>1561</v>
      </c>
      <c r="E26" s="33"/>
      <c r="F26" t="s">
        <v>407</v>
      </c>
      <c r="G26" t="s">
        <v>93</v>
      </c>
      <c r="H26">
        <f t="shared" si="1"/>
        <v>4</v>
      </c>
      <c r="I26" s="4">
        <v>0</v>
      </c>
      <c r="J26" s="4">
        <v>34500000</v>
      </c>
      <c r="K26" s="4">
        <v>0</v>
      </c>
      <c r="L26" s="7">
        <v>0.3</v>
      </c>
      <c r="M26" s="4">
        <f t="shared" si="2"/>
        <v>37935900</v>
      </c>
      <c r="N26" s="22"/>
      <c r="O26" s="22">
        <f t="shared" si="3"/>
        <v>792900</v>
      </c>
      <c r="P26" s="22"/>
    </row>
    <row r="27" spans="3:16" x14ac:dyDescent="0.25">
      <c r="C27" s="33" t="str">
        <f t="shared" si="0"/>
        <v>u</v>
      </c>
      <c r="D27" s="11" t="s">
        <v>499</v>
      </c>
      <c r="E27" s="33"/>
      <c r="F27" t="s">
        <v>100</v>
      </c>
      <c r="G27" t="s">
        <v>93</v>
      </c>
      <c r="H27">
        <f t="shared" si="1"/>
        <v>1</v>
      </c>
      <c r="I27" s="4">
        <v>0</v>
      </c>
      <c r="J27" s="4">
        <v>24845000</v>
      </c>
      <c r="K27" s="4">
        <v>0</v>
      </c>
      <c r="L27" s="7">
        <v>0.05</v>
      </c>
      <c r="M27" s="4">
        <f t="shared" si="2"/>
        <v>27620150</v>
      </c>
      <c r="N27" s="22"/>
      <c r="O27" s="22">
        <f t="shared" si="3"/>
        <v>132150</v>
      </c>
      <c r="P27" s="22"/>
    </row>
    <row r="28" spans="3:16" x14ac:dyDescent="0.25">
      <c r="C28" s="33" t="str">
        <f t="shared" si="0"/>
        <v/>
      </c>
      <c r="D28" s="11" t="s">
        <v>1103</v>
      </c>
      <c r="E28" s="33"/>
      <c r="F28" t="s">
        <v>92</v>
      </c>
      <c r="G28" t="s">
        <v>93</v>
      </c>
      <c r="H28">
        <f t="shared" si="1"/>
        <v>5</v>
      </c>
      <c r="I28" s="4">
        <v>0</v>
      </c>
      <c r="J28" s="4">
        <v>45842000</v>
      </c>
      <c r="K28" s="4">
        <v>0</v>
      </c>
      <c r="L28" s="7">
        <v>0.1</v>
      </c>
      <c r="M28" s="4">
        <f t="shared" si="2"/>
        <v>48749300</v>
      </c>
      <c r="N28" s="22"/>
      <c r="O28" s="22">
        <f t="shared" si="3"/>
        <v>264300</v>
      </c>
      <c r="P28" s="22"/>
    </row>
    <row r="29" spans="3:16" x14ac:dyDescent="0.25">
      <c r="C29" s="33"/>
      <c r="D29" s="11"/>
      <c r="E29" s="33"/>
      <c r="I29" s="4"/>
      <c r="J29" s="4"/>
      <c r="K29" s="4"/>
      <c r="L29" s="7"/>
      <c r="M29" s="4"/>
      <c r="N29" s="22"/>
      <c r="O29" s="22"/>
      <c r="P29" s="22"/>
    </row>
    <row r="30" spans="3:16" x14ac:dyDescent="0.25">
      <c r="C30" s="33"/>
      <c r="D30" s="11"/>
      <c r="E30" s="33"/>
      <c r="I30" s="4"/>
      <c r="J30" s="4"/>
      <c r="K30" s="4"/>
      <c r="L30" s="7"/>
      <c r="M30" s="4"/>
      <c r="N30" s="22"/>
      <c r="O30" s="22"/>
      <c r="P30" s="22"/>
    </row>
    <row r="31" spans="3:16" x14ac:dyDescent="0.25">
      <c r="C31" s="33" t="str">
        <f t="shared" ref="C31:C43" si="4">IF(H31=1,"u","")</f>
        <v/>
      </c>
      <c r="D31" s="11"/>
      <c r="E31" s="33" t="str">
        <f t="shared" ref="E31:E43" si="5">IF(H31=1,"t","")</f>
        <v/>
      </c>
      <c r="I31" s="4"/>
      <c r="J31" s="4"/>
      <c r="K31" s="4"/>
      <c r="L31" s="7"/>
      <c r="M31" s="4"/>
      <c r="N31" s="22"/>
      <c r="O31" s="22"/>
      <c r="P31" s="22"/>
    </row>
    <row r="32" spans="3:16" x14ac:dyDescent="0.25">
      <c r="C32" s="33" t="str">
        <f t="shared" si="4"/>
        <v/>
      </c>
      <c r="D32" s="11"/>
      <c r="E32" s="33" t="str">
        <f t="shared" si="5"/>
        <v/>
      </c>
      <c r="I32" s="4"/>
      <c r="J32" s="4"/>
      <c r="K32" s="7"/>
      <c r="L32" s="7"/>
      <c r="M32" s="4"/>
      <c r="N32" s="22"/>
      <c r="O32" s="22"/>
      <c r="P32" s="22"/>
    </row>
    <row r="33" spans="3:16" x14ac:dyDescent="0.25">
      <c r="C33" s="33" t="str">
        <f t="shared" si="4"/>
        <v/>
      </c>
      <c r="D33" s="11"/>
      <c r="E33" s="33" t="str">
        <f t="shared" si="5"/>
        <v/>
      </c>
      <c r="I33" s="4"/>
      <c r="J33" s="4"/>
      <c r="K33" s="7"/>
      <c r="L33" s="7"/>
      <c r="M33" s="4"/>
      <c r="N33" s="21"/>
      <c r="O33" s="21"/>
      <c r="P33" s="21"/>
    </row>
    <row r="34" spans="3:16" x14ac:dyDescent="0.25">
      <c r="C34" s="33" t="str">
        <f t="shared" si="4"/>
        <v/>
      </c>
      <c r="D34" s="11"/>
      <c r="E34" s="33" t="str">
        <f t="shared" si="5"/>
        <v/>
      </c>
      <c r="K34" s="7"/>
      <c r="L34" s="7"/>
      <c r="N34" s="21"/>
      <c r="O34" s="21"/>
      <c r="P34" s="21"/>
    </row>
    <row r="35" spans="3:16" x14ac:dyDescent="0.25">
      <c r="C35" s="33" t="str">
        <f t="shared" si="4"/>
        <v/>
      </c>
      <c r="D35" s="11"/>
      <c r="E35" s="33" t="str">
        <f t="shared" si="5"/>
        <v/>
      </c>
      <c r="K35" s="7"/>
      <c r="L35" s="7"/>
      <c r="N35" s="21"/>
      <c r="O35" s="21"/>
      <c r="P35" s="21"/>
    </row>
    <row r="36" spans="3:16" x14ac:dyDescent="0.25">
      <c r="C36" s="33" t="str">
        <f t="shared" si="4"/>
        <v/>
      </c>
      <c r="D36" s="11"/>
      <c r="E36" s="33" t="str">
        <f t="shared" si="5"/>
        <v/>
      </c>
      <c r="K36" s="7"/>
      <c r="L36" s="7"/>
      <c r="N36" s="21"/>
      <c r="O36" s="21"/>
      <c r="P36" s="21"/>
    </row>
    <row r="37" spans="3:16" x14ac:dyDescent="0.25">
      <c r="C37" s="33" t="str">
        <f t="shared" si="4"/>
        <v/>
      </c>
      <c r="D37" s="11"/>
      <c r="E37" s="33" t="str">
        <f t="shared" si="5"/>
        <v/>
      </c>
      <c r="K37" s="7"/>
      <c r="L37" s="7"/>
      <c r="N37" s="21"/>
      <c r="O37" s="21"/>
      <c r="P37" s="21"/>
    </row>
    <row r="38" spans="3:16" x14ac:dyDescent="0.25">
      <c r="C38" s="33" t="str">
        <f t="shared" si="4"/>
        <v/>
      </c>
      <c r="D38" s="11"/>
      <c r="E38" s="33" t="str">
        <f t="shared" si="5"/>
        <v/>
      </c>
      <c r="K38" s="7"/>
      <c r="L38" s="7"/>
      <c r="N38" s="21"/>
      <c r="O38" s="21"/>
      <c r="P38" s="21"/>
    </row>
    <row r="39" spans="3:16" x14ac:dyDescent="0.25">
      <c r="C39" s="33" t="str">
        <f t="shared" si="4"/>
        <v/>
      </c>
      <c r="D39" s="11"/>
      <c r="E39" s="33" t="str">
        <f t="shared" si="5"/>
        <v/>
      </c>
      <c r="K39" s="7"/>
      <c r="L39" s="7"/>
      <c r="N39" s="21"/>
      <c r="O39" s="21"/>
      <c r="P39" s="21"/>
    </row>
    <row r="40" spans="3:16" x14ac:dyDescent="0.25">
      <c r="C40" s="33" t="str">
        <f t="shared" si="4"/>
        <v/>
      </c>
      <c r="D40" s="11"/>
      <c r="E40" s="33" t="str">
        <f t="shared" si="5"/>
        <v/>
      </c>
      <c r="K40" s="7"/>
      <c r="L40" s="7"/>
      <c r="N40" s="21"/>
      <c r="O40" s="21"/>
      <c r="P40" s="21"/>
    </row>
    <row r="41" spans="3:16" x14ac:dyDescent="0.25">
      <c r="C41" s="33" t="str">
        <f t="shared" si="4"/>
        <v/>
      </c>
      <c r="D41" s="11"/>
      <c r="E41" s="33" t="str">
        <f t="shared" si="5"/>
        <v/>
      </c>
      <c r="K41" s="7"/>
      <c r="L41" s="7"/>
      <c r="N41" s="21"/>
      <c r="O41" s="21"/>
      <c r="P41" s="21"/>
    </row>
    <row r="42" spans="3:16" x14ac:dyDescent="0.25">
      <c r="C42" s="33" t="str">
        <f t="shared" si="4"/>
        <v/>
      </c>
      <c r="D42" s="11"/>
      <c r="E42" s="33" t="str">
        <f t="shared" si="5"/>
        <v/>
      </c>
      <c r="K42" s="7"/>
      <c r="L42" s="7"/>
      <c r="N42" s="21"/>
      <c r="O42" s="21"/>
      <c r="P42" s="21"/>
    </row>
    <row r="43" spans="3:16" x14ac:dyDescent="0.25">
      <c r="C43" s="33" t="str">
        <f t="shared" si="4"/>
        <v/>
      </c>
      <c r="D43" s="11"/>
      <c r="E43" s="33" t="str">
        <f t="shared" si="5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3772" priority="14" operator="containsText" text="FAIL">
      <formula>NOT(ISERROR(SEARCH("FAIL",F9)))</formula>
    </cfRule>
  </conditionalFormatting>
  <conditionalFormatting sqref="I9 F11">
    <cfRule type="containsText" dxfId="3771" priority="13" operator="containsText" text="GOOD">
      <formula>NOT(ISERROR(SEARCH("GOOD",F9)))</formula>
    </cfRule>
  </conditionalFormatting>
  <conditionalFormatting sqref="I9">
    <cfRule type="containsText" dxfId="3770" priority="12" operator="containsText" text="FAIL">
      <formula>NOT(ISERROR(SEARCH("FAIL",I9)))</formula>
    </cfRule>
  </conditionalFormatting>
  <conditionalFormatting sqref="I9">
    <cfRule type="containsText" dxfId="3769" priority="11" operator="containsText" text="GOOD">
      <formula>NOT(ISERROR(SEARCH("GOOD",I9)))</formula>
    </cfRule>
  </conditionalFormatting>
  <conditionalFormatting sqref="D23:D24 D29:D43">
    <cfRule type="expression" dxfId="3768" priority="9">
      <formula>H23=1</formula>
    </cfRule>
  </conditionalFormatting>
  <conditionalFormatting sqref="C23:C24 C29:C43">
    <cfRule type="expression" dxfId="3767" priority="8">
      <formula>H23=1</formula>
    </cfRule>
  </conditionalFormatting>
  <conditionalFormatting sqref="E23:E24 E29:E43">
    <cfRule type="expression" dxfId="3766" priority="7">
      <formula>H23=1</formula>
    </cfRule>
  </conditionalFormatting>
  <conditionalFormatting sqref="D25:D26">
    <cfRule type="expression" dxfId="3765" priority="6">
      <formula>H25=1</formula>
    </cfRule>
  </conditionalFormatting>
  <conditionalFormatting sqref="C25:C26">
    <cfRule type="expression" dxfId="3764" priority="5">
      <formula>H25=1</formula>
    </cfRule>
  </conditionalFormatting>
  <conditionalFormatting sqref="E25:E26">
    <cfRule type="expression" dxfId="3763" priority="4">
      <formula>H25=1</formula>
    </cfRule>
  </conditionalFormatting>
  <conditionalFormatting sqref="D27:D28">
    <cfRule type="expression" dxfId="3762" priority="3">
      <formula>H27=1</formula>
    </cfRule>
  </conditionalFormatting>
  <conditionalFormatting sqref="C27:C28">
    <cfRule type="expression" dxfId="3761" priority="2">
      <formula>H27=1</formula>
    </cfRule>
  </conditionalFormatting>
  <conditionalFormatting sqref="E27:E28">
    <cfRule type="expression" dxfId="3760" priority="1">
      <formula>H27=1</formula>
    </cfRule>
  </conditionalFormatting>
  <pageMargins left="0.7" right="0.7" top="0.75" bottom="0.75" header="0.3" footer="0.3"/>
  <pageSetup scale="77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:P56"/>
  <sheetViews>
    <sheetView zoomScaleNormal="100" workbookViewId="0">
      <selection activeCell="F30" sqref="F30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47</v>
      </c>
    </row>
    <row r="4" spans="1:16" x14ac:dyDescent="0.25">
      <c r="D4" s="2" t="s">
        <v>0</v>
      </c>
      <c r="E4" s="1"/>
      <c r="F4" t="s">
        <v>1554</v>
      </c>
      <c r="I4" s="2" t="s">
        <v>4</v>
      </c>
      <c r="J4" t="s">
        <v>442</v>
      </c>
    </row>
    <row r="5" spans="1:16" x14ac:dyDescent="0.25">
      <c r="D5" s="2" t="s">
        <v>1</v>
      </c>
      <c r="F5" s="52" t="s">
        <v>1555</v>
      </c>
    </row>
    <row r="6" spans="1:16" x14ac:dyDescent="0.25">
      <c r="D6" s="2" t="s">
        <v>2</v>
      </c>
      <c r="F6" s="6">
        <v>43475</v>
      </c>
      <c r="H6" s="11"/>
    </row>
    <row r="7" spans="1:16" x14ac:dyDescent="0.25">
      <c r="D7" s="2" t="s">
        <v>3</v>
      </c>
      <c r="F7" s="5">
        <f>+I7+J7</f>
        <v>4500000</v>
      </c>
      <c r="G7" s="2" t="s">
        <v>34</v>
      </c>
      <c r="H7" s="11"/>
      <c r="I7" s="19">
        <v>1170000</v>
      </c>
      <c r="J7" s="19">
        <v>3330000</v>
      </c>
    </row>
    <row r="8" spans="1:16" x14ac:dyDescent="0.25">
      <c r="D8" s="2" t="s">
        <v>18</v>
      </c>
      <c r="F8" s="5">
        <f>MIN(K23:K43)</f>
        <v>4863085</v>
      </c>
      <c r="H8" s="11"/>
      <c r="I8" s="18" t="s">
        <v>43</v>
      </c>
      <c r="J8" s="18" t="s">
        <v>44</v>
      </c>
      <c r="P8" s="66">
        <f>+K26/K24</f>
        <v>0.49535557515348827</v>
      </c>
    </row>
    <row r="9" spans="1:16" x14ac:dyDescent="0.25">
      <c r="D9" s="2" t="s">
        <v>19</v>
      </c>
      <c r="F9" s="4">
        <f>+F8-F7</f>
        <v>363085</v>
      </c>
      <c r="G9" s="16">
        <f>+F9/F7</f>
        <v>8.0685555555555552E-2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-2490880.833333333</v>
      </c>
      <c r="H10" s="11"/>
    </row>
    <row r="11" spans="1:16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SUM(K23:K43)/H12</f>
        <v>6990880.833333333</v>
      </c>
      <c r="G12" s="14"/>
      <c r="H12" s="11">
        <f>COUNT(K23:K43)</f>
        <v>6</v>
      </c>
      <c r="I12" s="1" t="s">
        <v>31</v>
      </c>
      <c r="J12" s="4">
        <f>+F8*0.9</f>
        <v>4376776.5</v>
      </c>
      <c r="K12" s="1" t="s">
        <v>69</v>
      </c>
    </row>
    <row r="13" spans="1:16" x14ac:dyDescent="0.25">
      <c r="D13" s="2" t="s">
        <v>29</v>
      </c>
      <c r="F13" s="4">
        <f>MAX(K23:K43)-MIN(K23:K43)</f>
        <v>4954277</v>
      </c>
      <c r="G13" s="269">
        <f>MEDIAN(K23:K43)</f>
        <v>6925796.5</v>
      </c>
      <c r="H13" s="270"/>
      <c r="I13" s="1" t="s">
        <v>30</v>
      </c>
      <c r="J13" s="4">
        <f>+F12*1.1</f>
        <v>7689968.916666667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6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0.15254237288135594</v>
      </c>
    </row>
    <row r="18" spans="3:15" x14ac:dyDescent="0.25">
      <c r="F18" s="4">
        <f>+F7</f>
        <v>4500000</v>
      </c>
      <c r="G18" s="1" t="s">
        <v>12</v>
      </c>
      <c r="H18" s="11"/>
      <c r="I18" t="s">
        <v>16</v>
      </c>
      <c r="J18" s="7">
        <f>+F8/F18</f>
        <v>1.0806855555555555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0.16210283333333333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1531</v>
      </c>
      <c r="E23" s="33"/>
      <c r="F23" t="s">
        <v>147</v>
      </c>
      <c r="G23" t="s">
        <v>93</v>
      </c>
      <c r="H23">
        <f t="shared" ref="H23:H28" si="0">RANK(K23,K$23:K$43,1)</f>
        <v>2</v>
      </c>
      <c r="I23" s="4">
        <v>3377420</v>
      </c>
      <c r="J23" s="4">
        <v>2815235</v>
      </c>
      <c r="K23" s="4">
        <f t="shared" ref="K23:K28" si="1">+J23+I23</f>
        <v>6192655</v>
      </c>
      <c r="L23" s="4"/>
      <c r="M23" s="22"/>
      <c r="N23" s="22"/>
      <c r="O23" s="22"/>
    </row>
    <row r="24" spans="3:15" x14ac:dyDescent="0.25">
      <c r="C24" s="33" t="str">
        <f t="shared" ref="C24:C43" si="2">IF(H24=1,"u","")</f>
        <v/>
      </c>
      <c r="D24" s="11" t="s">
        <v>1556</v>
      </c>
      <c r="E24" s="33"/>
      <c r="F24" t="s">
        <v>199</v>
      </c>
      <c r="G24" t="s">
        <v>93</v>
      </c>
      <c r="H24">
        <f t="shared" si="0"/>
        <v>6</v>
      </c>
      <c r="I24" s="4">
        <v>1633060</v>
      </c>
      <c r="J24" s="4">
        <v>8184302</v>
      </c>
      <c r="K24" s="4">
        <f t="shared" si="1"/>
        <v>9817362</v>
      </c>
      <c r="L24" s="4"/>
      <c r="M24" s="22"/>
      <c r="N24" s="22"/>
      <c r="O24" s="22"/>
    </row>
    <row r="25" spans="3:15" x14ac:dyDescent="0.25">
      <c r="C25" s="33" t="str">
        <f t="shared" si="2"/>
        <v/>
      </c>
      <c r="D25" s="11" t="s">
        <v>681</v>
      </c>
      <c r="E25" s="33"/>
      <c r="F25" t="s">
        <v>199</v>
      </c>
      <c r="G25" t="s">
        <v>93</v>
      </c>
      <c r="H25">
        <f t="shared" si="0"/>
        <v>5</v>
      </c>
      <c r="I25" s="4">
        <v>910090</v>
      </c>
      <c r="J25" s="4">
        <v>6310500</v>
      </c>
      <c r="K25" s="4">
        <f t="shared" si="1"/>
        <v>7220590</v>
      </c>
      <c r="L25" s="4"/>
      <c r="M25" s="22"/>
      <c r="N25" s="22"/>
      <c r="O25" s="22"/>
    </row>
    <row r="26" spans="3:15" x14ac:dyDescent="0.25">
      <c r="C26" s="33" t="str">
        <f t="shared" si="2"/>
        <v>u</v>
      </c>
      <c r="D26" s="11" t="s">
        <v>1557</v>
      </c>
      <c r="E26" s="33"/>
      <c r="F26" t="s">
        <v>1558</v>
      </c>
      <c r="G26" t="s">
        <v>25</v>
      </c>
      <c r="H26">
        <f t="shared" si="0"/>
        <v>1</v>
      </c>
      <c r="I26" s="4">
        <v>1024075</v>
      </c>
      <c r="J26" s="4">
        <v>3839010</v>
      </c>
      <c r="K26" s="4">
        <f t="shared" si="1"/>
        <v>4863085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11" t="s">
        <v>676</v>
      </c>
      <c r="E27" s="33"/>
      <c r="F27" t="s">
        <v>85</v>
      </c>
      <c r="G27" t="s">
        <v>25</v>
      </c>
      <c r="H27">
        <f t="shared" si="0"/>
        <v>3</v>
      </c>
      <c r="I27" s="4">
        <v>1802655</v>
      </c>
      <c r="J27" s="4">
        <v>4828843</v>
      </c>
      <c r="K27" s="4">
        <f t="shared" si="1"/>
        <v>6631498</v>
      </c>
      <c r="L27" s="4"/>
      <c r="M27" s="22"/>
      <c r="N27" s="22"/>
      <c r="O27" s="22"/>
    </row>
    <row r="28" spans="3:15" x14ac:dyDescent="0.25">
      <c r="C28" s="33" t="str">
        <f t="shared" si="2"/>
        <v/>
      </c>
      <c r="D28" s="11" t="s">
        <v>665</v>
      </c>
      <c r="E28" s="33"/>
      <c r="F28" t="s">
        <v>391</v>
      </c>
      <c r="G28" t="s">
        <v>93</v>
      </c>
      <c r="H28">
        <f t="shared" si="0"/>
        <v>4</v>
      </c>
      <c r="I28" s="4">
        <v>1074727</v>
      </c>
      <c r="J28" s="4">
        <v>6145368</v>
      </c>
      <c r="K28" s="4">
        <f t="shared" si="1"/>
        <v>7220095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2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3759" priority="32" operator="containsText" text="FAIL">
      <formula>NOT(ISERROR(SEARCH("FAIL",I9)))</formula>
    </cfRule>
  </conditionalFormatting>
  <conditionalFormatting sqref="I9">
    <cfRule type="containsText" dxfId="3758" priority="31" operator="containsText" text="GOOD">
      <formula>NOT(ISERROR(SEARCH("GOOD",I9)))</formula>
    </cfRule>
  </conditionalFormatting>
  <conditionalFormatting sqref="I9">
    <cfRule type="containsText" dxfId="3757" priority="30" operator="containsText" text="FAIL">
      <formula>NOT(ISERROR(SEARCH("FAIL",I9)))</formula>
    </cfRule>
  </conditionalFormatting>
  <conditionalFormatting sqref="I9">
    <cfRule type="containsText" dxfId="3756" priority="29" operator="containsText" text="GOOD">
      <formula>NOT(ISERROR(SEARCH("GOOD",I9)))</formula>
    </cfRule>
  </conditionalFormatting>
  <conditionalFormatting sqref="I9">
    <cfRule type="containsText" dxfId="3755" priority="28" operator="containsText" text="FAIL">
      <formula>NOT(ISERROR(SEARCH("FAIL",I9)))</formula>
    </cfRule>
  </conditionalFormatting>
  <conditionalFormatting sqref="I9">
    <cfRule type="containsText" dxfId="3754" priority="27" operator="containsText" text="GOOD">
      <formula>NOT(ISERROR(SEARCH("GOOD",I9)))</formula>
    </cfRule>
  </conditionalFormatting>
  <conditionalFormatting sqref="F11">
    <cfRule type="containsText" dxfId="3753" priority="26" operator="containsText" text="FAIL">
      <formula>NOT(ISERROR(SEARCH("FAIL",F11)))</formula>
    </cfRule>
  </conditionalFormatting>
  <conditionalFormatting sqref="F11">
    <cfRule type="containsText" dxfId="3752" priority="25" operator="containsText" text="GOOD">
      <formula>NOT(ISERROR(SEARCH("GOOD",F11)))</formula>
    </cfRule>
  </conditionalFormatting>
  <conditionalFormatting sqref="I9">
    <cfRule type="containsText" dxfId="3751" priority="24" operator="containsText" text="FAIL">
      <formula>NOT(ISERROR(SEARCH("FAIL",I9)))</formula>
    </cfRule>
  </conditionalFormatting>
  <conditionalFormatting sqref="I9">
    <cfRule type="containsText" dxfId="3750" priority="23" operator="containsText" text="GOOD">
      <formula>NOT(ISERROR(SEARCH("GOOD",I9)))</formula>
    </cfRule>
  </conditionalFormatting>
  <conditionalFormatting sqref="F11">
    <cfRule type="containsText" dxfId="3749" priority="22" operator="containsText" text="FAIL">
      <formula>NOT(ISERROR(SEARCH("FAIL",F11)))</formula>
    </cfRule>
  </conditionalFormatting>
  <conditionalFormatting sqref="F11">
    <cfRule type="containsText" dxfId="3748" priority="21" operator="containsText" text="GOOD">
      <formula>NOT(ISERROR(SEARCH("GOOD",F11)))</formula>
    </cfRule>
  </conditionalFormatting>
  <conditionalFormatting sqref="D39:D43 D31:D33">
    <cfRule type="expression" dxfId="3747" priority="20">
      <formula>H31=1</formula>
    </cfRule>
  </conditionalFormatting>
  <conditionalFormatting sqref="C39:C43 C23:C33">
    <cfRule type="expression" dxfId="3746" priority="19">
      <formula>H23=1</formula>
    </cfRule>
  </conditionalFormatting>
  <conditionalFormatting sqref="E39:E43 E31:E33">
    <cfRule type="expression" dxfId="3745" priority="18">
      <formula>H31=1</formula>
    </cfRule>
  </conditionalFormatting>
  <conditionalFormatting sqref="E39:E43 E31:E33">
    <cfRule type="expression" dxfId="3744" priority="17">
      <formula>H31=1</formula>
    </cfRule>
  </conditionalFormatting>
  <conditionalFormatting sqref="F11">
    <cfRule type="containsText" dxfId="3743" priority="16" operator="containsText" text="FAIL">
      <formula>NOT(ISERROR(SEARCH("FAIL",F11)))</formula>
    </cfRule>
  </conditionalFormatting>
  <conditionalFormatting sqref="F11">
    <cfRule type="containsText" dxfId="3742" priority="15" operator="containsText" text="GOOD">
      <formula>NOT(ISERROR(SEARCH("GOOD",F11)))</formula>
    </cfRule>
  </conditionalFormatting>
  <conditionalFormatting sqref="D34:D37">
    <cfRule type="expression" dxfId="3741" priority="14">
      <formula>H34=1</formula>
    </cfRule>
  </conditionalFormatting>
  <conditionalFormatting sqref="C34:C37">
    <cfRule type="expression" dxfId="3740" priority="13">
      <formula>H34=1</formula>
    </cfRule>
  </conditionalFormatting>
  <conditionalFormatting sqref="E34:E37">
    <cfRule type="expression" dxfId="3739" priority="12">
      <formula>H34=1</formula>
    </cfRule>
  </conditionalFormatting>
  <conditionalFormatting sqref="E34:E37">
    <cfRule type="expression" dxfId="3738" priority="11">
      <formula>H34=1</formula>
    </cfRule>
  </conditionalFormatting>
  <conditionalFormatting sqref="D38">
    <cfRule type="expression" dxfId="3737" priority="10">
      <formula>H38=1</formula>
    </cfRule>
  </conditionalFormatting>
  <conditionalFormatting sqref="C38">
    <cfRule type="expression" dxfId="3736" priority="9">
      <formula>H38=1</formula>
    </cfRule>
  </conditionalFormatting>
  <conditionalFormatting sqref="E38">
    <cfRule type="expression" dxfId="3735" priority="8">
      <formula>H38=1</formula>
    </cfRule>
  </conditionalFormatting>
  <conditionalFormatting sqref="E38">
    <cfRule type="expression" dxfId="3734" priority="7">
      <formula>H38=1</formula>
    </cfRule>
  </conditionalFormatting>
  <conditionalFormatting sqref="D23:D25 D29:D30">
    <cfRule type="expression" dxfId="3733" priority="6">
      <formula>H23=1</formula>
    </cfRule>
  </conditionalFormatting>
  <conditionalFormatting sqref="E23:E25 E29:E30">
    <cfRule type="expression" dxfId="3732" priority="5">
      <formula>H23=1</formula>
    </cfRule>
  </conditionalFormatting>
  <conditionalFormatting sqref="E23:E25 E29:E30">
    <cfRule type="expression" dxfId="3731" priority="4">
      <formula>H23=1</formula>
    </cfRule>
  </conditionalFormatting>
  <conditionalFormatting sqref="D26:D28">
    <cfRule type="expression" dxfId="3730" priority="3">
      <formula>H26=1</formula>
    </cfRule>
  </conditionalFormatting>
  <conditionalFormatting sqref="E26:E28">
    <cfRule type="expression" dxfId="3729" priority="2">
      <formula>H26=1</formula>
    </cfRule>
  </conditionalFormatting>
  <conditionalFormatting sqref="E26:E28">
    <cfRule type="expression" dxfId="3728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2:P47"/>
  <sheetViews>
    <sheetView zoomScaleNormal="100" workbookViewId="0">
      <selection activeCell="L20" sqref="L20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1478</v>
      </c>
      <c r="I4" s="2" t="s">
        <v>4</v>
      </c>
      <c r="J4" t="s">
        <v>1447</v>
      </c>
    </row>
    <row r="5" spans="1:16" x14ac:dyDescent="0.25">
      <c r="D5" s="2" t="s">
        <v>1</v>
      </c>
      <c r="F5" t="s">
        <v>1479</v>
      </c>
    </row>
    <row r="6" spans="1:16" x14ac:dyDescent="0.25">
      <c r="D6" s="2" t="s">
        <v>2</v>
      </c>
      <c r="F6" s="6">
        <v>43468</v>
      </c>
      <c r="H6" s="11"/>
    </row>
    <row r="7" spans="1:16" x14ac:dyDescent="0.25">
      <c r="D7" s="2" t="s">
        <v>3</v>
      </c>
      <c r="F7" s="5">
        <v>426000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745850</v>
      </c>
      <c r="H8" s="11"/>
    </row>
    <row r="9" spans="1:16" x14ac:dyDescent="0.25">
      <c r="D9" s="2" t="s">
        <v>67</v>
      </c>
      <c r="F9" s="4">
        <f>+F8-F7</f>
        <v>319850</v>
      </c>
      <c r="G9" s="16">
        <f>+F9/F7</f>
        <v>0.75082159624413147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-422425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848425</v>
      </c>
      <c r="G12" s="14"/>
      <c r="H12" s="11">
        <f>COUNT(I23:I43)</f>
        <v>2</v>
      </c>
      <c r="I12" s="1" t="s">
        <v>31</v>
      </c>
      <c r="J12" s="4">
        <f>+F8*0.9</f>
        <v>671265</v>
      </c>
      <c r="K12" s="1" t="s">
        <v>69</v>
      </c>
    </row>
    <row r="13" spans="1:16" x14ac:dyDescent="0.25">
      <c r="D13" s="2" t="s">
        <v>29</v>
      </c>
      <c r="F13" s="4">
        <f>MAX(I23:I43)-MIN(I23:I43)</f>
        <v>205150</v>
      </c>
      <c r="G13" s="269">
        <f>MEDIAN(I23:I43)</f>
        <v>848425</v>
      </c>
      <c r="H13" s="270"/>
      <c r="I13" s="1" t="s">
        <v>30</v>
      </c>
      <c r="J13" s="4">
        <f>+F12*1.1</f>
        <v>933267.50000000012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631</v>
      </c>
      <c r="E23" s="33"/>
      <c r="F23" t="s">
        <v>131</v>
      </c>
      <c r="G23" t="s">
        <v>25</v>
      </c>
      <c r="H23">
        <f>RANK(I23,I$23:I$43,1)</f>
        <v>2</v>
      </c>
      <c r="I23" s="4">
        <v>951000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676</v>
      </c>
      <c r="E24" s="33"/>
      <c r="F24" t="s">
        <v>85</v>
      </c>
      <c r="G24" t="s">
        <v>25</v>
      </c>
      <c r="H24">
        <f>RANK(I24,I$23:I$43,1)</f>
        <v>1</v>
      </c>
      <c r="I24" s="4">
        <v>745850</v>
      </c>
      <c r="J24" s="4"/>
      <c r="K24" s="4"/>
      <c r="L24" s="4"/>
      <c r="M24" s="22"/>
      <c r="N24" s="22"/>
      <c r="O24" s="22"/>
    </row>
    <row r="25" spans="3:15" x14ac:dyDescent="0.25">
      <c r="C25" s="33"/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 t="str">
        <f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727" priority="14" operator="containsText" text="FAIL">
      <formula>NOT(ISERROR(SEARCH("FAIL",I9)))</formula>
    </cfRule>
  </conditionalFormatting>
  <conditionalFormatting sqref="I9">
    <cfRule type="containsText" dxfId="3726" priority="13" operator="containsText" text="GOOD">
      <formula>NOT(ISERROR(SEARCH("GOOD",I9)))</formula>
    </cfRule>
  </conditionalFormatting>
  <conditionalFormatting sqref="F11">
    <cfRule type="containsText" dxfId="3725" priority="12" operator="containsText" text="FAIL">
      <formula>NOT(ISERROR(SEARCH("FAIL",F11)))</formula>
    </cfRule>
  </conditionalFormatting>
  <conditionalFormatting sqref="F11">
    <cfRule type="containsText" dxfId="3724" priority="11" operator="containsText" text="GOOD">
      <formula>NOT(ISERROR(SEARCH("GOOD",F11)))</formula>
    </cfRule>
  </conditionalFormatting>
  <conditionalFormatting sqref="D29:D43 D23:D26">
    <cfRule type="expression" dxfId="3723" priority="10">
      <formula>H23=1</formula>
    </cfRule>
  </conditionalFormatting>
  <conditionalFormatting sqref="C29:C43 C23:C26">
    <cfRule type="expression" dxfId="3722" priority="9">
      <formula>H23=1</formula>
    </cfRule>
  </conditionalFormatting>
  <conditionalFormatting sqref="E29:E43 E23:E26">
    <cfRule type="expression" dxfId="3721" priority="8">
      <formula>H23=1</formula>
    </cfRule>
  </conditionalFormatting>
  <conditionalFormatting sqref="F11">
    <cfRule type="containsText" dxfId="3720" priority="7" operator="containsText" text="FAIL">
      <formula>NOT(ISERROR(SEARCH("FAIL",F11)))</formula>
    </cfRule>
  </conditionalFormatting>
  <conditionalFormatting sqref="F11">
    <cfRule type="containsText" dxfId="3719" priority="6" operator="containsText" text="GOOD">
      <formula>NOT(ISERROR(SEARCH("GOOD",F11)))</formula>
    </cfRule>
  </conditionalFormatting>
  <conditionalFormatting sqref="D28">
    <cfRule type="expression" dxfId="3718" priority="5">
      <formula>H28=1</formula>
    </cfRule>
  </conditionalFormatting>
  <conditionalFormatting sqref="C27:C28">
    <cfRule type="expression" dxfId="3717" priority="4">
      <formula>H27=1</formula>
    </cfRule>
  </conditionalFormatting>
  <conditionalFormatting sqref="E28">
    <cfRule type="expression" dxfId="3716" priority="3">
      <formula>H28=1</formula>
    </cfRule>
  </conditionalFormatting>
  <conditionalFormatting sqref="D27">
    <cfRule type="expression" dxfId="3715" priority="2">
      <formula>H27=1</formula>
    </cfRule>
  </conditionalFormatting>
  <conditionalFormatting sqref="E27">
    <cfRule type="expression" dxfId="3714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:P56"/>
  <sheetViews>
    <sheetView zoomScaleNormal="100" workbookViewId="0">
      <selection activeCell="L11" sqref="L11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47</v>
      </c>
    </row>
    <row r="4" spans="1:16" x14ac:dyDescent="0.25">
      <c r="D4" s="2" t="s">
        <v>0</v>
      </c>
      <c r="E4" s="1"/>
      <c r="F4" t="s">
        <v>1476</v>
      </c>
      <c r="I4" s="2" t="s">
        <v>4</v>
      </c>
      <c r="J4" t="s">
        <v>784</v>
      </c>
    </row>
    <row r="5" spans="1:16" x14ac:dyDescent="0.25">
      <c r="D5" s="2" t="s">
        <v>1</v>
      </c>
      <c r="F5" s="52" t="s">
        <v>1477</v>
      </c>
    </row>
    <row r="6" spans="1:16" x14ac:dyDescent="0.25">
      <c r="D6" s="2" t="s">
        <v>2</v>
      </c>
      <c r="F6" s="6">
        <v>43452</v>
      </c>
      <c r="H6" s="11"/>
    </row>
    <row r="7" spans="1:16" x14ac:dyDescent="0.25">
      <c r="D7" s="2" t="s">
        <v>3</v>
      </c>
      <c r="F7" s="5">
        <f>+I7+J7</f>
        <v>10250000</v>
      </c>
      <c r="G7" s="2" t="s">
        <v>34</v>
      </c>
      <c r="H7" s="11"/>
      <c r="I7" s="19">
        <v>6810000</v>
      </c>
      <c r="J7" s="19">
        <v>3440000</v>
      </c>
    </row>
    <row r="8" spans="1:16" x14ac:dyDescent="0.25">
      <c r="D8" s="2" t="s">
        <v>18</v>
      </c>
      <c r="F8" s="5">
        <f>MIN(K23:K43)</f>
        <v>8275000</v>
      </c>
      <c r="H8" s="11"/>
      <c r="I8" s="18" t="s">
        <v>43</v>
      </c>
      <c r="J8" s="18" t="s">
        <v>44</v>
      </c>
      <c r="P8" s="66">
        <f>+K26/K24</f>
        <v>0</v>
      </c>
    </row>
    <row r="9" spans="1:16" x14ac:dyDescent="0.25">
      <c r="D9" s="2" t="s">
        <v>19</v>
      </c>
      <c r="F9" s="4">
        <f>+F8-F7</f>
        <v>-1975000</v>
      </c>
      <c r="G9" s="16">
        <f>+F9/F7</f>
        <v>-0.1926829268292683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1200675.333333334</v>
      </c>
      <c r="H10" s="11"/>
    </row>
    <row r="11" spans="1:16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SUM(K23:K43)/H12</f>
        <v>9049324.666666666</v>
      </c>
      <c r="G12" s="14"/>
      <c r="H12" s="11">
        <f>COUNT(K23:K43)</f>
        <v>3</v>
      </c>
      <c r="I12" s="1" t="s">
        <v>31</v>
      </c>
      <c r="J12" s="4">
        <f>+F8*0.9</f>
        <v>7447500</v>
      </c>
      <c r="K12" s="1" t="s">
        <v>69</v>
      </c>
    </row>
    <row r="13" spans="1:16" x14ac:dyDescent="0.25">
      <c r="D13" s="2" t="s">
        <v>29</v>
      </c>
      <c r="F13" s="4">
        <f>MAX(K23:K43)-MIN(K23:K43)</f>
        <v>1486338</v>
      </c>
      <c r="G13" s="269">
        <f>MEDIAN(K23:K43)</f>
        <v>9111636</v>
      </c>
      <c r="H13" s="270"/>
      <c r="I13" s="1" t="s">
        <v>30</v>
      </c>
      <c r="J13" s="4">
        <f>+F12*1.1</f>
        <v>9954257.1333333328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6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0.34745762711864409</v>
      </c>
    </row>
    <row r="18" spans="3:15" x14ac:dyDescent="0.25">
      <c r="F18" s="4">
        <f>+F7</f>
        <v>10250000</v>
      </c>
      <c r="G18" s="1" t="s">
        <v>12</v>
      </c>
      <c r="H18" s="11"/>
      <c r="I18" t="s">
        <v>16</v>
      </c>
      <c r="J18" s="7">
        <f>+F8/F18</f>
        <v>0.80731707317073176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0.27583333333333332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605</v>
      </c>
      <c r="E23" s="33"/>
      <c r="F23" t="s">
        <v>120</v>
      </c>
      <c r="G23" t="s">
        <v>25</v>
      </c>
      <c r="H23">
        <f>RANK(K23,K$23:K$43,1)</f>
        <v>2</v>
      </c>
      <c r="I23" s="4">
        <v>5447405</v>
      </c>
      <c r="J23" s="4">
        <v>3664231</v>
      </c>
      <c r="K23" s="4">
        <f>+J23+I23</f>
        <v>9111636</v>
      </c>
      <c r="L23" s="4"/>
      <c r="M23" s="22"/>
      <c r="N23" s="22"/>
      <c r="O23" s="22"/>
    </row>
    <row r="24" spans="3:15" x14ac:dyDescent="0.25">
      <c r="C24" s="33" t="str">
        <f t="shared" ref="C24:C43" si="0">IF(H24=1,"u","")</f>
        <v/>
      </c>
      <c r="D24" s="11" t="s">
        <v>440</v>
      </c>
      <c r="E24" s="33"/>
      <c r="F24" t="s">
        <v>193</v>
      </c>
      <c r="G24" t="s">
        <v>25</v>
      </c>
      <c r="H24">
        <f>RANK(K24,K$23:K$43,1)</f>
        <v>3</v>
      </c>
      <c r="I24" s="4">
        <v>4851337</v>
      </c>
      <c r="J24" s="4">
        <v>4910001</v>
      </c>
      <c r="K24" s="4">
        <f>+J24+I24</f>
        <v>9761338</v>
      </c>
      <c r="L24" s="4"/>
      <c r="M24" s="22"/>
      <c r="N24" s="22"/>
      <c r="O24" s="22"/>
    </row>
    <row r="25" spans="3:15" x14ac:dyDescent="0.25">
      <c r="C25" s="33" t="str">
        <f t="shared" si="0"/>
        <v>u</v>
      </c>
      <c r="D25" s="11" t="s">
        <v>788</v>
      </c>
      <c r="E25" s="33"/>
      <c r="F25" t="s">
        <v>115</v>
      </c>
      <c r="G25" t="s">
        <v>25</v>
      </c>
      <c r="H25">
        <f>RANK(K25,K$23:K$43,1)</f>
        <v>1</v>
      </c>
      <c r="I25" s="4">
        <v>3774810</v>
      </c>
      <c r="J25" s="4">
        <v>4500190</v>
      </c>
      <c r="K25" s="4">
        <f>+J25+I25</f>
        <v>8275000</v>
      </c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3713" priority="29" operator="containsText" text="FAIL">
      <formula>NOT(ISERROR(SEARCH("FAIL",I9)))</formula>
    </cfRule>
  </conditionalFormatting>
  <conditionalFormatting sqref="I9">
    <cfRule type="containsText" dxfId="3712" priority="28" operator="containsText" text="GOOD">
      <formula>NOT(ISERROR(SEARCH("GOOD",I9)))</formula>
    </cfRule>
  </conditionalFormatting>
  <conditionalFormatting sqref="I9">
    <cfRule type="containsText" dxfId="3711" priority="27" operator="containsText" text="FAIL">
      <formula>NOT(ISERROR(SEARCH("FAIL",I9)))</formula>
    </cfRule>
  </conditionalFormatting>
  <conditionalFormatting sqref="I9">
    <cfRule type="containsText" dxfId="3710" priority="26" operator="containsText" text="GOOD">
      <formula>NOT(ISERROR(SEARCH("GOOD",I9)))</formula>
    </cfRule>
  </conditionalFormatting>
  <conditionalFormatting sqref="I9">
    <cfRule type="containsText" dxfId="3709" priority="25" operator="containsText" text="FAIL">
      <formula>NOT(ISERROR(SEARCH("FAIL",I9)))</formula>
    </cfRule>
  </conditionalFormatting>
  <conditionalFormatting sqref="I9">
    <cfRule type="containsText" dxfId="3708" priority="24" operator="containsText" text="GOOD">
      <formula>NOT(ISERROR(SEARCH("GOOD",I9)))</formula>
    </cfRule>
  </conditionalFormatting>
  <conditionalFormatting sqref="F11">
    <cfRule type="containsText" dxfId="3707" priority="23" operator="containsText" text="FAIL">
      <formula>NOT(ISERROR(SEARCH("FAIL",F11)))</formula>
    </cfRule>
  </conditionalFormatting>
  <conditionalFormatting sqref="F11">
    <cfRule type="containsText" dxfId="3706" priority="22" operator="containsText" text="GOOD">
      <formula>NOT(ISERROR(SEARCH("GOOD",F11)))</formula>
    </cfRule>
  </conditionalFormatting>
  <conditionalFormatting sqref="I9">
    <cfRule type="containsText" dxfId="3705" priority="21" operator="containsText" text="FAIL">
      <formula>NOT(ISERROR(SEARCH("FAIL",I9)))</formula>
    </cfRule>
  </conditionalFormatting>
  <conditionalFormatting sqref="I9">
    <cfRule type="containsText" dxfId="3704" priority="20" operator="containsText" text="GOOD">
      <formula>NOT(ISERROR(SEARCH("GOOD",I9)))</formula>
    </cfRule>
  </conditionalFormatting>
  <conditionalFormatting sqref="F11">
    <cfRule type="containsText" dxfId="3703" priority="19" operator="containsText" text="FAIL">
      <formula>NOT(ISERROR(SEARCH("FAIL",F11)))</formula>
    </cfRule>
  </conditionalFormatting>
  <conditionalFormatting sqref="F11">
    <cfRule type="containsText" dxfId="3702" priority="18" operator="containsText" text="GOOD">
      <formula>NOT(ISERROR(SEARCH("GOOD",F11)))</formula>
    </cfRule>
  </conditionalFormatting>
  <conditionalFormatting sqref="D39:D43 D31:D33">
    <cfRule type="expression" dxfId="3701" priority="17">
      <formula>H31=1</formula>
    </cfRule>
  </conditionalFormatting>
  <conditionalFormatting sqref="C39:C43 C23:C33">
    <cfRule type="expression" dxfId="3700" priority="16">
      <formula>H23=1</formula>
    </cfRule>
  </conditionalFormatting>
  <conditionalFormatting sqref="E39:E43 E31:E33">
    <cfRule type="expression" dxfId="3699" priority="15">
      <formula>H31=1</formula>
    </cfRule>
  </conditionalFormatting>
  <conditionalFormatting sqref="E39:E43 E31:E33">
    <cfRule type="expression" dxfId="3698" priority="14">
      <formula>H31=1</formula>
    </cfRule>
  </conditionalFormatting>
  <conditionalFormatting sqref="F11">
    <cfRule type="containsText" dxfId="3697" priority="13" operator="containsText" text="FAIL">
      <formula>NOT(ISERROR(SEARCH("FAIL",F11)))</formula>
    </cfRule>
  </conditionalFormatting>
  <conditionalFormatting sqref="F11">
    <cfRule type="containsText" dxfId="3696" priority="12" operator="containsText" text="GOOD">
      <formula>NOT(ISERROR(SEARCH("GOOD",F11)))</formula>
    </cfRule>
  </conditionalFormatting>
  <conditionalFormatting sqref="D34:D37">
    <cfRule type="expression" dxfId="3695" priority="11">
      <formula>H34=1</formula>
    </cfRule>
  </conditionalFormatting>
  <conditionalFormatting sqref="C34:C37">
    <cfRule type="expression" dxfId="3694" priority="10">
      <formula>H34=1</formula>
    </cfRule>
  </conditionalFormatting>
  <conditionalFormatting sqref="E34:E37">
    <cfRule type="expression" dxfId="3693" priority="9">
      <formula>H34=1</formula>
    </cfRule>
  </conditionalFormatting>
  <conditionalFormatting sqref="E34:E37">
    <cfRule type="expression" dxfId="3692" priority="8">
      <formula>H34=1</formula>
    </cfRule>
  </conditionalFormatting>
  <conditionalFormatting sqref="D38">
    <cfRule type="expression" dxfId="3691" priority="7">
      <formula>H38=1</formula>
    </cfRule>
  </conditionalFormatting>
  <conditionalFormatting sqref="C38">
    <cfRule type="expression" dxfId="3690" priority="6">
      <formula>H38=1</formula>
    </cfRule>
  </conditionalFormatting>
  <conditionalFormatting sqref="E38">
    <cfRule type="expression" dxfId="3689" priority="5">
      <formula>H38=1</formula>
    </cfRule>
  </conditionalFormatting>
  <conditionalFormatting sqref="E38">
    <cfRule type="expression" dxfId="3688" priority="4">
      <formula>H38=1</formula>
    </cfRule>
  </conditionalFormatting>
  <conditionalFormatting sqref="D23:D30">
    <cfRule type="expression" dxfId="3687" priority="3">
      <formula>H23=1</formula>
    </cfRule>
  </conditionalFormatting>
  <conditionalFormatting sqref="E23:E30">
    <cfRule type="expression" dxfId="3686" priority="2">
      <formula>H23=1</formula>
    </cfRule>
  </conditionalFormatting>
  <conditionalFormatting sqref="E23:E30">
    <cfRule type="expression" dxfId="3685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:P56"/>
  <sheetViews>
    <sheetView zoomScaleNormal="100" workbookViewId="0">
      <selection activeCell="L9" sqref="L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47</v>
      </c>
    </row>
    <row r="4" spans="1:16" x14ac:dyDescent="0.25">
      <c r="D4" s="2" t="s">
        <v>0</v>
      </c>
      <c r="E4" s="1"/>
      <c r="F4" t="s">
        <v>1474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1475</v>
      </c>
    </row>
    <row r="6" spans="1:16" x14ac:dyDescent="0.25">
      <c r="D6" s="2" t="s">
        <v>2</v>
      </c>
      <c r="F6" s="6">
        <v>43441</v>
      </c>
      <c r="H6" s="11"/>
    </row>
    <row r="7" spans="1:16" x14ac:dyDescent="0.25">
      <c r="D7" s="2" t="s">
        <v>3</v>
      </c>
      <c r="F7" s="5">
        <f>+I7+J7</f>
        <v>5000000</v>
      </c>
      <c r="G7" s="2" t="s">
        <v>34</v>
      </c>
      <c r="H7" s="11"/>
      <c r="I7" s="19">
        <v>2180000</v>
      </c>
      <c r="J7" s="19">
        <v>2820000</v>
      </c>
    </row>
    <row r="8" spans="1:16" x14ac:dyDescent="0.25">
      <c r="D8" s="2" t="s">
        <v>18</v>
      </c>
      <c r="F8" s="5">
        <f>MIN(K23:K43)</f>
        <v>4380000</v>
      </c>
      <c r="H8" s="11"/>
      <c r="I8" s="18" t="s">
        <v>43</v>
      </c>
      <c r="J8" s="18" t="s">
        <v>44</v>
      </c>
      <c r="P8" s="66">
        <f>+K26/K24</f>
        <v>0.85123071831240205</v>
      </c>
    </row>
    <row r="9" spans="1:16" x14ac:dyDescent="0.25">
      <c r="D9" s="2" t="s">
        <v>19</v>
      </c>
      <c r="F9" s="4">
        <f>+F8-F7</f>
        <v>-620000</v>
      </c>
      <c r="G9" s="16">
        <f>+F9/F7</f>
        <v>-0.124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-853509.5</v>
      </c>
      <c r="H10" s="11"/>
    </row>
    <row r="11" spans="1:16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SUM(K23:K43)/H12</f>
        <v>5853509.5</v>
      </c>
      <c r="G12" s="14"/>
      <c r="H12" s="11">
        <f>COUNT(K23:K43)</f>
        <v>4</v>
      </c>
      <c r="I12" s="1" t="s">
        <v>31</v>
      </c>
      <c r="J12" s="4">
        <f>+F8*0.9</f>
        <v>3942000</v>
      </c>
      <c r="K12" s="1" t="s">
        <v>69</v>
      </c>
    </row>
    <row r="13" spans="1:16" x14ac:dyDescent="0.25">
      <c r="D13" s="2" t="s">
        <v>29</v>
      </c>
      <c r="F13" s="4">
        <f>MAX(K23:K43)-MIN(K23:K43)</f>
        <v>3731757</v>
      </c>
      <c r="G13" s="269">
        <f>MEDIAN(K23:K43)</f>
        <v>5461140.5</v>
      </c>
      <c r="H13" s="270"/>
      <c r="I13" s="1" t="s">
        <v>30</v>
      </c>
      <c r="J13" s="4">
        <f>+F12*1.1</f>
        <v>6438860.4500000002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6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0.16949152542372881</v>
      </c>
    </row>
    <row r="18" spans="3:15" x14ac:dyDescent="0.25">
      <c r="F18" s="4">
        <f>+F7</f>
        <v>5000000</v>
      </c>
      <c r="G18" s="1" t="s">
        <v>12</v>
      </c>
      <c r="H18" s="11"/>
      <c r="I18" t="s">
        <v>16</v>
      </c>
      <c r="J18" s="7">
        <f>+F8/F18</f>
        <v>0.876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0.14599999999999999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561</v>
      </c>
      <c r="E23" s="33"/>
      <c r="F23" t="s">
        <v>215</v>
      </c>
      <c r="G23" t="s">
        <v>25</v>
      </c>
      <c r="H23">
        <f>RANK(K23,K$23:K$43,1)</f>
        <v>4</v>
      </c>
      <c r="I23" s="4">
        <v>2404540</v>
      </c>
      <c r="J23" s="4">
        <v>5707217</v>
      </c>
      <c r="K23" s="4">
        <f>+J23+I23</f>
        <v>8111757</v>
      </c>
      <c r="L23" s="4"/>
      <c r="M23" s="22"/>
      <c r="N23" s="22"/>
      <c r="O23" s="22"/>
    </row>
    <row r="24" spans="3:15" x14ac:dyDescent="0.25">
      <c r="C24" s="33" t="str">
        <f t="shared" ref="C24:C43" si="0">IF(H24=1,"u","")</f>
        <v/>
      </c>
      <c r="D24" s="11" t="s">
        <v>1211</v>
      </c>
      <c r="E24" s="33"/>
      <c r="F24" t="s">
        <v>558</v>
      </c>
      <c r="G24" t="s">
        <v>25</v>
      </c>
      <c r="H24">
        <f>RANK(K24,K$23:K$43,1)</f>
        <v>2</v>
      </c>
      <c r="I24" s="4">
        <v>1946871</v>
      </c>
      <c r="J24" s="4">
        <v>3198620</v>
      </c>
      <c r="K24" s="4">
        <f>+J24+I24</f>
        <v>5145491</v>
      </c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505</v>
      </c>
      <c r="E25" s="33"/>
      <c r="F25" t="s">
        <v>289</v>
      </c>
      <c r="G25" t="s">
        <v>93</v>
      </c>
      <c r="H25">
        <f>RANK(K25,K$23:K$43,1)</f>
        <v>3</v>
      </c>
      <c r="I25" s="4">
        <v>1583440</v>
      </c>
      <c r="J25" s="4">
        <v>4193350</v>
      </c>
      <c r="K25" s="4">
        <f>+J25+I25</f>
        <v>5776790</v>
      </c>
      <c r="L25" s="4"/>
      <c r="M25" s="22"/>
      <c r="N25" s="22"/>
      <c r="O25" s="22"/>
    </row>
    <row r="26" spans="3:15" x14ac:dyDescent="0.25">
      <c r="C26" s="33" t="str">
        <f t="shared" si="0"/>
        <v>u</v>
      </c>
      <c r="D26" s="11" t="s">
        <v>485</v>
      </c>
      <c r="E26" s="33"/>
      <c r="F26" t="s">
        <v>486</v>
      </c>
      <c r="G26" t="s">
        <v>25</v>
      </c>
      <c r="H26">
        <f>RANK(K26,K$23:K$43,1)</f>
        <v>1</v>
      </c>
      <c r="I26" s="4">
        <v>1984478</v>
      </c>
      <c r="J26" s="4">
        <v>2395522</v>
      </c>
      <c r="K26" s="4">
        <f>+J26+I26</f>
        <v>4380000</v>
      </c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3684" priority="29" operator="containsText" text="FAIL">
      <formula>NOT(ISERROR(SEARCH("FAIL",I9)))</formula>
    </cfRule>
  </conditionalFormatting>
  <conditionalFormatting sqref="I9">
    <cfRule type="containsText" dxfId="3683" priority="28" operator="containsText" text="GOOD">
      <formula>NOT(ISERROR(SEARCH("GOOD",I9)))</formula>
    </cfRule>
  </conditionalFormatting>
  <conditionalFormatting sqref="I9">
    <cfRule type="containsText" dxfId="3682" priority="27" operator="containsText" text="FAIL">
      <formula>NOT(ISERROR(SEARCH("FAIL",I9)))</formula>
    </cfRule>
  </conditionalFormatting>
  <conditionalFormatting sqref="I9">
    <cfRule type="containsText" dxfId="3681" priority="26" operator="containsText" text="GOOD">
      <formula>NOT(ISERROR(SEARCH("GOOD",I9)))</formula>
    </cfRule>
  </conditionalFormatting>
  <conditionalFormatting sqref="I9">
    <cfRule type="containsText" dxfId="3680" priority="25" operator="containsText" text="FAIL">
      <formula>NOT(ISERROR(SEARCH("FAIL",I9)))</formula>
    </cfRule>
  </conditionalFormatting>
  <conditionalFormatting sqref="I9">
    <cfRule type="containsText" dxfId="3679" priority="24" operator="containsText" text="GOOD">
      <formula>NOT(ISERROR(SEARCH("GOOD",I9)))</formula>
    </cfRule>
  </conditionalFormatting>
  <conditionalFormatting sqref="F11">
    <cfRule type="containsText" dxfId="3678" priority="23" operator="containsText" text="FAIL">
      <formula>NOT(ISERROR(SEARCH("FAIL",F11)))</formula>
    </cfRule>
  </conditionalFormatting>
  <conditionalFormatting sqref="F11">
    <cfRule type="containsText" dxfId="3677" priority="22" operator="containsText" text="GOOD">
      <formula>NOT(ISERROR(SEARCH("GOOD",F11)))</formula>
    </cfRule>
  </conditionalFormatting>
  <conditionalFormatting sqref="I9">
    <cfRule type="containsText" dxfId="3676" priority="21" operator="containsText" text="FAIL">
      <formula>NOT(ISERROR(SEARCH("FAIL",I9)))</formula>
    </cfRule>
  </conditionalFormatting>
  <conditionalFormatting sqref="I9">
    <cfRule type="containsText" dxfId="3675" priority="20" operator="containsText" text="GOOD">
      <formula>NOT(ISERROR(SEARCH("GOOD",I9)))</formula>
    </cfRule>
  </conditionalFormatting>
  <conditionalFormatting sqref="F11">
    <cfRule type="containsText" dxfId="3674" priority="19" operator="containsText" text="FAIL">
      <formula>NOT(ISERROR(SEARCH("FAIL",F11)))</formula>
    </cfRule>
  </conditionalFormatting>
  <conditionalFormatting sqref="F11">
    <cfRule type="containsText" dxfId="3673" priority="18" operator="containsText" text="GOOD">
      <formula>NOT(ISERROR(SEARCH("GOOD",F11)))</formula>
    </cfRule>
  </conditionalFormatting>
  <conditionalFormatting sqref="D39:D43 D31:D33">
    <cfRule type="expression" dxfId="3672" priority="17">
      <formula>H31=1</formula>
    </cfRule>
  </conditionalFormatting>
  <conditionalFormatting sqref="C39:C43 C23:C33">
    <cfRule type="expression" dxfId="3671" priority="16">
      <formula>H23=1</formula>
    </cfRule>
  </conditionalFormatting>
  <conditionalFormatting sqref="E39:E43 E31:E33">
    <cfRule type="expression" dxfId="3670" priority="15">
      <formula>H31=1</formula>
    </cfRule>
  </conditionalFormatting>
  <conditionalFormatting sqref="E39:E43 E31:E33">
    <cfRule type="expression" dxfId="3669" priority="14">
      <formula>H31=1</formula>
    </cfRule>
  </conditionalFormatting>
  <conditionalFormatting sqref="F11">
    <cfRule type="containsText" dxfId="3668" priority="13" operator="containsText" text="FAIL">
      <formula>NOT(ISERROR(SEARCH("FAIL",F11)))</formula>
    </cfRule>
  </conditionalFormatting>
  <conditionalFormatting sqref="F11">
    <cfRule type="containsText" dxfId="3667" priority="12" operator="containsText" text="GOOD">
      <formula>NOT(ISERROR(SEARCH("GOOD",F11)))</formula>
    </cfRule>
  </conditionalFormatting>
  <conditionalFormatting sqref="D34:D37">
    <cfRule type="expression" dxfId="3666" priority="11">
      <formula>H34=1</formula>
    </cfRule>
  </conditionalFormatting>
  <conditionalFormatting sqref="C34:C37">
    <cfRule type="expression" dxfId="3665" priority="10">
      <formula>H34=1</formula>
    </cfRule>
  </conditionalFormatting>
  <conditionalFormatting sqref="E34:E37">
    <cfRule type="expression" dxfId="3664" priority="9">
      <formula>H34=1</formula>
    </cfRule>
  </conditionalFormatting>
  <conditionalFormatting sqref="E34:E37">
    <cfRule type="expression" dxfId="3663" priority="8">
      <formula>H34=1</formula>
    </cfRule>
  </conditionalFormatting>
  <conditionalFormatting sqref="D38">
    <cfRule type="expression" dxfId="3662" priority="7">
      <formula>H38=1</formula>
    </cfRule>
  </conditionalFormatting>
  <conditionalFormatting sqref="C38">
    <cfRule type="expression" dxfId="3661" priority="6">
      <formula>H38=1</formula>
    </cfRule>
  </conditionalFormatting>
  <conditionalFormatting sqref="E38">
    <cfRule type="expression" dxfId="3660" priority="5">
      <formula>H38=1</formula>
    </cfRule>
  </conditionalFormatting>
  <conditionalFormatting sqref="E38">
    <cfRule type="expression" dxfId="3659" priority="4">
      <formula>H38=1</formula>
    </cfRule>
  </conditionalFormatting>
  <conditionalFormatting sqref="D23:D30">
    <cfRule type="expression" dxfId="3658" priority="3">
      <formula>H23=1</formula>
    </cfRule>
  </conditionalFormatting>
  <conditionalFormatting sqref="E23:E30">
    <cfRule type="expression" dxfId="3657" priority="2">
      <formula>H23=1</formula>
    </cfRule>
  </conditionalFormatting>
  <conditionalFormatting sqref="E23:E30">
    <cfRule type="expression" dxfId="3656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:P47"/>
  <sheetViews>
    <sheetView zoomScaleNormal="100" workbookViewId="0">
      <selection activeCell="I23" sqref="I2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1470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1471</v>
      </c>
    </row>
    <row r="6" spans="1:16" x14ac:dyDescent="0.25">
      <c r="D6" s="2" t="s">
        <v>2</v>
      </c>
      <c r="F6" s="6">
        <v>43440</v>
      </c>
      <c r="H6" s="11"/>
    </row>
    <row r="7" spans="1:16" x14ac:dyDescent="0.25">
      <c r="D7" s="2" t="s">
        <v>3</v>
      </c>
      <c r="F7" s="5">
        <v>1500000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2546000</v>
      </c>
      <c r="H8" s="11"/>
    </row>
    <row r="9" spans="1:16" x14ac:dyDescent="0.25">
      <c r="D9" s="2" t="s">
        <v>67</v>
      </c>
      <c r="F9" s="4">
        <f>+F8-F7</f>
        <v>1046000</v>
      </c>
      <c r="G9" s="16">
        <f>+F9/F7</f>
        <v>0.69733333333333336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-2762816.666666667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4262816.666666667</v>
      </c>
      <c r="G12" s="14"/>
      <c r="H12" s="11">
        <f>COUNT(I23:I43)</f>
        <v>3</v>
      </c>
      <c r="I12" s="1" t="s">
        <v>31</v>
      </c>
      <c r="J12" s="4">
        <f>+F8*0.9</f>
        <v>2291400</v>
      </c>
      <c r="K12" s="1" t="s">
        <v>69</v>
      </c>
    </row>
    <row r="13" spans="1:16" x14ac:dyDescent="0.25">
      <c r="D13" s="2" t="s">
        <v>29</v>
      </c>
      <c r="F13" s="4">
        <f>MAX(I23:I43)-MIN(I23:I43)</f>
        <v>3396450</v>
      </c>
      <c r="G13" s="269">
        <f>MEDIAN(I23:I43)</f>
        <v>4300000</v>
      </c>
      <c r="H13" s="270"/>
      <c r="I13" s="1" t="s">
        <v>30</v>
      </c>
      <c r="J13" s="4">
        <f>+F12*1.1</f>
        <v>4689098.333333334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1472</v>
      </c>
      <c r="E23" s="33"/>
      <c r="F23" t="s">
        <v>1055</v>
      </c>
      <c r="G23" t="s">
        <v>93</v>
      </c>
      <c r="H23">
        <f>RANK(I23,I$23:I$43,1)</f>
        <v>3</v>
      </c>
      <c r="I23" s="4">
        <v>5942450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1473</v>
      </c>
      <c r="E24" s="33"/>
      <c r="F24" t="s">
        <v>215</v>
      </c>
      <c r="G24" t="s">
        <v>25</v>
      </c>
      <c r="H24">
        <f>RANK(I24,I$23:I$43,1)</f>
        <v>1</v>
      </c>
      <c r="I24" s="4">
        <v>2546000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725</v>
      </c>
      <c r="E25" s="33"/>
      <c r="F25" t="s">
        <v>594</v>
      </c>
      <c r="G25" t="s">
        <v>25</v>
      </c>
      <c r="H25">
        <f>RANK(I25,I$23:I$43,1)</f>
        <v>2</v>
      </c>
      <c r="I25" s="4">
        <v>4300000</v>
      </c>
      <c r="J25" s="4"/>
      <c r="K25" s="4"/>
      <c r="L25" s="4"/>
      <c r="M25" s="22"/>
      <c r="N25" s="22"/>
      <c r="O25" s="22"/>
    </row>
    <row r="26" spans="3:15" x14ac:dyDescent="0.25">
      <c r="C26" s="33" t="str">
        <f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655" priority="14" operator="containsText" text="FAIL">
      <formula>NOT(ISERROR(SEARCH("FAIL",I9)))</formula>
    </cfRule>
  </conditionalFormatting>
  <conditionalFormatting sqref="I9">
    <cfRule type="containsText" dxfId="3654" priority="13" operator="containsText" text="GOOD">
      <formula>NOT(ISERROR(SEARCH("GOOD",I9)))</formula>
    </cfRule>
  </conditionalFormatting>
  <conditionalFormatting sqref="F11">
    <cfRule type="containsText" dxfId="3653" priority="12" operator="containsText" text="FAIL">
      <formula>NOT(ISERROR(SEARCH("FAIL",F11)))</formula>
    </cfRule>
  </conditionalFormatting>
  <conditionalFormatting sqref="F11">
    <cfRule type="containsText" dxfId="3652" priority="11" operator="containsText" text="GOOD">
      <formula>NOT(ISERROR(SEARCH("GOOD",F11)))</formula>
    </cfRule>
  </conditionalFormatting>
  <conditionalFormatting sqref="D29:D43 D23:D26">
    <cfRule type="expression" dxfId="3651" priority="10">
      <formula>H23=1</formula>
    </cfRule>
  </conditionalFormatting>
  <conditionalFormatting sqref="C29:C43 C23:C26">
    <cfRule type="expression" dxfId="3650" priority="9">
      <formula>H23=1</formula>
    </cfRule>
  </conditionalFormatting>
  <conditionalFormatting sqref="E29:E43 E23:E26">
    <cfRule type="expression" dxfId="3649" priority="8">
      <formula>H23=1</formula>
    </cfRule>
  </conditionalFormatting>
  <conditionalFormatting sqref="F11">
    <cfRule type="containsText" dxfId="3648" priority="7" operator="containsText" text="FAIL">
      <formula>NOT(ISERROR(SEARCH("FAIL",F11)))</formula>
    </cfRule>
  </conditionalFormatting>
  <conditionalFormatting sqref="F11">
    <cfRule type="containsText" dxfId="3647" priority="6" operator="containsText" text="GOOD">
      <formula>NOT(ISERROR(SEARCH("GOOD",F11)))</formula>
    </cfRule>
  </conditionalFormatting>
  <conditionalFormatting sqref="D28">
    <cfRule type="expression" dxfId="3646" priority="5">
      <formula>H28=1</formula>
    </cfRule>
  </conditionalFormatting>
  <conditionalFormatting sqref="C27:C28">
    <cfRule type="expression" dxfId="3645" priority="4">
      <formula>H27=1</formula>
    </cfRule>
  </conditionalFormatting>
  <conditionalFormatting sqref="E28">
    <cfRule type="expression" dxfId="3644" priority="3">
      <formula>H28=1</formula>
    </cfRule>
  </conditionalFormatting>
  <conditionalFormatting sqref="D27">
    <cfRule type="expression" dxfId="3643" priority="2">
      <formula>H27=1</formula>
    </cfRule>
  </conditionalFormatting>
  <conditionalFormatting sqref="E27">
    <cfRule type="expression" dxfId="3642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:P47"/>
  <sheetViews>
    <sheetView zoomScaleNormal="100" workbookViewId="0">
      <selection activeCell="M28" sqref="M28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1468</v>
      </c>
      <c r="I4" s="2" t="s">
        <v>4</v>
      </c>
      <c r="J4" t="s">
        <v>784</v>
      </c>
    </row>
    <row r="5" spans="1:15" x14ac:dyDescent="0.25">
      <c r="D5" s="2" t="s">
        <v>1</v>
      </c>
      <c r="F5" t="s">
        <v>1469</v>
      </c>
    </row>
    <row r="6" spans="1:15" x14ac:dyDescent="0.25">
      <c r="D6" s="2" t="s">
        <v>2</v>
      </c>
      <c r="F6" s="6">
        <v>43438</v>
      </c>
      <c r="H6" s="11"/>
    </row>
    <row r="7" spans="1:15" x14ac:dyDescent="0.25">
      <c r="D7" s="2" t="s">
        <v>3</v>
      </c>
      <c r="F7" s="5">
        <f>+L7+K7+J7+I7+(M7*K7)</f>
        <v>122920000</v>
      </c>
      <c r="G7" s="2" t="s">
        <v>34</v>
      </c>
      <c r="H7" s="11"/>
      <c r="I7" s="19">
        <v>50760000</v>
      </c>
      <c r="J7" s="19">
        <v>69460000</v>
      </c>
      <c r="K7" s="19">
        <v>2700000</v>
      </c>
      <c r="L7" s="19">
        <v>0</v>
      </c>
      <c r="M7" s="20">
        <v>0</v>
      </c>
    </row>
    <row r="8" spans="1:15" x14ac:dyDescent="0.25">
      <c r="D8" s="2" t="s">
        <v>18</v>
      </c>
      <c r="F8" s="5">
        <f>MIN(M23:M43)</f>
        <v>119769038</v>
      </c>
      <c r="H8" s="11"/>
      <c r="I8" s="18" t="s">
        <v>43</v>
      </c>
      <c r="J8" s="18" t="s">
        <v>44</v>
      </c>
      <c r="K8" s="18" t="s">
        <v>49</v>
      </c>
      <c r="L8" s="18" t="s">
        <v>934</v>
      </c>
      <c r="M8" s="18" t="s">
        <v>50</v>
      </c>
    </row>
    <row r="9" spans="1:15" x14ac:dyDescent="0.25">
      <c r="D9" s="2" t="s">
        <v>19</v>
      </c>
      <c r="F9" s="4">
        <f>+F8-F7</f>
        <v>-3150962</v>
      </c>
      <c r="G9" s="16">
        <f>+F9/F7</f>
        <v>-2.5634249918646275E-2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5" x14ac:dyDescent="0.25">
      <c r="D10" s="2" t="s">
        <v>68</v>
      </c>
      <c r="F10" s="4">
        <f>+F7-F12</f>
        <v>781821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GOOD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122138179</v>
      </c>
      <c r="G12" s="14"/>
      <c r="H12" s="11">
        <f>COUNT(M23:M43)</f>
        <v>2</v>
      </c>
      <c r="I12" s="1" t="s">
        <v>31</v>
      </c>
      <c r="J12" s="4">
        <f>+F8*0.9</f>
        <v>107792134.2</v>
      </c>
      <c r="K12" s="1" t="s">
        <v>69</v>
      </c>
      <c r="L12" s="1"/>
      <c r="O12" t="str">
        <f>INDEX(D23:D43,MATCH(1,H23:H43,0))</f>
        <v>Crisdel Group</v>
      </c>
    </row>
    <row r="13" spans="1:15" x14ac:dyDescent="0.25">
      <c r="D13" s="2" t="s">
        <v>29</v>
      </c>
      <c r="F13" s="4">
        <f>MAX(M23:M43)-MIN(M23:M43)</f>
        <v>4738282</v>
      </c>
      <c r="G13" s="269">
        <f>MEDIAN(M23:M43)</f>
        <v>122138179</v>
      </c>
      <c r="H13" s="270"/>
      <c r="I13" s="1" t="s">
        <v>30</v>
      </c>
      <c r="J13" s="4">
        <f>+F12*1.1</f>
        <v>134351996.90000001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5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6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6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>IF(H23=1,"u","")</f>
        <v>u</v>
      </c>
      <c r="D23" s="11" t="s">
        <v>440</v>
      </c>
      <c r="E23" s="33"/>
      <c r="F23" t="s">
        <v>193</v>
      </c>
      <c r="G23" t="s">
        <v>25</v>
      </c>
      <c r="H23">
        <f>RANK(M23,M$23:M$43,1)</f>
        <v>1</v>
      </c>
      <c r="I23" s="4">
        <v>53645500</v>
      </c>
      <c r="J23" s="4">
        <v>63018538</v>
      </c>
      <c r="K23" s="4">
        <v>0</v>
      </c>
      <c r="L23" s="7">
        <v>0.15</v>
      </c>
      <c r="M23" s="4">
        <f>+K23+I23+J23+(L23*K$7)+$K$7</f>
        <v>119769038</v>
      </c>
      <c r="N23" s="22"/>
      <c r="O23" s="22">
        <f>+L23*$K$7</f>
        <v>405000</v>
      </c>
      <c r="P23" s="22"/>
    </row>
    <row r="24" spans="3:16" x14ac:dyDescent="0.25">
      <c r="C24" s="33" t="str">
        <f>IF(H24=1,"u","")</f>
        <v/>
      </c>
      <c r="D24" s="11" t="s">
        <v>745</v>
      </c>
      <c r="E24" s="33"/>
      <c r="F24" t="s">
        <v>159</v>
      </c>
      <c r="G24" t="s">
        <v>93</v>
      </c>
      <c r="H24">
        <f>RANK(M24,M$23:M$43,1)</f>
        <v>2</v>
      </c>
      <c r="I24" s="4">
        <v>52483320</v>
      </c>
      <c r="J24" s="4">
        <v>69000000</v>
      </c>
      <c r="K24" s="4">
        <v>0</v>
      </c>
      <c r="L24" s="7">
        <v>0.12</v>
      </c>
      <c r="M24" s="4">
        <f>+K24+I24+J24+(L24*K$7)+$K$7</f>
        <v>124507320</v>
      </c>
      <c r="N24" s="22"/>
      <c r="O24" s="22">
        <f>+L24*$K$7</f>
        <v>324000</v>
      </c>
      <c r="P24" s="22"/>
    </row>
    <row r="25" spans="3:16" x14ac:dyDescent="0.25">
      <c r="C25" s="33" t="str">
        <f>IF(H25=1,"u","")</f>
        <v/>
      </c>
      <c r="D25" s="11"/>
      <c r="E25" s="33"/>
      <c r="I25" s="4"/>
      <c r="J25" s="4"/>
      <c r="K25" s="4"/>
      <c r="L25" s="7"/>
      <c r="M25" s="4"/>
      <c r="N25" s="22"/>
      <c r="O25" s="22"/>
      <c r="P25" s="22"/>
    </row>
    <row r="26" spans="3:16" x14ac:dyDescent="0.25">
      <c r="C26" s="33"/>
      <c r="D26" s="11"/>
      <c r="E26" s="33"/>
      <c r="I26" s="4"/>
      <c r="J26" s="4"/>
      <c r="K26" s="4"/>
      <c r="L26" s="7"/>
      <c r="M26" s="4"/>
      <c r="N26" s="22"/>
      <c r="O26" s="22"/>
      <c r="P26" s="22"/>
    </row>
    <row r="27" spans="3:16" x14ac:dyDescent="0.25">
      <c r="C27" s="33"/>
      <c r="D27" s="11"/>
      <c r="E27" s="33"/>
      <c r="I27" s="4"/>
      <c r="J27" s="4"/>
      <c r="K27" s="4"/>
      <c r="L27" s="7"/>
      <c r="M27" s="4"/>
      <c r="N27" s="22"/>
      <c r="O27" s="22"/>
      <c r="P27" s="22"/>
    </row>
    <row r="28" spans="3:16" x14ac:dyDescent="0.25">
      <c r="C28" s="33"/>
      <c r="D28" s="11"/>
      <c r="E28" s="33"/>
      <c r="I28" s="4"/>
      <c r="J28" s="4"/>
      <c r="K28" s="4"/>
      <c r="L28" s="7"/>
      <c r="M28" s="4"/>
      <c r="N28" s="22"/>
      <c r="O28" s="22"/>
      <c r="P28" s="22"/>
    </row>
    <row r="29" spans="3:16" x14ac:dyDescent="0.25">
      <c r="C29" s="33"/>
      <c r="D29" s="11"/>
      <c r="E29" s="33"/>
      <c r="I29" s="4"/>
      <c r="J29" s="4"/>
      <c r="K29" s="4"/>
      <c r="L29" s="7"/>
      <c r="M29" s="4"/>
      <c r="N29" s="22"/>
      <c r="O29" s="22"/>
      <c r="P29" s="22"/>
    </row>
    <row r="30" spans="3:16" x14ac:dyDescent="0.25">
      <c r="C30" s="33"/>
      <c r="D30" s="11"/>
      <c r="E30" s="33"/>
      <c r="I30" s="4"/>
      <c r="J30" s="4"/>
      <c r="K30" s="4"/>
      <c r="L30" s="7"/>
      <c r="M30" s="4"/>
      <c r="N30" s="22"/>
      <c r="O30" s="22"/>
      <c r="P30" s="22"/>
    </row>
    <row r="31" spans="3:16" x14ac:dyDescent="0.25">
      <c r="C31" s="33" t="str">
        <f t="shared" ref="C31:C43" si="0">IF(H31=1,"u","")</f>
        <v/>
      </c>
      <c r="D31" s="11"/>
      <c r="E31" s="33" t="str">
        <f t="shared" ref="E31:E43" si="1">IF(H31=1,"t","")</f>
        <v/>
      </c>
      <c r="I31" s="4"/>
      <c r="J31" s="4"/>
      <c r="K31" s="4"/>
      <c r="L31" s="7"/>
      <c r="M31" s="4"/>
      <c r="N31" s="22"/>
      <c r="O31" s="22"/>
      <c r="P31" s="22"/>
    </row>
    <row r="32" spans="3:16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7"/>
      <c r="L32" s="7"/>
      <c r="M32" s="4"/>
      <c r="N32" s="22"/>
      <c r="O32" s="22"/>
      <c r="P32" s="22"/>
    </row>
    <row r="33" spans="3:16" x14ac:dyDescent="0.25">
      <c r="C33" s="33" t="str">
        <f t="shared" si="0"/>
        <v/>
      </c>
      <c r="D33" s="11"/>
      <c r="E33" s="33" t="str">
        <f t="shared" si="1"/>
        <v/>
      </c>
      <c r="I33" s="4"/>
      <c r="J33" s="4"/>
      <c r="K33" s="7"/>
      <c r="L33" s="7"/>
      <c r="M33" s="4"/>
      <c r="N33" s="21"/>
      <c r="O33" s="21"/>
      <c r="P33" s="21"/>
    </row>
    <row r="34" spans="3:16" x14ac:dyDescent="0.25">
      <c r="C34" s="33" t="str">
        <f t="shared" si="0"/>
        <v/>
      </c>
      <c r="D34" s="11"/>
      <c r="E34" s="33" t="str">
        <f t="shared" si="1"/>
        <v/>
      </c>
      <c r="K34" s="7"/>
      <c r="L34" s="7"/>
      <c r="N34" s="21"/>
      <c r="O34" s="21"/>
      <c r="P34" s="21"/>
    </row>
    <row r="35" spans="3:16" x14ac:dyDescent="0.25">
      <c r="C35" s="33" t="str">
        <f t="shared" si="0"/>
        <v/>
      </c>
      <c r="D35" s="11"/>
      <c r="E35" s="33" t="str">
        <f t="shared" si="1"/>
        <v/>
      </c>
      <c r="K35" s="7"/>
      <c r="L35" s="7"/>
      <c r="N35" s="21"/>
      <c r="O35" s="21"/>
      <c r="P35" s="21"/>
    </row>
    <row r="36" spans="3:16" x14ac:dyDescent="0.25">
      <c r="C36" s="33" t="str">
        <f t="shared" si="0"/>
        <v/>
      </c>
      <c r="D36" s="11"/>
      <c r="E36" s="33" t="str">
        <f t="shared" si="1"/>
        <v/>
      </c>
      <c r="K36" s="7"/>
      <c r="L36" s="7"/>
      <c r="N36" s="21"/>
      <c r="O36" s="21"/>
      <c r="P36" s="21"/>
    </row>
    <row r="37" spans="3:16" x14ac:dyDescent="0.25">
      <c r="C37" s="33" t="str">
        <f t="shared" si="0"/>
        <v/>
      </c>
      <c r="D37" s="11"/>
      <c r="E37" s="33" t="str">
        <f t="shared" si="1"/>
        <v/>
      </c>
      <c r="K37" s="7"/>
      <c r="L37" s="7"/>
      <c r="N37" s="21"/>
      <c r="O37" s="21"/>
      <c r="P37" s="21"/>
    </row>
    <row r="38" spans="3:16" x14ac:dyDescent="0.25">
      <c r="C38" s="33" t="str">
        <f t="shared" si="0"/>
        <v/>
      </c>
      <c r="D38" s="11"/>
      <c r="E38" s="33" t="str">
        <f t="shared" si="1"/>
        <v/>
      </c>
      <c r="K38" s="7"/>
      <c r="L38" s="7"/>
      <c r="N38" s="21"/>
      <c r="O38" s="21"/>
      <c r="P38" s="21"/>
    </row>
    <row r="39" spans="3:16" x14ac:dyDescent="0.25">
      <c r="C39" s="33" t="str">
        <f t="shared" si="0"/>
        <v/>
      </c>
      <c r="D39" s="11"/>
      <c r="E39" s="33" t="str">
        <f t="shared" si="1"/>
        <v/>
      </c>
      <c r="K39" s="7"/>
      <c r="L39" s="7"/>
      <c r="N39" s="21"/>
      <c r="O39" s="21"/>
      <c r="P39" s="21"/>
    </row>
    <row r="40" spans="3:16" x14ac:dyDescent="0.25">
      <c r="C40" s="33" t="str">
        <f t="shared" si="0"/>
        <v/>
      </c>
      <c r="D40" s="11"/>
      <c r="E40" s="33" t="str">
        <f t="shared" si="1"/>
        <v/>
      </c>
      <c r="K40" s="7"/>
      <c r="L40" s="7"/>
      <c r="N40" s="21"/>
      <c r="O40" s="21"/>
      <c r="P40" s="21"/>
    </row>
    <row r="41" spans="3:16" x14ac:dyDescent="0.25">
      <c r="C41" s="33" t="str">
        <f t="shared" si="0"/>
        <v/>
      </c>
      <c r="D41" s="11"/>
      <c r="E41" s="33" t="str">
        <f t="shared" si="1"/>
        <v/>
      </c>
      <c r="K41" s="7"/>
      <c r="L41" s="7"/>
      <c r="N41" s="21"/>
      <c r="O41" s="21"/>
      <c r="P41" s="21"/>
    </row>
    <row r="42" spans="3:16" x14ac:dyDescent="0.25">
      <c r="C42" s="33" t="str">
        <f t="shared" si="0"/>
        <v/>
      </c>
      <c r="D42" s="11"/>
      <c r="E42" s="33" t="str">
        <f t="shared" si="1"/>
        <v/>
      </c>
      <c r="K42" s="7"/>
      <c r="L42" s="7"/>
      <c r="N42" s="21"/>
      <c r="O42" s="21"/>
      <c r="P42" s="21"/>
    </row>
    <row r="43" spans="3:16" x14ac:dyDescent="0.25">
      <c r="C43" s="33" t="str">
        <f t="shared" si="0"/>
        <v/>
      </c>
      <c r="D43" s="11"/>
      <c r="E43" s="33" t="str">
        <f t="shared" si="1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3641" priority="8" operator="containsText" text="FAIL">
      <formula>NOT(ISERROR(SEARCH("FAIL",F9)))</formula>
    </cfRule>
  </conditionalFormatting>
  <conditionalFormatting sqref="I9 F11">
    <cfRule type="containsText" dxfId="3640" priority="7" operator="containsText" text="GOOD">
      <formula>NOT(ISERROR(SEARCH("GOOD",F9)))</formula>
    </cfRule>
  </conditionalFormatting>
  <conditionalFormatting sqref="I9">
    <cfRule type="containsText" dxfId="3639" priority="6" operator="containsText" text="FAIL">
      <formula>NOT(ISERROR(SEARCH("FAIL",I9)))</formula>
    </cfRule>
  </conditionalFormatting>
  <conditionalFormatting sqref="I9">
    <cfRule type="containsText" dxfId="3638" priority="5" operator="containsText" text="GOOD">
      <formula>NOT(ISERROR(SEARCH("GOOD",I9)))</formula>
    </cfRule>
  </conditionalFormatting>
  <conditionalFormatting sqref="D25">
    <cfRule type="expression" dxfId="3637" priority="4" stopIfTrue="1">
      <formula>IF($H$25=1,0)</formula>
    </cfRule>
  </conditionalFormatting>
  <conditionalFormatting sqref="D23:D43">
    <cfRule type="expression" dxfId="3636" priority="3">
      <formula>H23=1</formula>
    </cfRule>
  </conditionalFormatting>
  <conditionalFormatting sqref="C23:C43">
    <cfRule type="expression" dxfId="3635" priority="2">
      <formula>H23=1</formula>
    </cfRule>
  </conditionalFormatting>
  <conditionalFormatting sqref="E23:E43">
    <cfRule type="expression" dxfId="3634" priority="1">
      <formula>H23=1</formula>
    </cfRule>
  </conditionalFormatting>
  <pageMargins left="0.7" right="0.7" top="0.75" bottom="0.75" header="0.3" footer="0.3"/>
  <pageSetup scale="77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:P47"/>
  <sheetViews>
    <sheetView zoomScaleNormal="100" workbookViewId="0">
      <selection activeCell="I28" sqref="I2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1465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1466</v>
      </c>
    </row>
    <row r="6" spans="1:16" x14ac:dyDescent="0.25">
      <c r="D6" s="2" t="s">
        <v>2</v>
      </c>
      <c r="F6" s="6">
        <v>43438</v>
      </c>
      <c r="H6" s="11"/>
    </row>
    <row r="7" spans="1:16" x14ac:dyDescent="0.25">
      <c r="D7" s="2" t="s">
        <v>3</v>
      </c>
      <c r="F7" s="5">
        <v>448000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432222</v>
      </c>
      <c r="H8" s="11"/>
    </row>
    <row r="9" spans="1:16" x14ac:dyDescent="0.25">
      <c r="D9" s="2" t="s">
        <v>67</v>
      </c>
      <c r="F9" s="4">
        <f>+F8-F7</f>
        <v>-15778</v>
      </c>
      <c r="G9" s="16">
        <f>+F9/F7</f>
        <v>-3.521875E-2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-344267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792267</v>
      </c>
      <c r="G12" s="14"/>
      <c r="H12" s="11">
        <f>COUNT(I23:I43)</f>
        <v>6</v>
      </c>
      <c r="I12" s="1" t="s">
        <v>31</v>
      </c>
      <c r="J12" s="4">
        <f>+F8*0.9</f>
        <v>388999.8</v>
      </c>
      <c r="K12" s="1" t="s">
        <v>69</v>
      </c>
    </row>
    <row r="13" spans="1:16" x14ac:dyDescent="0.25">
      <c r="D13" s="2" t="s">
        <v>29</v>
      </c>
      <c r="F13" s="4">
        <f>MAX(I23:I43)-MIN(I23:I43)</f>
        <v>865778</v>
      </c>
      <c r="G13" s="269">
        <f>MEDIAN(I23:I43)</f>
        <v>760877.5</v>
      </c>
      <c r="H13" s="270"/>
      <c r="I13" s="1" t="s">
        <v>30</v>
      </c>
      <c r="J13" s="4">
        <f>+F12*1.1</f>
        <v>871493.70000000007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631</v>
      </c>
      <c r="E23" s="33"/>
      <c r="F23" t="s">
        <v>131</v>
      </c>
      <c r="G23" t="s">
        <v>25</v>
      </c>
      <c r="H23">
        <f t="shared" ref="H23:H28" si="0">RANK(I23,I$23:I$43,1)</f>
        <v>6</v>
      </c>
      <c r="I23" s="4">
        <v>1298000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1463</v>
      </c>
      <c r="E24" s="33"/>
      <c r="F24" t="s">
        <v>199</v>
      </c>
      <c r="G24" t="s">
        <v>93</v>
      </c>
      <c r="H24">
        <f t="shared" si="0"/>
        <v>2</v>
      </c>
      <c r="I24" s="4">
        <v>512625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676</v>
      </c>
      <c r="E25" s="33"/>
      <c r="F25" t="s">
        <v>85</v>
      </c>
      <c r="G25" t="s">
        <v>25</v>
      </c>
      <c r="H25">
        <f t="shared" si="0"/>
        <v>3</v>
      </c>
      <c r="I25" s="4">
        <v>630965</v>
      </c>
      <c r="J25" s="4"/>
      <c r="K25" s="4"/>
      <c r="L25" s="4"/>
      <c r="M25" s="22"/>
      <c r="N25" s="22"/>
      <c r="O25" s="22"/>
    </row>
    <row r="26" spans="3:15" x14ac:dyDescent="0.25">
      <c r="C26" s="33" t="str">
        <f>IF(H26=1,"u","")</f>
        <v>u</v>
      </c>
      <c r="D26" s="11" t="s">
        <v>347</v>
      </c>
      <c r="E26" s="33"/>
      <c r="F26" t="s">
        <v>147</v>
      </c>
      <c r="G26" t="s">
        <v>93</v>
      </c>
      <c r="H26">
        <f t="shared" si="0"/>
        <v>1</v>
      </c>
      <c r="I26" s="4">
        <v>432222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1404</v>
      </c>
      <c r="E27" s="33"/>
      <c r="F27" t="s">
        <v>289</v>
      </c>
      <c r="G27" t="s">
        <v>93</v>
      </c>
      <c r="H27">
        <f t="shared" si="0"/>
        <v>4</v>
      </c>
      <c r="I27" s="4">
        <v>890790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1467</v>
      </c>
      <c r="E28" s="33"/>
      <c r="F28" t="s">
        <v>195</v>
      </c>
      <c r="G28" t="s">
        <v>93</v>
      </c>
      <c r="H28">
        <f t="shared" si="0"/>
        <v>5</v>
      </c>
      <c r="I28" s="4">
        <v>989000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633" priority="14" operator="containsText" text="FAIL">
      <formula>NOT(ISERROR(SEARCH("FAIL",I9)))</formula>
    </cfRule>
  </conditionalFormatting>
  <conditionalFormatting sqref="I9">
    <cfRule type="containsText" dxfId="3632" priority="13" operator="containsText" text="GOOD">
      <formula>NOT(ISERROR(SEARCH("GOOD",I9)))</formula>
    </cfRule>
  </conditionalFormatting>
  <conditionalFormatting sqref="F11">
    <cfRule type="containsText" dxfId="3631" priority="12" operator="containsText" text="FAIL">
      <formula>NOT(ISERROR(SEARCH("FAIL",F11)))</formula>
    </cfRule>
  </conditionalFormatting>
  <conditionalFormatting sqref="F11">
    <cfRule type="containsText" dxfId="3630" priority="11" operator="containsText" text="GOOD">
      <formula>NOT(ISERROR(SEARCH("GOOD",F11)))</formula>
    </cfRule>
  </conditionalFormatting>
  <conditionalFormatting sqref="D29:D43 D23:D26">
    <cfRule type="expression" dxfId="3629" priority="10">
      <formula>H23=1</formula>
    </cfRule>
  </conditionalFormatting>
  <conditionalFormatting sqref="C29:C43 C23:C26">
    <cfRule type="expression" dxfId="3628" priority="9">
      <formula>H23=1</formula>
    </cfRule>
  </conditionalFormatting>
  <conditionalFormatting sqref="E29:E43 E23:E26">
    <cfRule type="expression" dxfId="3627" priority="8">
      <formula>H23=1</formula>
    </cfRule>
  </conditionalFormatting>
  <conditionalFormatting sqref="F11">
    <cfRule type="containsText" dxfId="3626" priority="7" operator="containsText" text="FAIL">
      <formula>NOT(ISERROR(SEARCH("FAIL",F11)))</formula>
    </cfRule>
  </conditionalFormatting>
  <conditionalFormatting sqref="F11">
    <cfRule type="containsText" dxfId="3625" priority="6" operator="containsText" text="GOOD">
      <formula>NOT(ISERROR(SEARCH("GOOD",F11)))</formula>
    </cfRule>
  </conditionalFormatting>
  <conditionalFormatting sqref="D28">
    <cfRule type="expression" dxfId="3624" priority="5">
      <formula>H28=1</formula>
    </cfRule>
  </conditionalFormatting>
  <conditionalFormatting sqref="C27:C28">
    <cfRule type="expression" dxfId="3623" priority="4">
      <formula>H27=1</formula>
    </cfRule>
  </conditionalFormatting>
  <conditionalFormatting sqref="E28">
    <cfRule type="expression" dxfId="3622" priority="3">
      <formula>H28=1</formula>
    </cfRule>
  </conditionalFormatting>
  <conditionalFormatting sqref="D27">
    <cfRule type="expression" dxfId="3621" priority="2">
      <formula>H27=1</formula>
    </cfRule>
  </conditionalFormatting>
  <conditionalFormatting sqref="E27">
    <cfRule type="expression" dxfId="3620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:P47"/>
  <sheetViews>
    <sheetView zoomScaleNormal="100" workbookViewId="0">
      <selection activeCell="F7" sqref="F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1462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1464</v>
      </c>
    </row>
    <row r="6" spans="1:16" x14ac:dyDescent="0.25">
      <c r="D6" s="2" t="s">
        <v>2</v>
      </c>
      <c r="F6" s="6">
        <v>43433</v>
      </c>
      <c r="H6" s="11"/>
    </row>
    <row r="7" spans="1:16" x14ac:dyDescent="0.25">
      <c r="D7" s="2" t="s">
        <v>3</v>
      </c>
      <c r="F7" s="5">
        <v>287000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369034</v>
      </c>
      <c r="H8" s="11"/>
    </row>
    <row r="9" spans="1:16" x14ac:dyDescent="0.25">
      <c r="D9" s="2" t="s">
        <v>67</v>
      </c>
      <c r="F9" s="4">
        <f>+F8-F7</f>
        <v>82034</v>
      </c>
      <c r="G9" s="16">
        <f>+F9/F7</f>
        <v>0.28583275261324043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-216308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503308</v>
      </c>
      <c r="G12" s="14"/>
      <c r="H12" s="11">
        <f>COUNT(I23:I43)</f>
        <v>5</v>
      </c>
      <c r="I12" s="1" t="s">
        <v>31</v>
      </c>
      <c r="J12" s="4">
        <f>+F8*0.9</f>
        <v>332130.60000000003</v>
      </c>
      <c r="K12" s="1" t="s">
        <v>69</v>
      </c>
    </row>
    <row r="13" spans="1:16" x14ac:dyDescent="0.25">
      <c r="D13" s="2" t="s">
        <v>29</v>
      </c>
      <c r="F13" s="4">
        <f>MAX(I23:I43)-MIN(I23:I43)</f>
        <v>481966</v>
      </c>
      <c r="G13" s="269">
        <f>MEDIAN(I23:I43)</f>
        <v>399566</v>
      </c>
      <c r="H13" s="270"/>
      <c r="I13" s="1" t="s">
        <v>30</v>
      </c>
      <c r="J13" s="4">
        <f>+F12*1.1</f>
        <v>553638.80000000005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631</v>
      </c>
      <c r="E23" s="33"/>
      <c r="F23" t="s">
        <v>131</v>
      </c>
      <c r="G23" t="s">
        <v>25</v>
      </c>
      <c r="H23">
        <f>RANK(I23,I$23:I$43,1)</f>
        <v>5</v>
      </c>
      <c r="I23" s="4">
        <v>851000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1463</v>
      </c>
      <c r="E24" s="33"/>
      <c r="F24" t="s">
        <v>199</v>
      </c>
      <c r="G24" t="s">
        <v>93</v>
      </c>
      <c r="H24">
        <f>RANK(I24,I$23:I$43,1)</f>
        <v>3</v>
      </c>
      <c r="I24" s="4">
        <v>399566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676</v>
      </c>
      <c r="E25" s="33"/>
      <c r="F25" t="s">
        <v>85</v>
      </c>
      <c r="G25" t="s">
        <v>25</v>
      </c>
      <c r="H25">
        <f>RANK(I25,I$23:I$43,1)</f>
        <v>1</v>
      </c>
      <c r="I25" s="4">
        <v>369034</v>
      </c>
      <c r="J25" s="4"/>
      <c r="K25" s="4"/>
      <c r="L25" s="4"/>
      <c r="M25" s="22"/>
      <c r="N25" s="22"/>
      <c r="O25" s="22"/>
    </row>
    <row r="26" spans="3:15" x14ac:dyDescent="0.25">
      <c r="C26" s="33" t="str">
        <f>IF(H26=1,"u","")</f>
        <v/>
      </c>
      <c r="D26" s="11" t="s">
        <v>1155</v>
      </c>
      <c r="E26" s="33"/>
      <c r="F26" t="s">
        <v>181</v>
      </c>
      <c r="G26" t="s">
        <v>93</v>
      </c>
      <c r="H26">
        <f>RANK(I26,I$23:I$43,1)</f>
        <v>2</v>
      </c>
      <c r="I26" s="4">
        <v>398950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1404</v>
      </c>
      <c r="E27" s="33"/>
      <c r="F27" t="s">
        <v>289</v>
      </c>
      <c r="G27" t="s">
        <v>93</v>
      </c>
      <c r="H27">
        <f>RANK(I27,I$23:I$43,1)</f>
        <v>4</v>
      </c>
      <c r="I27" s="4">
        <v>497990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619" priority="14" operator="containsText" text="FAIL">
      <formula>NOT(ISERROR(SEARCH("FAIL",I9)))</formula>
    </cfRule>
  </conditionalFormatting>
  <conditionalFormatting sqref="I9">
    <cfRule type="containsText" dxfId="3618" priority="13" operator="containsText" text="GOOD">
      <formula>NOT(ISERROR(SEARCH("GOOD",I9)))</formula>
    </cfRule>
  </conditionalFormatting>
  <conditionalFormatting sqref="F11">
    <cfRule type="containsText" dxfId="3617" priority="12" operator="containsText" text="FAIL">
      <formula>NOT(ISERROR(SEARCH("FAIL",F11)))</formula>
    </cfRule>
  </conditionalFormatting>
  <conditionalFormatting sqref="F11">
    <cfRule type="containsText" dxfId="3616" priority="11" operator="containsText" text="GOOD">
      <formula>NOT(ISERROR(SEARCH("GOOD",F11)))</formula>
    </cfRule>
  </conditionalFormatting>
  <conditionalFormatting sqref="D29:D43 D23:D26">
    <cfRule type="expression" dxfId="3615" priority="10">
      <formula>H23=1</formula>
    </cfRule>
  </conditionalFormatting>
  <conditionalFormatting sqref="C29:C43 C23:C26">
    <cfRule type="expression" dxfId="3614" priority="9">
      <formula>H23=1</formula>
    </cfRule>
  </conditionalFormatting>
  <conditionalFormatting sqref="E29:E43 E23:E26">
    <cfRule type="expression" dxfId="3613" priority="8">
      <formula>H23=1</formula>
    </cfRule>
  </conditionalFormatting>
  <conditionalFormatting sqref="F11">
    <cfRule type="containsText" dxfId="3612" priority="7" operator="containsText" text="FAIL">
      <formula>NOT(ISERROR(SEARCH("FAIL",F11)))</formula>
    </cfRule>
  </conditionalFormatting>
  <conditionalFormatting sqref="F11">
    <cfRule type="containsText" dxfId="3611" priority="6" operator="containsText" text="GOOD">
      <formula>NOT(ISERROR(SEARCH("GOOD",F11)))</formula>
    </cfRule>
  </conditionalFormatting>
  <conditionalFormatting sqref="D28">
    <cfRule type="expression" dxfId="3610" priority="5">
      <formula>H28=1</formula>
    </cfRule>
  </conditionalFormatting>
  <conditionalFormatting sqref="C27:C28">
    <cfRule type="expression" dxfId="3609" priority="4">
      <formula>H27=1</formula>
    </cfRule>
  </conditionalFormatting>
  <conditionalFormatting sqref="E28">
    <cfRule type="expression" dxfId="3608" priority="3">
      <formula>H28=1</formula>
    </cfRule>
  </conditionalFormatting>
  <conditionalFormatting sqref="D27">
    <cfRule type="expression" dxfId="3607" priority="2">
      <formula>H27=1</formula>
    </cfRule>
  </conditionalFormatting>
  <conditionalFormatting sqref="E27">
    <cfRule type="expression" dxfId="3606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:P47"/>
  <sheetViews>
    <sheetView zoomScaleNormal="100" workbookViewId="0">
      <selection activeCell="M17" sqref="M1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1459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1460</v>
      </c>
    </row>
    <row r="6" spans="1:16" x14ac:dyDescent="0.25">
      <c r="D6" s="2" t="s">
        <v>2</v>
      </c>
      <c r="F6" s="6">
        <v>43419</v>
      </c>
      <c r="H6" s="11"/>
    </row>
    <row r="7" spans="1:16" x14ac:dyDescent="0.25">
      <c r="D7" s="2" t="s">
        <v>3</v>
      </c>
      <c r="F7" s="5">
        <v>12570000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9714000</v>
      </c>
      <c r="H8" s="11"/>
    </row>
    <row r="9" spans="1:16" x14ac:dyDescent="0.25">
      <c r="D9" s="2" t="s">
        <v>67</v>
      </c>
      <c r="F9" s="4">
        <f>+F8-F7</f>
        <v>-2856000</v>
      </c>
      <c r="G9" s="16">
        <f>+F9/F7</f>
        <v>-0.22720763723150358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1990750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10579250</v>
      </c>
      <c r="G12" s="14"/>
      <c r="H12" s="11">
        <f>COUNT(I23:I43)</f>
        <v>4</v>
      </c>
      <c r="I12" s="1" t="s">
        <v>31</v>
      </c>
      <c r="J12" s="4">
        <f>+F8*0.9</f>
        <v>8742600</v>
      </c>
      <c r="K12" s="1" t="s">
        <v>69</v>
      </c>
    </row>
    <row r="13" spans="1:16" x14ac:dyDescent="0.25">
      <c r="D13" s="2" t="s">
        <v>29</v>
      </c>
      <c r="F13" s="4">
        <f>MAX(I23:I43)-MIN(I23:I43)</f>
        <v>2772000</v>
      </c>
      <c r="G13" s="269">
        <f>MEDIAN(I23:I43)</f>
        <v>10058500</v>
      </c>
      <c r="H13" s="270"/>
      <c r="I13" s="1" t="s">
        <v>30</v>
      </c>
      <c r="J13" s="4">
        <f>+F12*1.1</f>
        <v>11637175.000000002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781</v>
      </c>
      <c r="E23" s="33"/>
      <c r="F23" t="s">
        <v>92</v>
      </c>
      <c r="G23" t="s">
        <v>93</v>
      </c>
      <c r="H23">
        <f>RANK(I23,I$23:I$43,1)</f>
        <v>4</v>
      </c>
      <c r="I23" s="4">
        <v>12486000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592</v>
      </c>
      <c r="E24" s="33"/>
      <c r="F24" t="s">
        <v>88</v>
      </c>
      <c r="G24" t="s">
        <v>25</v>
      </c>
      <c r="H24">
        <f>RANK(I24,I$23:I$43,1)</f>
        <v>2</v>
      </c>
      <c r="I24" s="4">
        <v>9820000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1461</v>
      </c>
      <c r="E25" s="33"/>
      <c r="F25" t="s">
        <v>145</v>
      </c>
      <c r="G25" t="s">
        <v>25</v>
      </c>
      <c r="H25">
        <f>RANK(I25,I$23:I$43,1)</f>
        <v>1</v>
      </c>
      <c r="I25" s="4">
        <v>9714000</v>
      </c>
      <c r="J25" s="4"/>
      <c r="K25" s="4"/>
      <c r="L25" s="4"/>
      <c r="M25" s="22"/>
      <c r="N25" s="22"/>
      <c r="O25" s="22"/>
    </row>
    <row r="26" spans="3:15" x14ac:dyDescent="0.25">
      <c r="C26" s="33" t="str">
        <f>IF(H26=1,"u","")</f>
        <v/>
      </c>
      <c r="D26" s="11" t="s">
        <v>779</v>
      </c>
      <c r="E26" s="33"/>
      <c r="F26" t="s">
        <v>109</v>
      </c>
      <c r="G26" t="s">
        <v>25</v>
      </c>
      <c r="H26">
        <f>RANK(I26,I$23:I$43,1)</f>
        <v>3</v>
      </c>
      <c r="I26" s="4">
        <v>10297000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605" priority="14" operator="containsText" text="FAIL">
      <formula>NOT(ISERROR(SEARCH("FAIL",I9)))</formula>
    </cfRule>
  </conditionalFormatting>
  <conditionalFormatting sqref="I9">
    <cfRule type="containsText" dxfId="3604" priority="13" operator="containsText" text="GOOD">
      <formula>NOT(ISERROR(SEARCH("GOOD",I9)))</formula>
    </cfRule>
  </conditionalFormatting>
  <conditionalFormatting sqref="F11">
    <cfRule type="containsText" dxfId="3603" priority="12" operator="containsText" text="FAIL">
      <formula>NOT(ISERROR(SEARCH("FAIL",F11)))</formula>
    </cfRule>
  </conditionalFormatting>
  <conditionalFormatting sqref="F11">
    <cfRule type="containsText" dxfId="3602" priority="11" operator="containsText" text="GOOD">
      <formula>NOT(ISERROR(SEARCH("GOOD",F11)))</formula>
    </cfRule>
  </conditionalFormatting>
  <conditionalFormatting sqref="D29:D43 D23:D26">
    <cfRule type="expression" dxfId="3601" priority="10">
      <formula>H23=1</formula>
    </cfRule>
  </conditionalFormatting>
  <conditionalFormatting sqref="C29:C43 C23:C26">
    <cfRule type="expression" dxfId="3600" priority="9">
      <formula>H23=1</formula>
    </cfRule>
  </conditionalFormatting>
  <conditionalFormatting sqref="E29:E43 E23:E26">
    <cfRule type="expression" dxfId="3599" priority="8">
      <formula>H23=1</formula>
    </cfRule>
  </conditionalFormatting>
  <conditionalFormatting sqref="F11">
    <cfRule type="containsText" dxfId="3598" priority="7" operator="containsText" text="FAIL">
      <formula>NOT(ISERROR(SEARCH("FAIL",F11)))</formula>
    </cfRule>
  </conditionalFormatting>
  <conditionalFormatting sqref="F11">
    <cfRule type="containsText" dxfId="3597" priority="6" operator="containsText" text="GOOD">
      <formula>NOT(ISERROR(SEARCH("GOOD",F11)))</formula>
    </cfRule>
  </conditionalFormatting>
  <conditionalFormatting sqref="D28">
    <cfRule type="expression" dxfId="3596" priority="5">
      <formula>H28=1</formula>
    </cfRule>
  </conditionalFormatting>
  <conditionalFormatting sqref="C27:C28">
    <cfRule type="expression" dxfId="3595" priority="4">
      <formula>H27=1</formula>
    </cfRule>
  </conditionalFormatting>
  <conditionalFormatting sqref="E28">
    <cfRule type="expression" dxfId="3594" priority="3">
      <formula>H28=1</formula>
    </cfRule>
  </conditionalFormatting>
  <conditionalFormatting sqref="D27">
    <cfRule type="expression" dxfId="3593" priority="2">
      <formula>H27=1</formula>
    </cfRule>
  </conditionalFormatting>
  <conditionalFormatting sqref="E27">
    <cfRule type="expression" dxfId="3592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:P47"/>
  <sheetViews>
    <sheetView zoomScaleNormal="100" workbookViewId="0">
      <selection activeCell="J32" sqref="J32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1455</v>
      </c>
      <c r="I4" s="2" t="s">
        <v>4</v>
      </c>
      <c r="J4" t="s">
        <v>442</v>
      </c>
    </row>
    <row r="5" spans="1:15" x14ac:dyDescent="0.25">
      <c r="D5" s="2" t="s">
        <v>1</v>
      </c>
      <c r="F5" t="s">
        <v>1456</v>
      </c>
    </row>
    <row r="6" spans="1:15" x14ac:dyDescent="0.25">
      <c r="D6" s="2" t="s">
        <v>2</v>
      </c>
      <c r="F6" s="6">
        <v>43413</v>
      </c>
      <c r="H6" s="11"/>
    </row>
    <row r="7" spans="1:15" x14ac:dyDescent="0.25">
      <c r="D7" s="2" t="s">
        <v>3</v>
      </c>
      <c r="F7" s="5">
        <f>+L7+K7+J7+I7+(M7*K7)</f>
        <v>186355200</v>
      </c>
      <c r="G7" s="2" t="s">
        <v>34</v>
      </c>
      <c r="H7" s="11"/>
      <c r="I7" s="19">
        <v>54700000</v>
      </c>
      <c r="J7" s="19">
        <v>128500000</v>
      </c>
      <c r="K7" s="19">
        <v>2900000</v>
      </c>
      <c r="L7" s="19">
        <v>0</v>
      </c>
      <c r="M7" s="20">
        <v>8.7999999999999995E-2</v>
      </c>
    </row>
    <row r="8" spans="1:15" x14ac:dyDescent="0.25">
      <c r="D8" s="2" t="s">
        <v>18</v>
      </c>
      <c r="F8" s="5">
        <f>MIN(M23:M43)</f>
        <v>152100000</v>
      </c>
      <c r="H8" s="11"/>
      <c r="I8" s="18" t="s">
        <v>43</v>
      </c>
      <c r="J8" s="18" t="s">
        <v>44</v>
      </c>
      <c r="K8" s="18" t="s">
        <v>49</v>
      </c>
      <c r="L8" s="18" t="s">
        <v>934</v>
      </c>
      <c r="M8" s="18" t="s">
        <v>50</v>
      </c>
    </row>
    <row r="9" spans="1:15" x14ac:dyDescent="0.25">
      <c r="D9" s="2" t="s">
        <v>19</v>
      </c>
      <c r="F9" s="4">
        <f>+F8-F7</f>
        <v>-34255200</v>
      </c>
      <c r="G9" s="16">
        <f>+F9/F7</f>
        <v>-0.18381671131259014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5" x14ac:dyDescent="0.25">
      <c r="D10" s="2" t="s">
        <v>68</v>
      </c>
      <c r="F10" s="4">
        <f>+F7-F12</f>
        <v>28483116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FAIL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157872084</v>
      </c>
      <c r="G12" s="14"/>
      <c r="H12" s="11">
        <f>COUNT(M23:M43)</f>
        <v>3</v>
      </c>
      <c r="I12" s="1" t="s">
        <v>31</v>
      </c>
      <c r="J12" s="4">
        <f>+F8*0.9</f>
        <v>136890000</v>
      </c>
      <c r="K12" s="1" t="s">
        <v>69</v>
      </c>
      <c r="L12" s="1"/>
      <c r="O12" t="str">
        <f>INDEX(D23:D43,MATCH(1,H23:H43,0))</f>
        <v>Walsh/Grace JV</v>
      </c>
    </row>
    <row r="13" spans="1:15" x14ac:dyDescent="0.25">
      <c r="D13" s="2" t="s">
        <v>29</v>
      </c>
      <c r="F13" s="4">
        <f>MAX(M23:M43)-MIN(M23:M43)</f>
        <v>14086000</v>
      </c>
      <c r="G13" s="269">
        <f>MEDIAN(M23:M43)</f>
        <v>155330252</v>
      </c>
      <c r="H13" s="270"/>
      <c r="I13" s="1" t="s">
        <v>30</v>
      </c>
      <c r="J13" s="4">
        <f>+F12*1.1</f>
        <v>173659292.40000001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5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6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6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>IF(H23=1,"u","")</f>
        <v>u</v>
      </c>
      <c r="D23" s="11" t="s">
        <v>1457</v>
      </c>
      <c r="E23" s="33"/>
      <c r="F23" t="s">
        <v>563</v>
      </c>
      <c r="G23" t="s">
        <v>25</v>
      </c>
      <c r="H23">
        <f>RANK(M23,M$23:M$43,1)</f>
        <v>1</v>
      </c>
      <c r="I23" s="4">
        <v>53723000</v>
      </c>
      <c r="J23" s="4">
        <v>94868000</v>
      </c>
      <c r="K23" s="4">
        <v>0</v>
      </c>
      <c r="L23" s="7">
        <v>0.21</v>
      </c>
      <c r="M23" s="4">
        <f>+K23+I23+J23+(L23*K$7)+$K$7</f>
        <v>152100000</v>
      </c>
      <c r="N23" s="22"/>
      <c r="O23" s="22">
        <f>+L23*$K$7</f>
        <v>609000</v>
      </c>
      <c r="P23" s="22"/>
    </row>
    <row r="24" spans="3:16" x14ac:dyDescent="0.25">
      <c r="C24" s="33" t="str">
        <f>IF(H24=1,"u","")</f>
        <v/>
      </c>
      <c r="D24" s="11" t="s">
        <v>1458</v>
      </c>
      <c r="E24" s="33"/>
      <c r="F24" t="s">
        <v>100</v>
      </c>
      <c r="G24" t="s">
        <v>93</v>
      </c>
      <c r="H24">
        <f>RANK(M24,M$23:M$43,1)</f>
        <v>2</v>
      </c>
      <c r="I24" s="4">
        <v>67122798</v>
      </c>
      <c r="J24" s="4">
        <v>85104454</v>
      </c>
      <c r="K24" s="4">
        <v>0</v>
      </c>
      <c r="L24" s="7">
        <v>7.0000000000000007E-2</v>
      </c>
      <c r="M24" s="4">
        <f>+K24+I24+J24+(L24*K$7)+$K$7</f>
        <v>155330252</v>
      </c>
      <c r="N24" s="22"/>
      <c r="O24" s="22">
        <f>+L24*$K$7</f>
        <v>203000.00000000003</v>
      </c>
      <c r="P24" s="22"/>
    </row>
    <row r="25" spans="3:16" x14ac:dyDescent="0.25">
      <c r="C25" s="33" t="str">
        <f>IF(H25=1,"u","")</f>
        <v/>
      </c>
      <c r="D25" s="11" t="s">
        <v>1200</v>
      </c>
      <c r="E25" s="33"/>
      <c r="F25" t="s">
        <v>100</v>
      </c>
      <c r="G25" t="s">
        <v>93</v>
      </c>
      <c r="H25">
        <f>RANK(M25,M$23:M$43,1)</f>
        <v>3</v>
      </c>
      <c r="I25" s="4">
        <v>46389000</v>
      </c>
      <c r="J25" s="4">
        <v>116317000</v>
      </c>
      <c r="K25" s="4">
        <v>0</v>
      </c>
      <c r="L25" s="7">
        <v>0.2</v>
      </c>
      <c r="M25" s="4">
        <f>+K25+I25+J25+(L25*K$7)+$K$7</f>
        <v>166186000</v>
      </c>
      <c r="N25" s="22"/>
      <c r="O25" s="22">
        <f>+L25*$K$7</f>
        <v>580000</v>
      </c>
      <c r="P25" s="22"/>
    </row>
    <row r="26" spans="3:16" x14ac:dyDescent="0.25">
      <c r="C26" s="33"/>
      <c r="D26" s="11"/>
      <c r="E26" s="33"/>
      <c r="I26" s="4"/>
      <c r="J26" s="4"/>
      <c r="K26" s="4"/>
      <c r="L26" s="7"/>
      <c r="M26" s="4"/>
      <c r="N26" s="22"/>
      <c r="O26" s="22"/>
      <c r="P26" s="22"/>
    </row>
    <row r="27" spans="3:16" x14ac:dyDescent="0.25">
      <c r="C27" s="33"/>
      <c r="D27" s="11"/>
      <c r="E27" s="33"/>
      <c r="I27" s="4"/>
      <c r="J27" s="4"/>
      <c r="K27" s="4"/>
      <c r="L27" s="7"/>
      <c r="M27" s="4"/>
      <c r="N27" s="22"/>
      <c r="O27" s="22"/>
      <c r="P27" s="22"/>
    </row>
    <row r="28" spans="3:16" x14ac:dyDescent="0.25">
      <c r="C28" s="33"/>
      <c r="D28" s="11"/>
      <c r="E28" s="33"/>
      <c r="I28" s="4"/>
      <c r="J28" s="4"/>
      <c r="K28" s="4"/>
      <c r="L28" s="7"/>
      <c r="M28" s="4"/>
      <c r="N28" s="22"/>
      <c r="O28" s="22"/>
      <c r="P28" s="22"/>
    </row>
    <row r="29" spans="3:16" x14ac:dyDescent="0.25">
      <c r="C29" s="33"/>
      <c r="D29" s="11"/>
      <c r="E29" s="33"/>
      <c r="I29" s="4"/>
      <c r="J29" s="4"/>
      <c r="K29" s="4"/>
      <c r="L29" s="7"/>
      <c r="M29" s="4"/>
      <c r="N29" s="22"/>
      <c r="O29" s="22"/>
      <c r="P29" s="22"/>
    </row>
    <row r="30" spans="3:16" x14ac:dyDescent="0.25">
      <c r="C30" s="33"/>
      <c r="D30" s="11"/>
      <c r="E30" s="33"/>
      <c r="I30" s="4"/>
      <c r="J30" s="4"/>
      <c r="K30" s="4"/>
      <c r="L30" s="7"/>
      <c r="M30" s="4"/>
      <c r="N30" s="22"/>
      <c r="O30" s="22"/>
      <c r="P30" s="22"/>
    </row>
    <row r="31" spans="3:16" x14ac:dyDescent="0.25">
      <c r="C31" s="33" t="str">
        <f t="shared" ref="C31:C43" si="0">IF(H31=1,"u","")</f>
        <v/>
      </c>
      <c r="D31" s="11"/>
      <c r="E31" s="33" t="str">
        <f t="shared" ref="E31:E43" si="1">IF(H31=1,"t","")</f>
        <v/>
      </c>
      <c r="I31" s="4"/>
      <c r="J31" s="4"/>
      <c r="K31" s="4"/>
      <c r="L31" s="7"/>
      <c r="M31" s="4"/>
      <c r="N31" s="22"/>
      <c r="O31" s="22"/>
      <c r="P31" s="22"/>
    </row>
    <row r="32" spans="3:16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7"/>
      <c r="L32" s="7"/>
      <c r="M32" s="4"/>
      <c r="N32" s="22"/>
      <c r="O32" s="22"/>
      <c r="P32" s="22"/>
    </row>
    <row r="33" spans="3:16" x14ac:dyDescent="0.25">
      <c r="C33" s="33" t="str">
        <f t="shared" si="0"/>
        <v/>
      </c>
      <c r="D33" s="11"/>
      <c r="E33" s="33" t="str">
        <f t="shared" si="1"/>
        <v/>
      </c>
      <c r="I33" s="4"/>
      <c r="J33" s="4"/>
      <c r="K33" s="7"/>
      <c r="L33" s="7"/>
      <c r="M33" s="4"/>
      <c r="N33" s="21"/>
      <c r="O33" s="21"/>
      <c r="P33" s="21"/>
    </row>
    <row r="34" spans="3:16" x14ac:dyDescent="0.25">
      <c r="C34" s="33" t="str">
        <f t="shared" si="0"/>
        <v/>
      </c>
      <c r="D34" s="11"/>
      <c r="E34" s="33" t="str">
        <f t="shared" si="1"/>
        <v/>
      </c>
      <c r="K34" s="7"/>
      <c r="L34" s="7"/>
      <c r="N34" s="21"/>
      <c r="O34" s="21"/>
      <c r="P34" s="21"/>
    </row>
    <row r="35" spans="3:16" x14ac:dyDescent="0.25">
      <c r="C35" s="33" t="str">
        <f t="shared" si="0"/>
        <v/>
      </c>
      <c r="D35" s="11"/>
      <c r="E35" s="33" t="str">
        <f t="shared" si="1"/>
        <v/>
      </c>
      <c r="K35" s="7"/>
      <c r="L35" s="7"/>
      <c r="N35" s="21"/>
      <c r="O35" s="21"/>
      <c r="P35" s="21"/>
    </row>
    <row r="36" spans="3:16" x14ac:dyDescent="0.25">
      <c r="C36" s="33" t="str">
        <f t="shared" si="0"/>
        <v/>
      </c>
      <c r="D36" s="11"/>
      <c r="E36" s="33" t="str">
        <f t="shared" si="1"/>
        <v/>
      </c>
      <c r="K36" s="7"/>
      <c r="L36" s="7"/>
      <c r="N36" s="21"/>
      <c r="O36" s="21"/>
      <c r="P36" s="21"/>
    </row>
    <row r="37" spans="3:16" x14ac:dyDescent="0.25">
      <c r="C37" s="33" t="str">
        <f t="shared" si="0"/>
        <v/>
      </c>
      <c r="D37" s="11"/>
      <c r="E37" s="33" t="str">
        <f t="shared" si="1"/>
        <v/>
      </c>
      <c r="K37" s="7"/>
      <c r="L37" s="7"/>
      <c r="N37" s="21"/>
      <c r="O37" s="21"/>
      <c r="P37" s="21"/>
    </row>
    <row r="38" spans="3:16" x14ac:dyDescent="0.25">
      <c r="C38" s="33" t="str">
        <f t="shared" si="0"/>
        <v/>
      </c>
      <c r="D38" s="11"/>
      <c r="E38" s="33" t="str">
        <f t="shared" si="1"/>
        <v/>
      </c>
      <c r="K38" s="7"/>
      <c r="L38" s="7"/>
      <c r="N38" s="21"/>
      <c r="O38" s="21"/>
      <c r="P38" s="21"/>
    </row>
    <row r="39" spans="3:16" x14ac:dyDescent="0.25">
      <c r="C39" s="33" t="str">
        <f t="shared" si="0"/>
        <v/>
      </c>
      <c r="D39" s="11"/>
      <c r="E39" s="33" t="str">
        <f t="shared" si="1"/>
        <v/>
      </c>
      <c r="K39" s="7"/>
      <c r="L39" s="7"/>
      <c r="N39" s="21"/>
      <c r="O39" s="21"/>
      <c r="P39" s="21"/>
    </row>
    <row r="40" spans="3:16" x14ac:dyDescent="0.25">
      <c r="C40" s="33" t="str">
        <f t="shared" si="0"/>
        <v/>
      </c>
      <c r="D40" s="11"/>
      <c r="E40" s="33" t="str">
        <f t="shared" si="1"/>
        <v/>
      </c>
      <c r="K40" s="7"/>
      <c r="L40" s="7"/>
      <c r="N40" s="21"/>
      <c r="O40" s="21"/>
      <c r="P40" s="21"/>
    </row>
    <row r="41" spans="3:16" x14ac:dyDescent="0.25">
      <c r="C41" s="33" t="str">
        <f t="shared" si="0"/>
        <v/>
      </c>
      <c r="D41" s="11"/>
      <c r="E41" s="33" t="str">
        <f t="shared" si="1"/>
        <v/>
      </c>
      <c r="K41" s="7"/>
      <c r="L41" s="7"/>
      <c r="N41" s="21"/>
      <c r="O41" s="21"/>
      <c r="P41" s="21"/>
    </row>
    <row r="42" spans="3:16" x14ac:dyDescent="0.25">
      <c r="C42" s="33" t="str">
        <f t="shared" si="0"/>
        <v/>
      </c>
      <c r="D42" s="11"/>
      <c r="E42" s="33" t="str">
        <f t="shared" si="1"/>
        <v/>
      </c>
      <c r="K42" s="7"/>
      <c r="L42" s="7"/>
      <c r="N42" s="21"/>
      <c r="O42" s="21"/>
      <c r="P42" s="21"/>
    </row>
    <row r="43" spans="3:16" x14ac:dyDescent="0.25">
      <c r="C43" s="33" t="str">
        <f t="shared" si="0"/>
        <v/>
      </c>
      <c r="D43" s="11"/>
      <c r="E43" s="33" t="str">
        <f t="shared" si="1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3591" priority="8" operator="containsText" text="FAIL">
      <formula>NOT(ISERROR(SEARCH("FAIL",F9)))</formula>
    </cfRule>
  </conditionalFormatting>
  <conditionalFormatting sqref="I9 F11">
    <cfRule type="containsText" dxfId="3590" priority="7" operator="containsText" text="GOOD">
      <formula>NOT(ISERROR(SEARCH("GOOD",F9)))</formula>
    </cfRule>
  </conditionalFormatting>
  <conditionalFormatting sqref="I9">
    <cfRule type="containsText" dxfId="3589" priority="6" operator="containsText" text="FAIL">
      <formula>NOT(ISERROR(SEARCH("FAIL",I9)))</formula>
    </cfRule>
  </conditionalFormatting>
  <conditionalFormatting sqref="I9">
    <cfRule type="containsText" dxfId="3588" priority="5" operator="containsText" text="GOOD">
      <formula>NOT(ISERROR(SEARCH("GOOD",I9)))</formula>
    </cfRule>
  </conditionalFormatting>
  <conditionalFormatting sqref="D25">
    <cfRule type="expression" dxfId="3587" priority="4" stopIfTrue="1">
      <formula>IF($H$25=1,0)</formula>
    </cfRule>
  </conditionalFormatting>
  <conditionalFormatting sqref="D23:D43">
    <cfRule type="expression" dxfId="3586" priority="3">
      <formula>H23=1</formula>
    </cfRule>
  </conditionalFormatting>
  <conditionalFormatting sqref="C23:C43">
    <cfRule type="expression" dxfId="3585" priority="2">
      <formula>H23=1</formula>
    </cfRule>
  </conditionalFormatting>
  <conditionalFormatting sqref="E23:E43">
    <cfRule type="expression" dxfId="3584" priority="1">
      <formula>H23=1</formula>
    </cfRule>
  </conditionalFormatting>
  <pageMargins left="0.7" right="0.7" top="0.75" bottom="0.75" header="0.3" footer="0.3"/>
  <pageSetup scale="77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:P47"/>
  <sheetViews>
    <sheetView zoomScaleNormal="100" workbookViewId="0">
      <selection activeCell="K25" sqref="K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1453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1454</v>
      </c>
    </row>
    <row r="6" spans="1:16" x14ac:dyDescent="0.25">
      <c r="D6" s="2" t="s">
        <v>2</v>
      </c>
      <c r="F6" s="6">
        <v>43412</v>
      </c>
      <c r="H6" s="11"/>
    </row>
    <row r="7" spans="1:16" x14ac:dyDescent="0.25">
      <c r="D7" s="2" t="s">
        <v>3</v>
      </c>
      <c r="F7" s="5">
        <v>784000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968530</v>
      </c>
      <c r="H8" s="11"/>
    </row>
    <row r="9" spans="1:16" x14ac:dyDescent="0.25">
      <c r="D9" s="2" t="s">
        <v>67</v>
      </c>
      <c r="F9" s="4">
        <f>+F8-F7</f>
        <v>184530</v>
      </c>
      <c r="G9" s="16">
        <f>+F9/F7</f>
        <v>0.23536989795918367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-225710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1009710</v>
      </c>
      <c r="G12" s="14"/>
      <c r="H12" s="11">
        <f>COUNT(I23:I43)</f>
        <v>3</v>
      </c>
      <c r="I12" s="1" t="s">
        <v>31</v>
      </c>
      <c r="J12" s="4">
        <f>+F8*0.9</f>
        <v>871677</v>
      </c>
      <c r="K12" s="1" t="s">
        <v>69</v>
      </c>
    </row>
    <row r="13" spans="1:16" x14ac:dyDescent="0.25">
      <c r="D13" s="2" t="s">
        <v>29</v>
      </c>
      <c r="F13" s="4">
        <f>MAX(I23:I43)-MIN(I23:I43)</f>
        <v>121470</v>
      </c>
      <c r="G13" s="269">
        <f>MEDIAN(I23:I43)</f>
        <v>970600</v>
      </c>
      <c r="H13" s="270"/>
      <c r="I13" s="1" t="s">
        <v>30</v>
      </c>
      <c r="J13" s="4">
        <f>+F12*1.1</f>
        <v>1110681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626</v>
      </c>
      <c r="E23" s="33"/>
      <c r="F23" t="s">
        <v>308</v>
      </c>
      <c r="G23" t="s">
        <v>25</v>
      </c>
      <c r="H23">
        <f>RANK(I23,I$23:I$43,1)</f>
        <v>2</v>
      </c>
      <c r="I23" s="4">
        <v>970600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681</v>
      </c>
      <c r="E24" s="33"/>
      <c r="F24" t="s">
        <v>199</v>
      </c>
      <c r="G24" t="s">
        <v>93</v>
      </c>
      <c r="H24">
        <f>RANK(I24,I$23:I$43,1)</f>
        <v>3</v>
      </c>
      <c r="I24" s="4">
        <v>1090000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653</v>
      </c>
      <c r="E25" s="33"/>
      <c r="F25" t="s">
        <v>391</v>
      </c>
      <c r="G25" t="s">
        <v>93</v>
      </c>
      <c r="H25">
        <f>RANK(I25,I$23:I$43,1)</f>
        <v>1</v>
      </c>
      <c r="I25" s="4">
        <v>968530</v>
      </c>
      <c r="J25" s="4"/>
      <c r="K25" s="4"/>
      <c r="L25" s="4"/>
      <c r="M25" s="22"/>
      <c r="N25" s="22"/>
      <c r="O25" s="22"/>
    </row>
    <row r="26" spans="3:15" x14ac:dyDescent="0.25">
      <c r="C26" s="33" t="str">
        <f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583" priority="14" operator="containsText" text="FAIL">
      <formula>NOT(ISERROR(SEARCH("FAIL",I9)))</formula>
    </cfRule>
  </conditionalFormatting>
  <conditionalFormatting sqref="I9">
    <cfRule type="containsText" dxfId="3582" priority="13" operator="containsText" text="GOOD">
      <formula>NOT(ISERROR(SEARCH("GOOD",I9)))</formula>
    </cfRule>
  </conditionalFormatting>
  <conditionalFormatting sqref="F11">
    <cfRule type="containsText" dxfId="3581" priority="12" operator="containsText" text="FAIL">
      <formula>NOT(ISERROR(SEARCH("FAIL",F11)))</formula>
    </cfRule>
  </conditionalFormatting>
  <conditionalFormatting sqref="F11">
    <cfRule type="containsText" dxfId="3580" priority="11" operator="containsText" text="GOOD">
      <formula>NOT(ISERROR(SEARCH("GOOD",F11)))</formula>
    </cfRule>
  </conditionalFormatting>
  <conditionalFormatting sqref="D29:D43 D23:D26">
    <cfRule type="expression" dxfId="3579" priority="10">
      <formula>H23=1</formula>
    </cfRule>
  </conditionalFormatting>
  <conditionalFormatting sqref="C29:C43 C23:C26">
    <cfRule type="expression" dxfId="3578" priority="9">
      <formula>H23=1</formula>
    </cfRule>
  </conditionalFormatting>
  <conditionalFormatting sqref="E29:E43 E23:E26">
    <cfRule type="expression" dxfId="3577" priority="8">
      <formula>H23=1</formula>
    </cfRule>
  </conditionalFormatting>
  <conditionalFormatting sqref="F11">
    <cfRule type="containsText" dxfId="3576" priority="7" operator="containsText" text="FAIL">
      <formula>NOT(ISERROR(SEARCH("FAIL",F11)))</formula>
    </cfRule>
  </conditionalFormatting>
  <conditionalFormatting sqref="F11">
    <cfRule type="containsText" dxfId="3575" priority="6" operator="containsText" text="GOOD">
      <formula>NOT(ISERROR(SEARCH("GOOD",F11)))</formula>
    </cfRule>
  </conditionalFormatting>
  <conditionalFormatting sqref="D28">
    <cfRule type="expression" dxfId="3574" priority="5">
      <formula>H28=1</formula>
    </cfRule>
  </conditionalFormatting>
  <conditionalFormatting sqref="C27:C28">
    <cfRule type="expression" dxfId="3573" priority="4">
      <formula>H27=1</formula>
    </cfRule>
  </conditionalFormatting>
  <conditionalFormatting sqref="E28">
    <cfRule type="expression" dxfId="3572" priority="3">
      <formula>H28=1</formula>
    </cfRule>
  </conditionalFormatting>
  <conditionalFormatting sqref="D27">
    <cfRule type="expression" dxfId="3571" priority="2">
      <formula>H27=1</formula>
    </cfRule>
  </conditionalFormatting>
  <conditionalFormatting sqref="E27">
    <cfRule type="expression" dxfId="3570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:P47"/>
  <sheetViews>
    <sheetView zoomScaleNormal="100" workbookViewId="0">
      <selection activeCell="K26" sqref="K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1449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1450</v>
      </c>
    </row>
    <row r="6" spans="1:16" x14ac:dyDescent="0.25">
      <c r="D6" s="2" t="s">
        <v>2</v>
      </c>
      <c r="F6" s="6">
        <v>43412</v>
      </c>
      <c r="H6" s="11"/>
    </row>
    <row r="7" spans="1:16" x14ac:dyDescent="0.25">
      <c r="D7" s="2" t="s">
        <v>3</v>
      </c>
      <c r="F7" s="5">
        <v>9720000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7666000</v>
      </c>
      <c r="H8" s="11"/>
    </row>
    <row r="9" spans="1:16" x14ac:dyDescent="0.25">
      <c r="D9" s="2" t="s">
        <v>67</v>
      </c>
      <c r="F9" s="4">
        <f>+F8-F7</f>
        <v>-2054000</v>
      </c>
      <c r="G9" s="16">
        <f>+F9/F7</f>
        <v>-0.21131687242798353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1162961.25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8557038.75</v>
      </c>
      <c r="G12" s="14"/>
      <c r="H12" s="11">
        <f>COUNT(I23:I43)</f>
        <v>4</v>
      </c>
      <c r="I12" s="1" t="s">
        <v>31</v>
      </c>
      <c r="J12" s="4">
        <f>+F8*0.9</f>
        <v>6899400</v>
      </c>
      <c r="K12" s="1" t="s">
        <v>69</v>
      </c>
    </row>
    <row r="13" spans="1:16" x14ac:dyDescent="0.25">
      <c r="D13" s="2" t="s">
        <v>29</v>
      </c>
      <c r="F13" s="4">
        <f>MAX(I23:I43)-MIN(I23:I43)</f>
        <v>1831755</v>
      </c>
      <c r="G13" s="269">
        <f>MEDIAN(I23:I43)</f>
        <v>8532200</v>
      </c>
      <c r="H13" s="270"/>
      <c r="I13" s="1" t="s">
        <v>30</v>
      </c>
      <c r="J13" s="4">
        <f>+F12*1.1</f>
        <v>9412742.625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1278</v>
      </c>
      <c r="E23" s="33"/>
      <c r="F23" t="s">
        <v>1451</v>
      </c>
      <c r="G23" t="s">
        <v>25</v>
      </c>
      <c r="H23">
        <f>RANK(I23,I$23:I$43,1)</f>
        <v>4</v>
      </c>
      <c r="I23" s="4">
        <v>9497755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1452</v>
      </c>
      <c r="E24" s="33"/>
      <c r="F24" t="s">
        <v>549</v>
      </c>
      <c r="G24" t="s">
        <v>25</v>
      </c>
      <c r="H24">
        <f>RANK(I24,I$23:I$43,1)</f>
        <v>2</v>
      </c>
      <c r="I24" s="4">
        <v>8195000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781</v>
      </c>
      <c r="E25" s="33"/>
      <c r="F25" t="s">
        <v>92</v>
      </c>
      <c r="G25" t="s">
        <v>93</v>
      </c>
      <c r="H25">
        <f>RANK(I25,I$23:I$43,1)</f>
        <v>1</v>
      </c>
      <c r="I25" s="4">
        <v>7666000</v>
      </c>
      <c r="J25" s="4"/>
      <c r="K25" s="4"/>
      <c r="L25" s="4"/>
      <c r="M25" s="22"/>
      <c r="N25" s="22"/>
      <c r="O25" s="22"/>
    </row>
    <row r="26" spans="3:15" x14ac:dyDescent="0.25">
      <c r="C26" s="33" t="str">
        <f>IF(H26=1,"u","")</f>
        <v/>
      </c>
      <c r="D26" s="11" t="s">
        <v>1207</v>
      </c>
      <c r="E26" s="33"/>
      <c r="F26" t="s">
        <v>131</v>
      </c>
      <c r="G26" t="s">
        <v>25</v>
      </c>
      <c r="H26">
        <f>RANK(I26,I$23:I$43,1)</f>
        <v>3</v>
      </c>
      <c r="I26" s="4">
        <v>8869400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569" priority="19" operator="containsText" text="FAIL">
      <formula>NOT(ISERROR(SEARCH("FAIL",I9)))</formula>
    </cfRule>
  </conditionalFormatting>
  <conditionalFormatting sqref="I9">
    <cfRule type="containsText" dxfId="3568" priority="18" operator="containsText" text="GOOD">
      <formula>NOT(ISERROR(SEARCH("GOOD",I9)))</formula>
    </cfRule>
  </conditionalFormatting>
  <conditionalFormatting sqref="F11">
    <cfRule type="containsText" dxfId="3567" priority="17" operator="containsText" text="FAIL">
      <formula>NOT(ISERROR(SEARCH("FAIL",F11)))</formula>
    </cfRule>
  </conditionalFormatting>
  <conditionalFormatting sqref="F11">
    <cfRule type="containsText" dxfId="3566" priority="16" operator="containsText" text="GOOD">
      <formula>NOT(ISERROR(SEARCH("GOOD",F11)))</formula>
    </cfRule>
  </conditionalFormatting>
  <conditionalFormatting sqref="D29:D43 D23:D26">
    <cfRule type="expression" dxfId="3565" priority="15">
      <formula>H23=1</formula>
    </cfRule>
  </conditionalFormatting>
  <conditionalFormatting sqref="C29:C43 C23:C26">
    <cfRule type="expression" dxfId="3564" priority="14">
      <formula>H23=1</formula>
    </cfRule>
  </conditionalFormatting>
  <conditionalFormatting sqref="E29:E43 E23:E26">
    <cfRule type="expression" dxfId="3563" priority="13">
      <formula>H23=1</formula>
    </cfRule>
  </conditionalFormatting>
  <conditionalFormatting sqref="F11">
    <cfRule type="containsText" dxfId="3562" priority="12" operator="containsText" text="FAIL">
      <formula>NOT(ISERROR(SEARCH("FAIL",F11)))</formula>
    </cfRule>
  </conditionalFormatting>
  <conditionalFormatting sqref="F11">
    <cfRule type="containsText" dxfId="3561" priority="11" operator="containsText" text="GOOD">
      <formula>NOT(ISERROR(SEARCH("GOOD",F11)))</formula>
    </cfRule>
  </conditionalFormatting>
  <conditionalFormatting sqref="D28">
    <cfRule type="expression" dxfId="3560" priority="10">
      <formula>H28=1</formula>
    </cfRule>
  </conditionalFormatting>
  <conditionalFormatting sqref="C27:C28">
    <cfRule type="expression" dxfId="3559" priority="9">
      <formula>H27=1</formula>
    </cfRule>
  </conditionalFormatting>
  <conditionalFormatting sqref="E28">
    <cfRule type="expression" dxfId="3558" priority="8">
      <formula>H28=1</formula>
    </cfRule>
  </conditionalFormatting>
  <conditionalFormatting sqref="D27">
    <cfRule type="expression" dxfId="3557" priority="7">
      <formula>H27=1</formula>
    </cfRule>
  </conditionalFormatting>
  <conditionalFormatting sqref="E27">
    <cfRule type="expression" dxfId="3556" priority="6">
      <formula>H27=1</formula>
    </cfRule>
  </conditionalFormatting>
  <pageMargins left="0.7" right="0.7" top="0.75" bottom="0.75" header="0.3" footer="0.3"/>
  <pageSetup scale="68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</sheetPr>
  <dimension ref="A2:P47"/>
  <sheetViews>
    <sheetView zoomScaleNormal="100" workbookViewId="0">
      <selection activeCell="G31" sqref="G31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1446</v>
      </c>
      <c r="I4" s="2" t="s">
        <v>4</v>
      </c>
      <c r="J4" t="s">
        <v>1447</v>
      </c>
    </row>
    <row r="5" spans="1:16" x14ac:dyDescent="0.25">
      <c r="D5" s="2" t="s">
        <v>1</v>
      </c>
      <c r="F5" t="s">
        <v>1448</v>
      </c>
    </row>
    <row r="6" spans="1:16" x14ac:dyDescent="0.25">
      <c r="D6" s="2" t="s">
        <v>2</v>
      </c>
      <c r="F6" s="6">
        <v>43411</v>
      </c>
      <c r="H6" s="11"/>
    </row>
    <row r="7" spans="1:16" x14ac:dyDescent="0.25">
      <c r="D7" s="2" t="s">
        <v>3</v>
      </c>
      <c r="F7" s="5">
        <v>1870000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3736200</v>
      </c>
      <c r="H8" s="11"/>
    </row>
    <row r="9" spans="1:16" x14ac:dyDescent="0.25">
      <c r="D9" s="2" t="s">
        <v>67</v>
      </c>
      <c r="F9" s="4">
        <f>+F8-F7</f>
        <v>1866200</v>
      </c>
      <c r="G9" s="16">
        <f>+F9/F7</f>
        <v>0.99796791443850263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-1866200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3736200</v>
      </c>
      <c r="G12" s="14"/>
      <c r="H12" s="11">
        <f>COUNT(I23:I43)</f>
        <v>1</v>
      </c>
      <c r="I12" s="1" t="s">
        <v>31</v>
      </c>
      <c r="J12" s="4">
        <f>+F8*0.9</f>
        <v>3362580</v>
      </c>
      <c r="K12" s="1" t="s">
        <v>69</v>
      </c>
    </row>
    <row r="13" spans="1:16" x14ac:dyDescent="0.25">
      <c r="D13" s="2" t="s">
        <v>29</v>
      </c>
      <c r="F13" s="4">
        <f>MAX(I23:I43)-MIN(I23:I43)</f>
        <v>0</v>
      </c>
      <c r="G13" s="269">
        <f>MEDIAN(I23:I43)</f>
        <v>3736200</v>
      </c>
      <c r="H13" s="270"/>
      <c r="I13" s="1" t="s">
        <v>30</v>
      </c>
      <c r="J13" s="4">
        <f>+F12*1.1</f>
        <v>4109820.0000000005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676</v>
      </c>
      <c r="E23" s="33"/>
      <c r="F23" t="s">
        <v>85</v>
      </c>
      <c r="G23" t="s">
        <v>25</v>
      </c>
      <c r="H23">
        <f>RANK(I23,I$23:I$43,1)</f>
        <v>1</v>
      </c>
      <c r="I23" s="4">
        <v>3736200</v>
      </c>
      <c r="J23" s="4"/>
      <c r="K23" s="4"/>
      <c r="L23" s="4"/>
      <c r="M23" s="22"/>
      <c r="N23" s="22"/>
      <c r="O23" s="22"/>
    </row>
    <row r="24" spans="3:15" x14ac:dyDescent="0.25">
      <c r="C24" s="33"/>
      <c r="D24" s="11"/>
      <c r="E24" s="33"/>
      <c r="I24" s="4"/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555" priority="19" operator="containsText" text="FAIL">
      <formula>NOT(ISERROR(SEARCH("FAIL",I9)))</formula>
    </cfRule>
  </conditionalFormatting>
  <conditionalFormatting sqref="I9">
    <cfRule type="containsText" dxfId="3554" priority="18" operator="containsText" text="GOOD">
      <formula>NOT(ISERROR(SEARCH("GOOD",I9)))</formula>
    </cfRule>
  </conditionalFormatting>
  <conditionalFormatting sqref="F11">
    <cfRule type="containsText" dxfId="3553" priority="17" operator="containsText" text="FAIL">
      <formula>NOT(ISERROR(SEARCH("FAIL",F11)))</formula>
    </cfRule>
  </conditionalFormatting>
  <conditionalFormatting sqref="F11">
    <cfRule type="containsText" dxfId="3552" priority="16" operator="containsText" text="GOOD">
      <formula>NOT(ISERROR(SEARCH("GOOD",F11)))</formula>
    </cfRule>
  </conditionalFormatting>
  <conditionalFormatting sqref="D23 D29:D43">
    <cfRule type="expression" dxfId="3551" priority="15">
      <formula>H23=1</formula>
    </cfRule>
  </conditionalFormatting>
  <conditionalFormatting sqref="C29:C43 C23 C25:C26">
    <cfRule type="expression" dxfId="3550" priority="14">
      <formula>H23=1</formula>
    </cfRule>
  </conditionalFormatting>
  <conditionalFormatting sqref="E23 E29:E43">
    <cfRule type="expression" dxfId="3549" priority="13">
      <formula>H23=1</formula>
    </cfRule>
  </conditionalFormatting>
  <conditionalFormatting sqref="F11">
    <cfRule type="containsText" dxfId="3548" priority="12" operator="containsText" text="FAIL">
      <formula>NOT(ISERROR(SEARCH("FAIL",F11)))</formula>
    </cfRule>
  </conditionalFormatting>
  <conditionalFormatting sqref="F11">
    <cfRule type="containsText" dxfId="3547" priority="11" operator="containsText" text="GOOD">
      <formula>NOT(ISERROR(SEARCH("GOOD",F11)))</formula>
    </cfRule>
  </conditionalFormatting>
  <conditionalFormatting sqref="D28">
    <cfRule type="expression" dxfId="3546" priority="10">
      <formula>H28=1</formula>
    </cfRule>
  </conditionalFormatting>
  <conditionalFormatting sqref="C27:C28">
    <cfRule type="expression" dxfId="3545" priority="9">
      <formula>H27=1</formula>
    </cfRule>
  </conditionalFormatting>
  <conditionalFormatting sqref="E28">
    <cfRule type="expression" dxfId="3544" priority="8">
      <formula>H28=1</formula>
    </cfRule>
  </conditionalFormatting>
  <conditionalFormatting sqref="D26:D27">
    <cfRule type="expression" dxfId="3543" priority="7">
      <formula>H26=1</formula>
    </cfRule>
  </conditionalFormatting>
  <conditionalFormatting sqref="E26:E27">
    <cfRule type="expression" dxfId="3542" priority="6">
      <formula>H26=1</formula>
    </cfRule>
  </conditionalFormatting>
  <conditionalFormatting sqref="E25">
    <cfRule type="expression" dxfId="3541" priority="4">
      <formula>H25=1</formula>
    </cfRule>
  </conditionalFormatting>
  <conditionalFormatting sqref="D25">
    <cfRule type="expression" dxfId="3540" priority="5">
      <formula>H25=1</formula>
    </cfRule>
  </conditionalFormatting>
  <conditionalFormatting sqref="E24">
    <cfRule type="expression" dxfId="3539" priority="1">
      <formula>H24=1</formula>
    </cfRule>
  </conditionalFormatting>
  <conditionalFormatting sqref="D24">
    <cfRule type="expression" dxfId="3538" priority="3">
      <formula>H24=1</formula>
    </cfRule>
  </conditionalFormatting>
  <conditionalFormatting sqref="C24">
    <cfRule type="expression" dxfId="3537" priority="2">
      <formula>H24=1</formula>
    </cfRule>
  </conditionalFormatting>
  <pageMargins left="0.7" right="0.7" top="0.75" bottom="0.75" header="0.3" footer="0.3"/>
  <pageSetup scale="68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:P47"/>
  <sheetViews>
    <sheetView zoomScaleNormal="100" workbookViewId="0">
      <selection activeCell="I25" sqref="I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1443</v>
      </c>
      <c r="I4" s="2" t="s">
        <v>4</v>
      </c>
      <c r="J4" t="s">
        <v>1418</v>
      </c>
    </row>
    <row r="5" spans="1:16" x14ac:dyDescent="0.25">
      <c r="D5" s="2" t="s">
        <v>1</v>
      </c>
      <c r="F5" t="s">
        <v>1444</v>
      </c>
    </row>
    <row r="6" spans="1:16" x14ac:dyDescent="0.25">
      <c r="D6" s="2" t="s">
        <v>2</v>
      </c>
      <c r="F6" s="6">
        <v>43410</v>
      </c>
      <c r="H6" s="11"/>
    </row>
    <row r="7" spans="1:16" x14ac:dyDescent="0.25">
      <c r="D7" s="2" t="s">
        <v>3</v>
      </c>
      <c r="F7" s="5">
        <v>2215000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1984098</v>
      </c>
      <c r="H8" s="11"/>
    </row>
    <row r="9" spans="1:16" x14ac:dyDescent="0.25">
      <c r="D9" s="2" t="s">
        <v>67</v>
      </c>
      <c r="F9" s="4">
        <f>+F8-F7</f>
        <v>-230902</v>
      </c>
      <c r="G9" s="16">
        <f>+F9/F7</f>
        <v>-0.10424469525959368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-643292.5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2858292.5</v>
      </c>
      <c r="G12" s="14"/>
      <c r="H12" s="11">
        <f>COUNT(I23:I43)</f>
        <v>4</v>
      </c>
      <c r="I12" s="1" t="s">
        <v>31</v>
      </c>
      <c r="J12" s="4">
        <f>+F8*0.9</f>
        <v>1785688.2</v>
      </c>
      <c r="K12" s="1" t="s">
        <v>69</v>
      </c>
    </row>
    <row r="13" spans="1:16" x14ac:dyDescent="0.25">
      <c r="D13" s="2" t="s">
        <v>29</v>
      </c>
      <c r="F13" s="4">
        <f>MAX(I23:I43)-MIN(I23:I43)</f>
        <v>2215902</v>
      </c>
      <c r="G13" s="269">
        <f>MEDIAN(I23:I43)</f>
        <v>2624536</v>
      </c>
      <c r="H13" s="270"/>
      <c r="I13" s="1" t="s">
        <v>30</v>
      </c>
      <c r="J13" s="4">
        <f>+F12*1.1</f>
        <v>3144121.7500000005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1054</v>
      </c>
      <c r="E23" s="33"/>
      <c r="F23" t="s">
        <v>1055</v>
      </c>
      <c r="G23" t="s">
        <v>93</v>
      </c>
      <c r="H23">
        <f>RANK(I23,I$23:I$43,1)</f>
        <v>3</v>
      </c>
      <c r="I23" s="4">
        <v>2937450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725</v>
      </c>
      <c r="E24" s="33"/>
      <c r="F24" t="s">
        <v>594</v>
      </c>
      <c r="G24" t="s">
        <v>25</v>
      </c>
      <c r="H24">
        <f>RANK(I24,I$23:I$43,1)</f>
        <v>4</v>
      </c>
      <c r="I24" s="4">
        <v>4200000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1445</v>
      </c>
      <c r="E25" s="33"/>
      <c r="F25" t="s">
        <v>95</v>
      </c>
      <c r="G25" t="s">
        <v>93</v>
      </c>
      <c r="H25">
        <f>RANK(I25,I$23:I$43,1)</f>
        <v>1</v>
      </c>
      <c r="I25" s="4">
        <v>1984098</v>
      </c>
      <c r="J25" s="4"/>
      <c r="K25" s="4"/>
      <c r="L25" s="4"/>
      <c r="M25" s="22"/>
      <c r="N25" s="22"/>
      <c r="O25" s="22"/>
    </row>
    <row r="26" spans="3:15" x14ac:dyDescent="0.25">
      <c r="C26" s="33" t="str">
        <f>IF(H26=1,"u","")</f>
        <v/>
      </c>
      <c r="D26" s="11" t="s">
        <v>722</v>
      </c>
      <c r="E26" s="33"/>
      <c r="F26" t="s">
        <v>179</v>
      </c>
      <c r="G26" t="s">
        <v>25</v>
      </c>
      <c r="H26">
        <f>RANK(I26,I$23:I$43,1)</f>
        <v>2</v>
      </c>
      <c r="I26" s="4">
        <v>2311622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536" priority="19" operator="containsText" text="FAIL">
      <formula>NOT(ISERROR(SEARCH("FAIL",I9)))</formula>
    </cfRule>
  </conditionalFormatting>
  <conditionalFormatting sqref="I9">
    <cfRule type="containsText" dxfId="3535" priority="18" operator="containsText" text="GOOD">
      <formula>NOT(ISERROR(SEARCH("GOOD",I9)))</formula>
    </cfRule>
  </conditionalFormatting>
  <conditionalFormatting sqref="F11">
    <cfRule type="containsText" dxfId="3534" priority="17" operator="containsText" text="FAIL">
      <formula>NOT(ISERROR(SEARCH("FAIL",F11)))</formula>
    </cfRule>
  </conditionalFormatting>
  <conditionalFormatting sqref="F11">
    <cfRule type="containsText" dxfId="3533" priority="16" operator="containsText" text="GOOD">
      <formula>NOT(ISERROR(SEARCH("GOOD",F11)))</formula>
    </cfRule>
  </conditionalFormatting>
  <conditionalFormatting sqref="D29:D43 D23:D26">
    <cfRule type="expression" dxfId="3532" priority="15">
      <formula>H23=1</formula>
    </cfRule>
  </conditionalFormatting>
  <conditionalFormatting sqref="C29:C43 C23:C26">
    <cfRule type="expression" dxfId="3531" priority="14">
      <formula>H23=1</formula>
    </cfRule>
  </conditionalFormatting>
  <conditionalFormatting sqref="E29:E43 E23:E26">
    <cfRule type="expression" dxfId="3530" priority="13">
      <formula>H23=1</formula>
    </cfRule>
  </conditionalFormatting>
  <conditionalFormatting sqref="F11">
    <cfRule type="containsText" dxfId="3529" priority="12" operator="containsText" text="FAIL">
      <formula>NOT(ISERROR(SEARCH("FAIL",F11)))</formula>
    </cfRule>
  </conditionalFormatting>
  <conditionalFormatting sqref="F11">
    <cfRule type="containsText" dxfId="3528" priority="11" operator="containsText" text="GOOD">
      <formula>NOT(ISERROR(SEARCH("GOOD",F11)))</formula>
    </cfRule>
  </conditionalFormatting>
  <conditionalFormatting sqref="D28">
    <cfRule type="expression" dxfId="3527" priority="10">
      <formula>H28=1</formula>
    </cfRule>
  </conditionalFormatting>
  <conditionalFormatting sqref="C27:C28">
    <cfRule type="expression" dxfId="3526" priority="9">
      <formula>H27=1</formula>
    </cfRule>
  </conditionalFormatting>
  <conditionalFormatting sqref="E28">
    <cfRule type="expression" dxfId="3525" priority="8">
      <formula>H28=1</formula>
    </cfRule>
  </conditionalFormatting>
  <conditionalFormatting sqref="D27">
    <cfRule type="expression" dxfId="3524" priority="7">
      <formula>H27=1</formula>
    </cfRule>
  </conditionalFormatting>
  <conditionalFormatting sqref="E27">
    <cfRule type="expression" dxfId="3523" priority="6">
      <formula>H27=1</formula>
    </cfRule>
  </conditionalFormatting>
  <pageMargins left="0.7" right="0.7" top="0.75" bottom="0.75" header="0.3" footer="0.3"/>
  <pageSetup scale="68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:P47"/>
  <sheetViews>
    <sheetView zoomScaleNormal="100" workbookViewId="0">
      <selection activeCell="N22" sqref="N22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1441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1442</v>
      </c>
    </row>
    <row r="6" spans="1:16" x14ac:dyDescent="0.25">
      <c r="D6" s="2" t="s">
        <v>2</v>
      </c>
      <c r="F6" s="6">
        <v>43405</v>
      </c>
      <c r="H6" s="11"/>
    </row>
    <row r="7" spans="1:16" x14ac:dyDescent="0.25">
      <c r="D7" s="2" t="s">
        <v>3</v>
      </c>
      <c r="F7" s="5">
        <v>9650000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9200000</v>
      </c>
      <c r="H8" s="11"/>
    </row>
    <row r="9" spans="1:16" x14ac:dyDescent="0.25">
      <c r="D9" s="2" t="s">
        <v>67</v>
      </c>
      <c r="F9" s="4">
        <f>+F8-F7</f>
        <v>-450000</v>
      </c>
      <c r="G9" s="16">
        <f>+F9/F7</f>
        <v>-4.6632124352331605E-2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450000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9200000</v>
      </c>
      <c r="G12" s="14"/>
      <c r="H12" s="11">
        <f>COUNT(I23:I43)</f>
        <v>1</v>
      </c>
      <c r="I12" s="1" t="s">
        <v>31</v>
      </c>
      <c r="J12" s="4">
        <f>+F8*0.9</f>
        <v>8280000</v>
      </c>
      <c r="K12" s="1" t="s">
        <v>69</v>
      </c>
    </row>
    <row r="13" spans="1:16" x14ac:dyDescent="0.25">
      <c r="D13" s="2" t="s">
        <v>29</v>
      </c>
      <c r="F13" s="4">
        <f>MAX(I23:I43)-MIN(I23:I43)</f>
        <v>0</v>
      </c>
      <c r="G13" s="269">
        <f>MEDIAN(I23:I43)</f>
        <v>9200000</v>
      </c>
      <c r="H13" s="270"/>
      <c r="I13" s="1" t="s">
        <v>30</v>
      </c>
      <c r="J13" s="4">
        <f>+F12*1.1</f>
        <v>10120000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592</v>
      </c>
      <c r="E23" s="33"/>
      <c r="F23" t="s">
        <v>88</v>
      </c>
      <c r="G23" t="s">
        <v>25</v>
      </c>
      <c r="H23">
        <f>RANK(I23,I$23:I$43,1)</f>
        <v>1</v>
      </c>
      <c r="I23" s="4">
        <v>9200000</v>
      </c>
      <c r="J23" s="4"/>
      <c r="K23" s="4"/>
      <c r="L23" s="4"/>
      <c r="M23" s="22"/>
      <c r="N23" s="22"/>
      <c r="O23" s="22"/>
    </row>
    <row r="24" spans="3:15" x14ac:dyDescent="0.25">
      <c r="C24" s="33"/>
      <c r="D24" s="11"/>
      <c r="E24" s="33"/>
      <c r="I24" s="4"/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522" priority="19" operator="containsText" text="FAIL">
      <formula>NOT(ISERROR(SEARCH("FAIL",I9)))</formula>
    </cfRule>
  </conditionalFormatting>
  <conditionalFormatting sqref="I9">
    <cfRule type="containsText" dxfId="3521" priority="18" operator="containsText" text="GOOD">
      <formula>NOT(ISERROR(SEARCH("GOOD",I9)))</formula>
    </cfRule>
  </conditionalFormatting>
  <conditionalFormatting sqref="F11">
    <cfRule type="containsText" dxfId="3520" priority="17" operator="containsText" text="FAIL">
      <formula>NOT(ISERROR(SEARCH("FAIL",F11)))</formula>
    </cfRule>
  </conditionalFormatting>
  <conditionalFormatting sqref="F11">
    <cfRule type="containsText" dxfId="3519" priority="16" operator="containsText" text="GOOD">
      <formula>NOT(ISERROR(SEARCH("GOOD",F11)))</formula>
    </cfRule>
  </conditionalFormatting>
  <conditionalFormatting sqref="D23 D29:D43">
    <cfRule type="expression" dxfId="3518" priority="15">
      <formula>H23=1</formula>
    </cfRule>
  </conditionalFormatting>
  <conditionalFormatting sqref="C29:C43 C23 C25:C26">
    <cfRule type="expression" dxfId="3517" priority="14">
      <formula>H23=1</formula>
    </cfRule>
  </conditionalFormatting>
  <conditionalFormatting sqref="E23 E29:E43">
    <cfRule type="expression" dxfId="3516" priority="13">
      <formula>H23=1</formula>
    </cfRule>
  </conditionalFormatting>
  <conditionalFormatting sqref="F11">
    <cfRule type="containsText" dxfId="3515" priority="12" operator="containsText" text="FAIL">
      <formula>NOT(ISERROR(SEARCH("FAIL",F11)))</formula>
    </cfRule>
  </conditionalFormatting>
  <conditionalFormatting sqref="F11">
    <cfRule type="containsText" dxfId="3514" priority="11" operator="containsText" text="GOOD">
      <formula>NOT(ISERROR(SEARCH("GOOD",F11)))</formula>
    </cfRule>
  </conditionalFormatting>
  <conditionalFormatting sqref="D28">
    <cfRule type="expression" dxfId="3513" priority="10">
      <formula>H28=1</formula>
    </cfRule>
  </conditionalFormatting>
  <conditionalFormatting sqref="C27:C28">
    <cfRule type="expression" dxfId="3512" priority="9">
      <formula>H27=1</formula>
    </cfRule>
  </conditionalFormatting>
  <conditionalFormatting sqref="E28">
    <cfRule type="expression" dxfId="3511" priority="8">
      <formula>H28=1</formula>
    </cfRule>
  </conditionalFormatting>
  <conditionalFormatting sqref="D26:D27">
    <cfRule type="expression" dxfId="3510" priority="7">
      <formula>H26=1</formula>
    </cfRule>
  </conditionalFormatting>
  <conditionalFormatting sqref="E26:E27">
    <cfRule type="expression" dxfId="3509" priority="6">
      <formula>H26=1</formula>
    </cfRule>
  </conditionalFormatting>
  <conditionalFormatting sqref="E25">
    <cfRule type="expression" dxfId="3508" priority="4">
      <formula>H25=1</formula>
    </cfRule>
  </conditionalFormatting>
  <conditionalFormatting sqref="D25">
    <cfRule type="expression" dxfId="3507" priority="5">
      <formula>H25=1</formula>
    </cfRule>
  </conditionalFormatting>
  <conditionalFormatting sqref="E24">
    <cfRule type="expression" dxfId="3506" priority="1">
      <formula>H24=1</formula>
    </cfRule>
  </conditionalFormatting>
  <conditionalFormatting sqref="D24">
    <cfRule type="expression" dxfId="3505" priority="3">
      <formula>H24=1</formula>
    </cfRule>
  </conditionalFormatting>
  <conditionalFormatting sqref="C24">
    <cfRule type="expression" dxfId="3504" priority="2">
      <formula>H24=1</formula>
    </cfRule>
  </conditionalFormatting>
  <pageMargins left="0.7" right="0.7" top="0.75" bottom="0.75" header="0.3" footer="0.3"/>
  <pageSetup scale="68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:P56"/>
  <sheetViews>
    <sheetView zoomScaleNormal="100" workbookViewId="0">
      <selection activeCell="M14" sqref="M1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47</v>
      </c>
    </row>
    <row r="4" spans="1:16" x14ac:dyDescent="0.25">
      <c r="D4" s="2" t="s">
        <v>0</v>
      </c>
      <c r="E4" s="1"/>
      <c r="F4" t="s">
        <v>1437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1438</v>
      </c>
    </row>
    <row r="6" spans="1:16" x14ac:dyDescent="0.25">
      <c r="D6" s="2" t="s">
        <v>2</v>
      </c>
      <c r="F6" s="6">
        <v>43404</v>
      </c>
      <c r="H6" s="11"/>
    </row>
    <row r="7" spans="1:16" x14ac:dyDescent="0.25">
      <c r="D7" s="2" t="s">
        <v>3</v>
      </c>
      <c r="F7" s="5">
        <f>+I7+J7</f>
        <v>6500000</v>
      </c>
      <c r="G7" s="2" t="s">
        <v>34</v>
      </c>
      <c r="H7" s="11"/>
      <c r="I7" s="19">
        <v>3300000</v>
      </c>
      <c r="J7" s="19">
        <v>3200000</v>
      </c>
    </row>
    <row r="8" spans="1:16" x14ac:dyDescent="0.25">
      <c r="D8" s="2" t="s">
        <v>18</v>
      </c>
      <c r="F8" s="5">
        <f>MIN(K23:K43)</f>
        <v>4149491</v>
      </c>
      <c r="H8" s="11"/>
      <c r="I8" s="18" t="s">
        <v>43</v>
      </c>
      <c r="J8" s="18" t="s">
        <v>44</v>
      </c>
      <c r="P8" s="66">
        <f>+K26/K24</f>
        <v>1.171334026269728</v>
      </c>
    </row>
    <row r="9" spans="1:16" x14ac:dyDescent="0.25">
      <c r="D9" s="2" t="s">
        <v>19</v>
      </c>
      <c r="F9" s="4">
        <f>+F8-F7</f>
        <v>-2350509</v>
      </c>
      <c r="G9" s="16">
        <f>+F9/F7</f>
        <v>-0.36161676923076924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791674.75</v>
      </c>
      <c r="H10" s="11"/>
    </row>
    <row r="11" spans="1:16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SUM(K23:K43)/H12</f>
        <v>5708325.25</v>
      </c>
      <c r="G12" s="14"/>
      <c r="H12" s="11">
        <f>COUNT(K23:K43)</f>
        <v>8</v>
      </c>
      <c r="I12" s="1" t="s">
        <v>31</v>
      </c>
      <c r="J12" s="4">
        <f>+F8*0.9</f>
        <v>3734541.9</v>
      </c>
      <c r="K12" s="1" t="s">
        <v>69</v>
      </c>
    </row>
    <row r="13" spans="1:16" x14ac:dyDescent="0.25">
      <c r="D13" s="2" t="s">
        <v>29</v>
      </c>
      <c r="F13" s="4">
        <f>MAX(K23:K43)-MIN(K23:K43)</f>
        <v>2977198</v>
      </c>
      <c r="G13" s="269">
        <f>MEDIAN(K23:K43)</f>
        <v>5818562.5</v>
      </c>
      <c r="H13" s="270"/>
      <c r="I13" s="1" t="s">
        <v>30</v>
      </c>
      <c r="J13" s="4">
        <f>+F12*1.1</f>
        <v>6279157.7750000004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6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0.22033898305084745</v>
      </c>
    </row>
    <row r="18" spans="3:15" x14ac:dyDescent="0.25">
      <c r="F18" s="4">
        <f>+F7</f>
        <v>6500000</v>
      </c>
      <c r="G18" s="1" t="s">
        <v>12</v>
      </c>
      <c r="H18" s="11"/>
      <c r="I18" t="s">
        <v>16</v>
      </c>
      <c r="J18" s="7">
        <f>+F8/F18</f>
        <v>0.63838323076923076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0.13831636666666666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1439</v>
      </c>
      <c r="E23" s="33"/>
      <c r="F23" t="s">
        <v>278</v>
      </c>
      <c r="G23" t="s">
        <v>25</v>
      </c>
      <c r="H23">
        <f>RANK(K23,K$23:K$43,1)</f>
        <v>8</v>
      </c>
      <c r="I23" s="4">
        <v>2637380</v>
      </c>
      <c r="J23" s="4">
        <v>4489309</v>
      </c>
      <c r="K23" s="4">
        <f>+J23+I23</f>
        <v>7126689</v>
      </c>
      <c r="L23" s="4"/>
      <c r="M23" s="22"/>
      <c r="N23" s="22"/>
      <c r="O23" s="22"/>
    </row>
    <row r="24" spans="3:15" x14ac:dyDescent="0.25">
      <c r="C24" s="33" t="str">
        <f t="shared" ref="C24:C30" si="0">IF(H24=1,"u","")</f>
        <v>u</v>
      </c>
      <c r="D24" s="11" t="s">
        <v>1211</v>
      </c>
      <c r="E24" s="33"/>
      <c r="F24" t="s">
        <v>558</v>
      </c>
      <c r="G24" t="s">
        <v>25</v>
      </c>
      <c r="H24">
        <f t="shared" ref="H24:H30" si="1">RANK(K24,K$23:K$43,1)</f>
        <v>1</v>
      </c>
      <c r="I24" s="4">
        <v>1582830</v>
      </c>
      <c r="J24" s="4">
        <v>2566661</v>
      </c>
      <c r="K24" s="4">
        <f t="shared" ref="K24:K30" si="2">+J24+I24</f>
        <v>4149491</v>
      </c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505</v>
      </c>
      <c r="E25" s="33"/>
      <c r="F25" t="s">
        <v>289</v>
      </c>
      <c r="G25" t="s">
        <v>93</v>
      </c>
      <c r="H25">
        <f t="shared" si="1"/>
        <v>4</v>
      </c>
      <c r="I25" s="4">
        <v>2135500</v>
      </c>
      <c r="J25" s="4">
        <v>3675925</v>
      </c>
      <c r="K25" s="4">
        <f t="shared" si="2"/>
        <v>5811425</v>
      </c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 t="s">
        <v>485</v>
      </c>
      <c r="E26" s="33"/>
      <c r="F26" t="s">
        <v>486</v>
      </c>
      <c r="G26" t="s">
        <v>25</v>
      </c>
      <c r="H26">
        <f t="shared" si="1"/>
        <v>2</v>
      </c>
      <c r="I26" s="4">
        <v>1745650</v>
      </c>
      <c r="J26" s="4">
        <v>3114790</v>
      </c>
      <c r="K26" s="4">
        <f t="shared" si="2"/>
        <v>4860440</v>
      </c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 t="s">
        <v>1074</v>
      </c>
      <c r="E27" s="33"/>
      <c r="F27" t="s">
        <v>131</v>
      </c>
      <c r="G27" t="s">
        <v>25</v>
      </c>
      <c r="H27">
        <f t="shared" si="1"/>
        <v>7</v>
      </c>
      <c r="I27" s="4">
        <v>2756250</v>
      </c>
      <c r="J27" s="4">
        <v>3531250</v>
      </c>
      <c r="K27" s="4">
        <f t="shared" si="2"/>
        <v>6287500</v>
      </c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 t="s">
        <v>1440</v>
      </c>
      <c r="E28" s="33"/>
      <c r="F28" t="s">
        <v>302</v>
      </c>
      <c r="G28" t="s">
        <v>25</v>
      </c>
      <c r="H28">
        <f t="shared" si="1"/>
        <v>5</v>
      </c>
      <c r="I28" s="4">
        <v>2296250</v>
      </c>
      <c r="J28" s="4">
        <v>3529450</v>
      </c>
      <c r="K28" s="4">
        <f t="shared" si="2"/>
        <v>5825700</v>
      </c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 t="s">
        <v>561</v>
      </c>
      <c r="E29" s="33"/>
      <c r="F29" t="s">
        <v>215</v>
      </c>
      <c r="G29" t="s">
        <v>25</v>
      </c>
      <c r="H29">
        <f t="shared" si="1"/>
        <v>3</v>
      </c>
      <c r="I29" s="4">
        <v>2114340</v>
      </c>
      <c r="J29" s="4">
        <v>3622417</v>
      </c>
      <c r="K29" s="4">
        <f t="shared" si="2"/>
        <v>5736757</v>
      </c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 t="s">
        <v>907</v>
      </c>
      <c r="E30" s="33"/>
      <c r="F30" t="s">
        <v>312</v>
      </c>
      <c r="G30" t="s">
        <v>25</v>
      </c>
      <c r="H30">
        <f t="shared" si="1"/>
        <v>6</v>
      </c>
      <c r="I30" s="4">
        <v>1421400</v>
      </c>
      <c r="J30" s="4">
        <v>4447200</v>
      </c>
      <c r="K30" s="4">
        <f t="shared" si="2"/>
        <v>5868600</v>
      </c>
      <c r="L30" s="4"/>
      <c r="M30" s="22"/>
      <c r="N30" s="22"/>
      <c r="O30" s="22"/>
    </row>
    <row r="31" spans="3:15" x14ac:dyDescent="0.25">
      <c r="C31" s="33" t="str">
        <f t="shared" ref="C31:C43" si="3">IF(H31=1,"u","")</f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3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3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3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3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3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3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3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3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3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3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3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3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3503" priority="35" operator="containsText" text="FAIL">
      <formula>NOT(ISERROR(SEARCH("FAIL",I9)))</formula>
    </cfRule>
  </conditionalFormatting>
  <conditionalFormatting sqref="I9">
    <cfRule type="containsText" dxfId="3502" priority="34" operator="containsText" text="GOOD">
      <formula>NOT(ISERROR(SEARCH("GOOD",I9)))</formula>
    </cfRule>
  </conditionalFormatting>
  <conditionalFormatting sqref="I9">
    <cfRule type="containsText" dxfId="3501" priority="33" operator="containsText" text="FAIL">
      <formula>NOT(ISERROR(SEARCH("FAIL",I9)))</formula>
    </cfRule>
  </conditionalFormatting>
  <conditionalFormatting sqref="I9">
    <cfRule type="containsText" dxfId="3500" priority="32" operator="containsText" text="GOOD">
      <formula>NOT(ISERROR(SEARCH("GOOD",I9)))</formula>
    </cfRule>
  </conditionalFormatting>
  <conditionalFormatting sqref="I9">
    <cfRule type="containsText" dxfId="3499" priority="31" operator="containsText" text="FAIL">
      <formula>NOT(ISERROR(SEARCH("FAIL",I9)))</formula>
    </cfRule>
  </conditionalFormatting>
  <conditionalFormatting sqref="I9">
    <cfRule type="containsText" dxfId="3498" priority="30" operator="containsText" text="GOOD">
      <formula>NOT(ISERROR(SEARCH("GOOD",I9)))</formula>
    </cfRule>
  </conditionalFormatting>
  <conditionalFormatting sqref="F11">
    <cfRule type="containsText" dxfId="3497" priority="29" operator="containsText" text="FAIL">
      <formula>NOT(ISERROR(SEARCH("FAIL",F11)))</formula>
    </cfRule>
  </conditionalFormatting>
  <conditionalFormatting sqref="F11">
    <cfRule type="containsText" dxfId="3496" priority="28" operator="containsText" text="GOOD">
      <formula>NOT(ISERROR(SEARCH("GOOD",F11)))</formula>
    </cfRule>
  </conditionalFormatting>
  <conditionalFormatting sqref="I9">
    <cfRule type="containsText" dxfId="3495" priority="27" operator="containsText" text="FAIL">
      <formula>NOT(ISERROR(SEARCH("FAIL",I9)))</formula>
    </cfRule>
  </conditionalFormatting>
  <conditionalFormatting sqref="I9">
    <cfRule type="containsText" dxfId="3494" priority="26" operator="containsText" text="GOOD">
      <formula>NOT(ISERROR(SEARCH("GOOD",I9)))</formula>
    </cfRule>
  </conditionalFormatting>
  <conditionalFormatting sqref="F11">
    <cfRule type="containsText" dxfId="3493" priority="25" operator="containsText" text="FAIL">
      <formula>NOT(ISERROR(SEARCH("FAIL",F11)))</formula>
    </cfRule>
  </conditionalFormatting>
  <conditionalFormatting sqref="F11">
    <cfRule type="containsText" dxfId="3492" priority="24" operator="containsText" text="GOOD">
      <formula>NOT(ISERROR(SEARCH("GOOD",F11)))</formula>
    </cfRule>
  </conditionalFormatting>
  <conditionalFormatting sqref="D39:D43 D31:D33">
    <cfRule type="expression" dxfId="3491" priority="22">
      <formula>H31=1</formula>
    </cfRule>
  </conditionalFormatting>
  <conditionalFormatting sqref="C39:C43 C23:C33">
    <cfRule type="expression" dxfId="3490" priority="21">
      <formula>H23=1</formula>
    </cfRule>
  </conditionalFormatting>
  <conditionalFormatting sqref="E39:E43 E31:E33">
    <cfRule type="expression" dxfId="3489" priority="20">
      <formula>H31=1</formula>
    </cfRule>
  </conditionalFormatting>
  <conditionalFormatting sqref="E39:E43 E31:E33">
    <cfRule type="expression" dxfId="3488" priority="19">
      <formula>H31=1</formula>
    </cfRule>
  </conditionalFormatting>
  <conditionalFormatting sqref="F11">
    <cfRule type="containsText" dxfId="3487" priority="18" operator="containsText" text="FAIL">
      <formula>NOT(ISERROR(SEARCH("FAIL",F11)))</formula>
    </cfRule>
  </conditionalFormatting>
  <conditionalFormatting sqref="F11">
    <cfRule type="containsText" dxfId="3486" priority="17" operator="containsText" text="GOOD">
      <formula>NOT(ISERROR(SEARCH("GOOD",F11)))</formula>
    </cfRule>
  </conditionalFormatting>
  <conditionalFormatting sqref="D34:D37">
    <cfRule type="expression" dxfId="3485" priority="16">
      <formula>H34=1</formula>
    </cfRule>
  </conditionalFormatting>
  <conditionalFormatting sqref="C34:C37">
    <cfRule type="expression" dxfId="3484" priority="15">
      <formula>H34=1</formula>
    </cfRule>
  </conditionalFormatting>
  <conditionalFormatting sqref="E34:E37">
    <cfRule type="expression" dxfId="3483" priority="14">
      <formula>H34=1</formula>
    </cfRule>
  </conditionalFormatting>
  <conditionalFormatting sqref="E34:E37">
    <cfRule type="expression" dxfId="3482" priority="13">
      <formula>H34=1</formula>
    </cfRule>
  </conditionalFormatting>
  <conditionalFormatting sqref="D38">
    <cfRule type="expression" dxfId="3481" priority="12">
      <formula>H38=1</formula>
    </cfRule>
  </conditionalFormatting>
  <conditionalFormatting sqref="C38">
    <cfRule type="expression" dxfId="3480" priority="11">
      <formula>H38=1</formula>
    </cfRule>
  </conditionalFormatting>
  <conditionalFormatting sqref="E38">
    <cfRule type="expression" dxfId="3479" priority="10">
      <formula>H38=1</formula>
    </cfRule>
  </conditionalFormatting>
  <conditionalFormatting sqref="E38">
    <cfRule type="expression" dxfId="3478" priority="9">
      <formula>H38=1</formula>
    </cfRule>
  </conditionalFormatting>
  <conditionalFormatting sqref="D23:D30">
    <cfRule type="expression" dxfId="3477" priority="3">
      <formula>H23=1</formula>
    </cfRule>
  </conditionalFormatting>
  <conditionalFormatting sqref="E23:E30">
    <cfRule type="expression" dxfId="3476" priority="2">
      <formula>H23=1</formula>
    </cfRule>
  </conditionalFormatting>
  <conditionalFormatting sqref="E23:E30">
    <cfRule type="expression" dxfId="3475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</sheetPr>
  <dimension ref="A2:O56"/>
  <sheetViews>
    <sheetView zoomScaleNormal="100" workbookViewId="0">
      <selection activeCell="F7" sqref="F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3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3" ht="18.75" x14ac:dyDescent="0.3">
      <c r="C3" s="3" t="s">
        <v>26</v>
      </c>
      <c r="J3" s="8" t="s">
        <v>47</v>
      </c>
    </row>
    <row r="4" spans="1:13" x14ac:dyDescent="0.25">
      <c r="D4" s="2" t="s">
        <v>0</v>
      </c>
      <c r="E4" s="1"/>
      <c r="F4" t="s">
        <v>1434</v>
      </c>
      <c r="I4" s="2" t="s">
        <v>4</v>
      </c>
      <c r="J4" t="s">
        <v>784</v>
      </c>
    </row>
    <row r="5" spans="1:13" x14ac:dyDescent="0.25">
      <c r="D5" s="2" t="s">
        <v>1</v>
      </c>
      <c r="F5" t="s">
        <v>1435</v>
      </c>
    </row>
    <row r="6" spans="1:13" x14ac:dyDescent="0.25">
      <c r="D6" s="2" t="s">
        <v>2</v>
      </c>
      <c r="F6" s="6">
        <v>43398</v>
      </c>
      <c r="H6" s="11"/>
    </row>
    <row r="7" spans="1:13" x14ac:dyDescent="0.25">
      <c r="D7" s="2" t="s">
        <v>3</v>
      </c>
      <c r="F7" s="5">
        <f>+I7+J7</f>
        <v>23080000</v>
      </c>
      <c r="G7" s="2" t="s">
        <v>34</v>
      </c>
      <c r="H7" s="11"/>
      <c r="I7" s="19">
        <v>7290000</v>
      </c>
      <c r="J7" s="19">
        <v>15790000</v>
      </c>
    </row>
    <row r="8" spans="1:13" x14ac:dyDescent="0.25">
      <c r="D8" s="2" t="s">
        <v>18</v>
      </c>
      <c r="F8" s="5">
        <f>MIN(K23:K43)</f>
        <v>37417706</v>
      </c>
      <c r="H8" s="11"/>
      <c r="I8" s="18" t="s">
        <v>43</v>
      </c>
      <c r="J8" s="18" t="s">
        <v>44</v>
      </c>
    </row>
    <row r="9" spans="1:13" x14ac:dyDescent="0.25">
      <c r="D9" s="2" t="s">
        <v>19</v>
      </c>
      <c r="F9" s="4">
        <f>+F8-F7</f>
        <v>14337706</v>
      </c>
      <c r="G9" s="16">
        <f>+F9/F7</f>
        <v>0.62121776429809361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3" x14ac:dyDescent="0.25">
      <c r="D10" s="2" t="s">
        <v>68</v>
      </c>
      <c r="F10" s="4">
        <f>+F7-F12</f>
        <v>-14337706</v>
      </c>
      <c r="H10" s="11"/>
    </row>
    <row r="11" spans="1:13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3" x14ac:dyDescent="0.25">
      <c r="D12" s="2" t="s">
        <v>28</v>
      </c>
      <c r="F12" s="4">
        <f>SUM(K23:K43)/H12</f>
        <v>37417706</v>
      </c>
      <c r="G12" s="14"/>
      <c r="H12" s="11">
        <f>COUNT(K23:K43)</f>
        <v>1</v>
      </c>
      <c r="I12" s="1" t="s">
        <v>31</v>
      </c>
      <c r="J12" s="4">
        <f>+F8*0.9</f>
        <v>33675935.399999999</v>
      </c>
      <c r="K12" s="1" t="s">
        <v>69</v>
      </c>
    </row>
    <row r="13" spans="1:13" x14ac:dyDescent="0.25">
      <c r="D13" s="2" t="s">
        <v>29</v>
      </c>
      <c r="F13" s="4">
        <f>MAX(K23:K43)-MIN(K23:K43)</f>
        <v>0</v>
      </c>
      <c r="G13" s="269">
        <f>MEDIAN(K23:K43)</f>
        <v>37417706</v>
      </c>
      <c r="H13" s="270"/>
      <c r="I13" s="1" t="s">
        <v>30</v>
      </c>
      <c r="J13" s="4">
        <f>+F12*1.1</f>
        <v>41159476.600000001</v>
      </c>
      <c r="K13" s="1" t="s">
        <v>70</v>
      </c>
    </row>
    <row r="14" spans="1:13" x14ac:dyDescent="0.25">
      <c r="H14" s="11"/>
    </row>
    <row r="15" spans="1:13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3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0.78237288135593219</v>
      </c>
    </row>
    <row r="18" spans="3:15" x14ac:dyDescent="0.25">
      <c r="F18" s="4">
        <f>+F7</f>
        <v>23080000</v>
      </c>
      <c r="G18" s="1" t="s">
        <v>12</v>
      </c>
      <c r="H18" s="11"/>
      <c r="I18" t="s">
        <v>16</v>
      </c>
      <c r="J18" s="7">
        <f>+F8/F18</f>
        <v>1.6212177642980936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1.2472568666666666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440</v>
      </c>
      <c r="E23" s="33"/>
      <c r="F23" t="s">
        <v>193</v>
      </c>
      <c r="G23" t="s">
        <v>25</v>
      </c>
      <c r="H23">
        <f>RANK(K23,K$23:K$43,1)</f>
        <v>1</v>
      </c>
      <c r="I23" s="4">
        <v>6946720</v>
      </c>
      <c r="J23" s="4">
        <v>30470986</v>
      </c>
      <c r="K23" s="4">
        <f>+J23+I23</f>
        <v>37417706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/>
      <c r="E24" s="33"/>
      <c r="I24" s="4"/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>IF(H28=1,"u","")</f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3474" priority="35" operator="containsText" text="FAIL">
      <formula>NOT(ISERROR(SEARCH("FAIL",I9)))</formula>
    </cfRule>
  </conditionalFormatting>
  <conditionalFormatting sqref="I9">
    <cfRule type="containsText" dxfId="3473" priority="34" operator="containsText" text="GOOD">
      <formula>NOT(ISERROR(SEARCH("GOOD",I9)))</formula>
    </cfRule>
  </conditionalFormatting>
  <conditionalFormatting sqref="I9">
    <cfRule type="containsText" dxfId="3472" priority="33" operator="containsText" text="FAIL">
      <formula>NOT(ISERROR(SEARCH("FAIL",I9)))</formula>
    </cfRule>
  </conditionalFormatting>
  <conditionalFormatting sqref="I9">
    <cfRule type="containsText" dxfId="3471" priority="32" operator="containsText" text="GOOD">
      <formula>NOT(ISERROR(SEARCH("GOOD",I9)))</formula>
    </cfRule>
  </conditionalFormatting>
  <conditionalFormatting sqref="I9">
    <cfRule type="containsText" dxfId="3470" priority="31" operator="containsText" text="FAIL">
      <formula>NOT(ISERROR(SEARCH("FAIL",I9)))</formula>
    </cfRule>
  </conditionalFormatting>
  <conditionalFormatting sqref="I9">
    <cfRule type="containsText" dxfId="3469" priority="30" operator="containsText" text="GOOD">
      <formula>NOT(ISERROR(SEARCH("GOOD",I9)))</formula>
    </cfRule>
  </conditionalFormatting>
  <conditionalFormatting sqref="F11">
    <cfRule type="containsText" dxfId="3468" priority="29" operator="containsText" text="FAIL">
      <formula>NOT(ISERROR(SEARCH("FAIL",F11)))</formula>
    </cfRule>
  </conditionalFormatting>
  <conditionalFormatting sqref="F11">
    <cfRule type="containsText" dxfId="3467" priority="28" operator="containsText" text="GOOD">
      <formula>NOT(ISERROR(SEARCH("GOOD",F11)))</formula>
    </cfRule>
  </conditionalFormatting>
  <conditionalFormatting sqref="I9">
    <cfRule type="containsText" dxfId="3466" priority="27" operator="containsText" text="FAIL">
      <formula>NOT(ISERROR(SEARCH("FAIL",I9)))</formula>
    </cfRule>
  </conditionalFormatting>
  <conditionalFormatting sqref="I9">
    <cfRule type="containsText" dxfId="3465" priority="26" operator="containsText" text="GOOD">
      <formula>NOT(ISERROR(SEARCH("GOOD",I9)))</formula>
    </cfRule>
  </conditionalFormatting>
  <conditionalFormatting sqref="F11">
    <cfRule type="containsText" dxfId="3464" priority="25" operator="containsText" text="FAIL">
      <formula>NOT(ISERROR(SEARCH("FAIL",F11)))</formula>
    </cfRule>
  </conditionalFormatting>
  <conditionalFormatting sqref="F11">
    <cfRule type="containsText" dxfId="3463" priority="24" operator="containsText" text="GOOD">
      <formula>NOT(ISERROR(SEARCH("GOOD",F11)))</formula>
    </cfRule>
  </conditionalFormatting>
  <conditionalFormatting sqref="D25">
    <cfRule type="expression" dxfId="3462" priority="23" stopIfTrue="1">
      <formula>IF($H$25=1,0)</formula>
    </cfRule>
  </conditionalFormatting>
  <conditionalFormatting sqref="D39:D43 D25:D33">
    <cfRule type="expression" dxfId="3461" priority="22">
      <formula>H25=1</formula>
    </cfRule>
  </conditionalFormatting>
  <conditionalFormatting sqref="C23 C39:C43 C25:C33">
    <cfRule type="expression" dxfId="3460" priority="21">
      <formula>H23=1</formula>
    </cfRule>
  </conditionalFormatting>
  <conditionalFormatting sqref="E39:E43 E25:E33">
    <cfRule type="expression" dxfId="3459" priority="20">
      <formula>H25=1</formula>
    </cfRule>
  </conditionalFormatting>
  <conditionalFormatting sqref="E39:E43 E25:E33">
    <cfRule type="expression" dxfId="3458" priority="19">
      <formula>H25=1</formula>
    </cfRule>
  </conditionalFormatting>
  <conditionalFormatting sqref="F11">
    <cfRule type="containsText" dxfId="3457" priority="18" operator="containsText" text="FAIL">
      <formula>NOT(ISERROR(SEARCH("FAIL",F11)))</formula>
    </cfRule>
  </conditionalFormatting>
  <conditionalFormatting sqref="F11">
    <cfRule type="containsText" dxfId="3456" priority="17" operator="containsText" text="GOOD">
      <formula>NOT(ISERROR(SEARCH("GOOD",F11)))</formula>
    </cfRule>
  </conditionalFormatting>
  <conditionalFormatting sqref="D34:D37">
    <cfRule type="expression" dxfId="3455" priority="16">
      <formula>H34=1</formula>
    </cfRule>
  </conditionalFormatting>
  <conditionalFormatting sqref="C34:C37">
    <cfRule type="expression" dxfId="3454" priority="15">
      <formula>H34=1</formula>
    </cfRule>
  </conditionalFormatting>
  <conditionalFormatting sqref="E34:E37">
    <cfRule type="expression" dxfId="3453" priority="14">
      <formula>H34=1</formula>
    </cfRule>
  </conditionalFormatting>
  <conditionalFormatting sqref="E34:E37">
    <cfRule type="expression" dxfId="3452" priority="13">
      <formula>H34=1</formula>
    </cfRule>
  </conditionalFormatting>
  <conditionalFormatting sqref="D38">
    <cfRule type="expression" dxfId="3451" priority="12">
      <formula>H38=1</formula>
    </cfRule>
  </conditionalFormatting>
  <conditionalFormatting sqref="C38">
    <cfRule type="expression" dxfId="3450" priority="11">
      <formula>H38=1</formula>
    </cfRule>
  </conditionalFormatting>
  <conditionalFormatting sqref="E38">
    <cfRule type="expression" dxfId="3449" priority="10">
      <formula>H38=1</formula>
    </cfRule>
  </conditionalFormatting>
  <conditionalFormatting sqref="E38">
    <cfRule type="expression" dxfId="3448" priority="9">
      <formula>H38=1</formula>
    </cfRule>
  </conditionalFormatting>
  <conditionalFormatting sqref="E24">
    <cfRule type="expression" dxfId="3447" priority="4">
      <formula>H24=1</formula>
    </cfRule>
  </conditionalFormatting>
  <conditionalFormatting sqref="D24">
    <cfRule type="expression" dxfId="3446" priority="8" stopIfTrue="1">
      <formula>IF($H$25=1,0)</formula>
    </cfRule>
  </conditionalFormatting>
  <conditionalFormatting sqref="D24">
    <cfRule type="expression" dxfId="3445" priority="7">
      <formula>H24=1</formula>
    </cfRule>
  </conditionalFormatting>
  <conditionalFormatting sqref="C24">
    <cfRule type="expression" dxfId="3444" priority="6">
      <formula>H24=1</formula>
    </cfRule>
  </conditionalFormatting>
  <conditionalFormatting sqref="E24">
    <cfRule type="expression" dxfId="3443" priority="5">
      <formula>H24=1</formula>
    </cfRule>
  </conditionalFormatting>
  <conditionalFormatting sqref="D23">
    <cfRule type="expression" dxfId="3442" priority="3">
      <formula>H23=1</formula>
    </cfRule>
  </conditionalFormatting>
  <conditionalFormatting sqref="E23">
    <cfRule type="expression" dxfId="3441" priority="2">
      <formula>H23=1</formula>
    </cfRule>
  </conditionalFormatting>
  <conditionalFormatting sqref="E23">
    <cfRule type="expression" dxfId="3440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:P47"/>
  <sheetViews>
    <sheetView zoomScaleNormal="100" workbookViewId="0">
      <selection activeCell="F26" sqref="F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1432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1433</v>
      </c>
    </row>
    <row r="6" spans="1:16" x14ac:dyDescent="0.25">
      <c r="D6" s="2" t="s">
        <v>2</v>
      </c>
      <c r="F6" s="6">
        <v>43397</v>
      </c>
      <c r="H6" s="11"/>
    </row>
    <row r="7" spans="1:16" x14ac:dyDescent="0.25">
      <c r="D7" s="2" t="s">
        <v>3</v>
      </c>
      <c r="F7" s="5">
        <v>2971000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2384000</v>
      </c>
      <c r="H8" s="11"/>
    </row>
    <row r="9" spans="1:16" x14ac:dyDescent="0.25">
      <c r="D9" s="2" t="s">
        <v>67</v>
      </c>
      <c r="F9" s="4">
        <f>+F8-F7</f>
        <v>-587000</v>
      </c>
      <c r="G9" s="16">
        <f>+F9/F7</f>
        <v>-0.1975765735442612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-320500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3291500</v>
      </c>
      <c r="G12" s="14"/>
      <c r="H12" s="11">
        <f>COUNT(I23:I43)</f>
        <v>2</v>
      </c>
      <c r="I12" s="1" t="s">
        <v>31</v>
      </c>
      <c r="J12" s="4">
        <f>+F8*0.9</f>
        <v>2145600</v>
      </c>
      <c r="K12" s="1" t="s">
        <v>69</v>
      </c>
    </row>
    <row r="13" spans="1:16" x14ac:dyDescent="0.25">
      <c r="D13" s="2" t="s">
        <v>29</v>
      </c>
      <c r="F13" s="4">
        <f>MAX(I23:I43)-MIN(I23:I43)</f>
        <v>1815000</v>
      </c>
      <c r="G13" s="269">
        <f>MEDIAN(I23:I43)</f>
        <v>3291500</v>
      </c>
      <c r="H13" s="270"/>
      <c r="I13" s="1" t="s">
        <v>30</v>
      </c>
      <c r="J13" s="4">
        <f>+F12*1.1</f>
        <v>3620650.0000000005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487</v>
      </c>
      <c r="E23" s="33"/>
      <c r="F23" t="s">
        <v>113</v>
      </c>
      <c r="G23" t="s">
        <v>25</v>
      </c>
      <c r="H23">
        <f>RANK(I23,I$23:I$43,1)</f>
        <v>1</v>
      </c>
      <c r="I23" s="4">
        <v>2384000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1334</v>
      </c>
      <c r="E24" s="33"/>
      <c r="F24" t="s">
        <v>201</v>
      </c>
      <c r="G24" t="s">
        <v>25</v>
      </c>
      <c r="H24">
        <f>RANK(I24,I$23:I$43,1)</f>
        <v>2</v>
      </c>
      <c r="I24" s="4">
        <v>4199000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439" priority="21" operator="containsText" text="FAIL">
      <formula>NOT(ISERROR(SEARCH("FAIL",I9)))</formula>
    </cfRule>
  </conditionalFormatting>
  <conditionalFormatting sqref="I9">
    <cfRule type="containsText" dxfId="3438" priority="20" operator="containsText" text="GOOD">
      <formula>NOT(ISERROR(SEARCH("GOOD",I9)))</formula>
    </cfRule>
  </conditionalFormatting>
  <conditionalFormatting sqref="F11">
    <cfRule type="containsText" dxfId="3437" priority="19" operator="containsText" text="FAIL">
      <formula>NOT(ISERROR(SEARCH("FAIL",F11)))</formula>
    </cfRule>
  </conditionalFormatting>
  <conditionalFormatting sqref="F11">
    <cfRule type="containsText" dxfId="3436" priority="18" operator="containsText" text="GOOD">
      <formula>NOT(ISERROR(SEARCH("GOOD",F11)))</formula>
    </cfRule>
  </conditionalFormatting>
  <conditionalFormatting sqref="D23 D29:D43">
    <cfRule type="expression" dxfId="3435" priority="17">
      <formula>H23=1</formula>
    </cfRule>
  </conditionalFormatting>
  <conditionalFormatting sqref="C29:C43 C23 C25:C26">
    <cfRule type="expression" dxfId="3434" priority="16">
      <formula>H23=1</formula>
    </cfRule>
  </conditionalFormatting>
  <conditionalFormatting sqref="E23 E29:E43">
    <cfRule type="expression" dxfId="3433" priority="15">
      <formula>H23=1</formula>
    </cfRule>
  </conditionalFormatting>
  <conditionalFormatting sqref="F11">
    <cfRule type="containsText" dxfId="3432" priority="14" operator="containsText" text="FAIL">
      <formula>NOT(ISERROR(SEARCH("FAIL",F11)))</formula>
    </cfRule>
  </conditionalFormatting>
  <conditionalFormatting sqref="F11">
    <cfRule type="containsText" dxfId="3431" priority="13" operator="containsText" text="GOOD">
      <formula>NOT(ISERROR(SEARCH("GOOD",F11)))</formula>
    </cfRule>
  </conditionalFormatting>
  <conditionalFormatting sqref="D28">
    <cfRule type="expression" dxfId="3430" priority="12">
      <formula>H28=1</formula>
    </cfRule>
  </conditionalFormatting>
  <conditionalFormatting sqref="C27:C28">
    <cfRule type="expression" dxfId="3429" priority="11">
      <formula>H27=1</formula>
    </cfRule>
  </conditionalFormatting>
  <conditionalFormatting sqref="E28">
    <cfRule type="expression" dxfId="3428" priority="10">
      <formula>H28=1</formula>
    </cfRule>
  </conditionalFormatting>
  <conditionalFormatting sqref="D26:D27">
    <cfRule type="expression" dxfId="3427" priority="7">
      <formula>H26=1</formula>
    </cfRule>
  </conditionalFormatting>
  <conditionalFormatting sqref="E26:E27">
    <cfRule type="expression" dxfId="3426" priority="6">
      <formula>H26=1</formula>
    </cfRule>
  </conditionalFormatting>
  <conditionalFormatting sqref="E25">
    <cfRule type="expression" dxfId="3425" priority="4">
      <formula>H25=1</formula>
    </cfRule>
  </conditionalFormatting>
  <conditionalFormatting sqref="D25">
    <cfRule type="expression" dxfId="3424" priority="5">
      <formula>H25=1</formula>
    </cfRule>
  </conditionalFormatting>
  <conditionalFormatting sqref="E24">
    <cfRule type="expression" dxfId="3423" priority="1">
      <formula>H24=1</formula>
    </cfRule>
  </conditionalFormatting>
  <conditionalFormatting sqref="D24">
    <cfRule type="expression" dxfId="3422" priority="3">
      <formula>H24=1</formula>
    </cfRule>
  </conditionalFormatting>
  <conditionalFormatting sqref="C24">
    <cfRule type="expression" dxfId="3421" priority="2">
      <formula>H24=1</formula>
    </cfRule>
  </conditionalFormatting>
  <pageMargins left="0.7" right="0.7" top="0.75" bottom="0.75" header="0.3" footer="0.3"/>
  <pageSetup scale="68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:O56"/>
  <sheetViews>
    <sheetView zoomScaleNormal="100" workbookViewId="0">
      <selection activeCell="N24" sqref="N2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3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3" ht="18.75" x14ac:dyDescent="0.3">
      <c r="C3" s="3" t="s">
        <v>26</v>
      </c>
      <c r="J3" s="8" t="s">
        <v>47</v>
      </c>
    </row>
    <row r="4" spans="1:13" x14ac:dyDescent="0.25">
      <c r="D4" s="2" t="s">
        <v>0</v>
      </c>
      <c r="E4" s="1"/>
      <c r="F4" t="s">
        <v>1428</v>
      </c>
      <c r="I4" s="2" t="s">
        <v>4</v>
      </c>
      <c r="J4" t="s">
        <v>1251</v>
      </c>
    </row>
    <row r="5" spans="1:13" x14ac:dyDescent="0.25">
      <c r="D5" s="2" t="s">
        <v>1</v>
      </c>
      <c r="F5" t="s">
        <v>1429</v>
      </c>
    </row>
    <row r="6" spans="1:13" x14ac:dyDescent="0.25">
      <c r="D6" s="2" t="s">
        <v>2</v>
      </c>
      <c r="F6" s="6">
        <v>43391</v>
      </c>
      <c r="H6" s="11"/>
    </row>
    <row r="7" spans="1:13" x14ac:dyDescent="0.25">
      <c r="D7" s="2" t="s">
        <v>3</v>
      </c>
      <c r="F7" s="5">
        <f>+I7+J7</f>
        <v>7950000</v>
      </c>
      <c r="G7" s="2" t="s">
        <v>34</v>
      </c>
      <c r="H7" s="11"/>
      <c r="I7" s="19">
        <v>1136512</v>
      </c>
      <c r="J7" s="19">
        <v>6813488</v>
      </c>
    </row>
    <row r="8" spans="1:13" x14ac:dyDescent="0.25">
      <c r="D8" s="2" t="s">
        <v>18</v>
      </c>
      <c r="F8" s="5">
        <f>MIN(K23:K43)</f>
        <v>6875775</v>
      </c>
      <c r="H8" s="11"/>
      <c r="I8" s="18" t="s">
        <v>43</v>
      </c>
      <c r="J8" s="18" t="s">
        <v>44</v>
      </c>
    </row>
    <row r="9" spans="1:13" x14ac:dyDescent="0.25">
      <c r="D9" s="2" t="s">
        <v>19</v>
      </c>
      <c r="F9" s="4">
        <f>+F8-F7</f>
        <v>-1074225</v>
      </c>
      <c r="G9" s="16">
        <f>+F9/F7</f>
        <v>-0.13512264150943396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3" x14ac:dyDescent="0.25">
      <c r="D10" s="2" t="s">
        <v>68</v>
      </c>
      <c r="F10" s="4">
        <f>+F7-F12</f>
        <v>498600</v>
      </c>
      <c r="H10" s="11"/>
    </row>
    <row r="11" spans="1:13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3" x14ac:dyDescent="0.25">
      <c r="D12" s="2" t="s">
        <v>28</v>
      </c>
      <c r="F12" s="4">
        <f>SUM(K23:K43)/H12</f>
        <v>7451400</v>
      </c>
      <c r="G12" s="14"/>
      <c r="H12" s="11">
        <f>COUNT(K23:K43)</f>
        <v>2</v>
      </c>
      <c r="I12" s="1" t="s">
        <v>31</v>
      </c>
      <c r="J12" s="4">
        <f>+F8*0.9</f>
        <v>6188197.5</v>
      </c>
      <c r="K12" s="1" t="s">
        <v>69</v>
      </c>
    </row>
    <row r="13" spans="1:13" x14ac:dyDescent="0.25">
      <c r="D13" s="2" t="s">
        <v>29</v>
      </c>
      <c r="F13" s="4">
        <f>MAX(K23:K43)-MIN(K23:K43)</f>
        <v>1151250</v>
      </c>
      <c r="G13" s="269">
        <f>MEDIAN(K23:K43)</f>
        <v>7451400</v>
      </c>
      <c r="H13" s="270"/>
      <c r="I13" s="1" t="s">
        <v>30</v>
      </c>
      <c r="J13" s="4">
        <f>+F12*1.1</f>
        <v>8196540.0000000009</v>
      </c>
      <c r="K13" s="1" t="s">
        <v>70</v>
      </c>
    </row>
    <row r="14" spans="1:13" x14ac:dyDescent="0.25">
      <c r="H14" s="11"/>
    </row>
    <row r="15" spans="1:13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3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0.26949152542372884</v>
      </c>
    </row>
    <row r="18" spans="3:15" x14ac:dyDescent="0.25">
      <c r="F18" s="4">
        <f>+F7</f>
        <v>7950000</v>
      </c>
      <c r="G18" s="1" t="s">
        <v>12</v>
      </c>
      <c r="H18" s="11"/>
      <c r="I18" t="s">
        <v>16</v>
      </c>
      <c r="J18" s="7">
        <f>+F8/F18</f>
        <v>0.86487735849056602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0.22919249999999999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1430</v>
      </c>
      <c r="E23" s="33"/>
      <c r="F23" t="s">
        <v>201</v>
      </c>
      <c r="G23" t="s">
        <v>25</v>
      </c>
      <c r="H23">
        <f>RANK(K23,K$23:K$43,1)</f>
        <v>1</v>
      </c>
      <c r="I23" s="4">
        <v>412675</v>
      </c>
      <c r="J23" s="4">
        <v>6463100</v>
      </c>
      <c r="K23" s="4">
        <f>+J23+I23</f>
        <v>6875775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1431</v>
      </c>
      <c r="E24" s="33"/>
      <c r="F24" t="s">
        <v>199</v>
      </c>
      <c r="G24" t="s">
        <v>93</v>
      </c>
      <c r="H24">
        <f>RANK(K24,K$23:K$43,1)</f>
        <v>2</v>
      </c>
      <c r="I24" s="4">
        <v>981025</v>
      </c>
      <c r="J24" s="4">
        <v>7046000</v>
      </c>
      <c r="K24" s="4">
        <f>+J24+I24</f>
        <v>8027025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>IF(H28=1,"u","")</f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3420" priority="35" operator="containsText" text="FAIL">
      <formula>NOT(ISERROR(SEARCH("FAIL",I9)))</formula>
    </cfRule>
  </conditionalFormatting>
  <conditionalFormatting sqref="I9">
    <cfRule type="containsText" dxfId="3419" priority="34" operator="containsText" text="GOOD">
      <formula>NOT(ISERROR(SEARCH("GOOD",I9)))</formula>
    </cfRule>
  </conditionalFormatting>
  <conditionalFormatting sqref="I9">
    <cfRule type="containsText" dxfId="3418" priority="33" operator="containsText" text="FAIL">
      <formula>NOT(ISERROR(SEARCH("FAIL",I9)))</formula>
    </cfRule>
  </conditionalFormatting>
  <conditionalFormatting sqref="I9">
    <cfRule type="containsText" dxfId="3417" priority="32" operator="containsText" text="GOOD">
      <formula>NOT(ISERROR(SEARCH("GOOD",I9)))</formula>
    </cfRule>
  </conditionalFormatting>
  <conditionalFormatting sqref="I9">
    <cfRule type="containsText" dxfId="3416" priority="31" operator="containsText" text="FAIL">
      <formula>NOT(ISERROR(SEARCH("FAIL",I9)))</formula>
    </cfRule>
  </conditionalFormatting>
  <conditionalFormatting sqref="I9">
    <cfRule type="containsText" dxfId="3415" priority="30" operator="containsText" text="GOOD">
      <formula>NOT(ISERROR(SEARCH("GOOD",I9)))</formula>
    </cfRule>
  </conditionalFormatting>
  <conditionalFormatting sqref="F11">
    <cfRule type="containsText" dxfId="3414" priority="29" operator="containsText" text="FAIL">
      <formula>NOT(ISERROR(SEARCH("FAIL",F11)))</formula>
    </cfRule>
  </conditionalFormatting>
  <conditionalFormatting sqref="F11">
    <cfRule type="containsText" dxfId="3413" priority="28" operator="containsText" text="GOOD">
      <formula>NOT(ISERROR(SEARCH("GOOD",F11)))</formula>
    </cfRule>
  </conditionalFormatting>
  <conditionalFormatting sqref="I9">
    <cfRule type="containsText" dxfId="3412" priority="27" operator="containsText" text="FAIL">
      <formula>NOT(ISERROR(SEARCH("FAIL",I9)))</formula>
    </cfRule>
  </conditionalFormatting>
  <conditionalFormatting sqref="I9">
    <cfRule type="containsText" dxfId="3411" priority="26" operator="containsText" text="GOOD">
      <formula>NOT(ISERROR(SEARCH("GOOD",I9)))</formula>
    </cfRule>
  </conditionalFormatting>
  <conditionalFormatting sqref="F11">
    <cfRule type="containsText" dxfId="3410" priority="25" operator="containsText" text="FAIL">
      <formula>NOT(ISERROR(SEARCH("FAIL",F11)))</formula>
    </cfRule>
  </conditionalFormatting>
  <conditionalFormatting sqref="F11">
    <cfRule type="containsText" dxfId="3409" priority="24" operator="containsText" text="GOOD">
      <formula>NOT(ISERROR(SEARCH("GOOD",F11)))</formula>
    </cfRule>
  </conditionalFormatting>
  <conditionalFormatting sqref="D25">
    <cfRule type="expression" dxfId="3408" priority="23" stopIfTrue="1">
      <formula>IF($H$25=1,0)</formula>
    </cfRule>
  </conditionalFormatting>
  <conditionalFormatting sqref="D39:D43 D25:D33">
    <cfRule type="expression" dxfId="3407" priority="22">
      <formula>H25=1</formula>
    </cfRule>
  </conditionalFormatting>
  <conditionalFormatting sqref="C23 C39:C43 C25:C33">
    <cfRule type="expression" dxfId="3406" priority="21">
      <formula>H23=1</formula>
    </cfRule>
  </conditionalFormatting>
  <conditionalFormatting sqref="E39:E43 E25:E33">
    <cfRule type="expression" dxfId="3405" priority="20">
      <formula>H25=1</formula>
    </cfRule>
  </conditionalFormatting>
  <conditionalFormatting sqref="E39:E43 E25:E33">
    <cfRule type="expression" dxfId="3404" priority="19">
      <formula>H25=1</formula>
    </cfRule>
  </conditionalFormatting>
  <conditionalFormatting sqref="F11">
    <cfRule type="containsText" dxfId="3403" priority="18" operator="containsText" text="FAIL">
      <formula>NOT(ISERROR(SEARCH("FAIL",F11)))</formula>
    </cfRule>
  </conditionalFormatting>
  <conditionalFormatting sqref="F11">
    <cfRule type="containsText" dxfId="3402" priority="17" operator="containsText" text="GOOD">
      <formula>NOT(ISERROR(SEARCH("GOOD",F11)))</formula>
    </cfRule>
  </conditionalFormatting>
  <conditionalFormatting sqref="D34:D37">
    <cfRule type="expression" dxfId="3401" priority="16">
      <formula>H34=1</formula>
    </cfRule>
  </conditionalFormatting>
  <conditionalFormatting sqref="C34:C37">
    <cfRule type="expression" dxfId="3400" priority="15">
      <formula>H34=1</formula>
    </cfRule>
  </conditionalFormatting>
  <conditionalFormatting sqref="E34:E37">
    <cfRule type="expression" dxfId="3399" priority="14">
      <formula>H34=1</formula>
    </cfRule>
  </conditionalFormatting>
  <conditionalFormatting sqref="E34:E37">
    <cfRule type="expression" dxfId="3398" priority="13">
      <formula>H34=1</formula>
    </cfRule>
  </conditionalFormatting>
  <conditionalFormatting sqref="D38">
    <cfRule type="expression" dxfId="3397" priority="12">
      <formula>H38=1</formula>
    </cfRule>
  </conditionalFormatting>
  <conditionalFormatting sqref="C38">
    <cfRule type="expression" dxfId="3396" priority="11">
      <formula>H38=1</formula>
    </cfRule>
  </conditionalFormatting>
  <conditionalFormatting sqref="E38">
    <cfRule type="expression" dxfId="3395" priority="10">
      <formula>H38=1</formula>
    </cfRule>
  </conditionalFormatting>
  <conditionalFormatting sqref="E38">
    <cfRule type="expression" dxfId="3394" priority="9">
      <formula>H38=1</formula>
    </cfRule>
  </conditionalFormatting>
  <conditionalFormatting sqref="E24">
    <cfRule type="expression" dxfId="3393" priority="4">
      <formula>H24=1</formula>
    </cfRule>
  </conditionalFormatting>
  <conditionalFormatting sqref="D24">
    <cfRule type="expression" dxfId="3392" priority="8" stopIfTrue="1">
      <formula>IF($H$25=1,0)</formula>
    </cfRule>
  </conditionalFormatting>
  <conditionalFormatting sqref="D24">
    <cfRule type="expression" dxfId="3391" priority="7">
      <formula>H24=1</formula>
    </cfRule>
  </conditionalFormatting>
  <conditionalFormatting sqref="C24">
    <cfRule type="expression" dxfId="3390" priority="6">
      <formula>H24=1</formula>
    </cfRule>
  </conditionalFormatting>
  <conditionalFormatting sqref="E24">
    <cfRule type="expression" dxfId="3389" priority="5">
      <formula>H24=1</formula>
    </cfRule>
  </conditionalFormatting>
  <conditionalFormatting sqref="D23">
    <cfRule type="expression" dxfId="3388" priority="3">
      <formula>H23=1</formula>
    </cfRule>
  </conditionalFormatting>
  <conditionalFormatting sqref="E23">
    <cfRule type="expression" dxfId="3387" priority="2">
      <formula>H23=1</formula>
    </cfRule>
  </conditionalFormatting>
  <conditionalFormatting sqref="E23">
    <cfRule type="expression" dxfId="3386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:O56"/>
  <sheetViews>
    <sheetView zoomScaleNormal="100" workbookViewId="0">
      <selection activeCell="M20" sqref="M20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3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3" ht="18.75" x14ac:dyDescent="0.3">
      <c r="C3" s="3" t="s">
        <v>26</v>
      </c>
      <c r="J3" s="8" t="s">
        <v>47</v>
      </c>
    </row>
    <row r="4" spans="1:13" x14ac:dyDescent="0.25">
      <c r="D4" s="2" t="s">
        <v>0</v>
      </c>
      <c r="E4" s="1"/>
      <c r="F4" t="s">
        <v>1424</v>
      </c>
      <c r="I4" s="2" t="s">
        <v>4</v>
      </c>
      <c r="J4" t="s">
        <v>1425</v>
      </c>
    </row>
    <row r="5" spans="1:13" x14ac:dyDescent="0.25">
      <c r="D5" s="2" t="s">
        <v>1</v>
      </c>
      <c r="F5" t="s">
        <v>1426</v>
      </c>
    </row>
    <row r="6" spans="1:13" x14ac:dyDescent="0.25">
      <c r="D6" s="2" t="s">
        <v>2</v>
      </c>
      <c r="F6" s="6">
        <v>43389</v>
      </c>
      <c r="H6" s="11"/>
    </row>
    <row r="7" spans="1:13" x14ac:dyDescent="0.25">
      <c r="D7" s="2" t="s">
        <v>3</v>
      </c>
      <c r="F7" s="5">
        <f>+I7+J7</f>
        <v>3800000</v>
      </c>
      <c r="G7" s="2" t="s">
        <v>34</v>
      </c>
      <c r="H7" s="11"/>
      <c r="I7" s="19">
        <v>140000</v>
      </c>
      <c r="J7" s="19">
        <v>3660000</v>
      </c>
    </row>
    <row r="8" spans="1:13" x14ac:dyDescent="0.25">
      <c r="D8" s="2" t="s">
        <v>18</v>
      </c>
      <c r="F8" s="5">
        <f>MIN(K23:K43)</f>
        <v>3781700</v>
      </c>
      <c r="H8" s="11"/>
      <c r="I8" s="18" t="s">
        <v>43</v>
      </c>
      <c r="J8" s="18" t="s">
        <v>44</v>
      </c>
    </row>
    <row r="9" spans="1:13" x14ac:dyDescent="0.25">
      <c r="D9" s="2" t="s">
        <v>19</v>
      </c>
      <c r="F9" s="4">
        <f>+F8-F7</f>
        <v>-18300</v>
      </c>
      <c r="G9" s="16">
        <f>+F9/F7</f>
        <v>-4.8157894736842108E-3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3" x14ac:dyDescent="0.25">
      <c r="D10" s="2" t="s">
        <v>68</v>
      </c>
      <c r="F10" s="4">
        <f>+F7-F12</f>
        <v>-948686.375</v>
      </c>
      <c r="H10" s="11"/>
    </row>
    <row r="11" spans="1:13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3" x14ac:dyDescent="0.25">
      <c r="D12" s="2" t="s">
        <v>28</v>
      </c>
      <c r="F12" s="4">
        <f>SUM(K23:K43)/H12</f>
        <v>4748686.375</v>
      </c>
      <c r="G12" s="14"/>
      <c r="H12" s="11">
        <f>COUNT(K23:K43)</f>
        <v>8</v>
      </c>
      <c r="I12" s="1" t="s">
        <v>31</v>
      </c>
      <c r="J12" s="4">
        <f>+F8*0.9</f>
        <v>3403530</v>
      </c>
      <c r="K12" s="1" t="s">
        <v>69</v>
      </c>
    </row>
    <row r="13" spans="1:13" x14ac:dyDescent="0.25">
      <c r="D13" s="2" t="s">
        <v>29</v>
      </c>
      <c r="F13" s="4">
        <f>MAX(K23:K43)-MIN(K23:K43)</f>
        <v>2084000</v>
      </c>
      <c r="G13" s="269">
        <f>MEDIAN(K23:K43)</f>
        <v>4497600</v>
      </c>
      <c r="H13" s="270"/>
      <c r="I13" s="1" t="s">
        <v>30</v>
      </c>
      <c r="J13" s="4">
        <f>+F12*1.1</f>
        <v>5223555.0125000002</v>
      </c>
      <c r="K13" s="1" t="s">
        <v>70</v>
      </c>
    </row>
    <row r="14" spans="1:13" x14ac:dyDescent="0.25">
      <c r="H14" s="11"/>
    </row>
    <row r="15" spans="1:13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3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0.12881355932203389</v>
      </c>
    </row>
    <row r="18" spans="3:15" x14ac:dyDescent="0.25">
      <c r="F18" s="4">
        <f>+F7</f>
        <v>3800000</v>
      </c>
      <c r="G18" s="1" t="s">
        <v>12</v>
      </c>
      <c r="H18" s="11"/>
      <c r="I18" t="s">
        <v>16</v>
      </c>
      <c r="J18" s="7">
        <f>+F8/F18</f>
        <v>0.99518421052631578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0.12605666666666668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450</v>
      </c>
      <c r="E23" s="33"/>
      <c r="F23" t="s">
        <v>451</v>
      </c>
      <c r="G23" t="s">
        <v>25</v>
      </c>
      <c r="H23">
        <f t="shared" ref="H23:H30" si="0">RANK(K23,K$23:K$43,1)</f>
        <v>7</v>
      </c>
      <c r="I23" s="4">
        <v>210990</v>
      </c>
      <c r="J23" s="4">
        <v>5440000</v>
      </c>
      <c r="K23" s="4">
        <f>+J23+I23</f>
        <v>5650990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607</v>
      </c>
      <c r="E24" s="33"/>
      <c r="F24" t="s">
        <v>170</v>
      </c>
      <c r="G24" t="s">
        <v>93</v>
      </c>
      <c r="H24">
        <f t="shared" si="0"/>
        <v>2</v>
      </c>
      <c r="I24" s="4">
        <v>210990</v>
      </c>
      <c r="J24" s="4">
        <v>3815190</v>
      </c>
      <c r="K24" s="4">
        <f t="shared" ref="K24:K30" si="1">+J24+I24</f>
        <v>4026180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874</v>
      </c>
      <c r="E25" s="33"/>
      <c r="F25" t="s">
        <v>532</v>
      </c>
      <c r="G25" t="s">
        <v>93</v>
      </c>
      <c r="H25">
        <f t="shared" si="0"/>
        <v>5</v>
      </c>
      <c r="I25" s="4">
        <v>390000</v>
      </c>
      <c r="J25" s="4">
        <v>4372000</v>
      </c>
      <c r="K25" s="4">
        <f t="shared" si="1"/>
        <v>4762000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11" t="s">
        <v>1427</v>
      </c>
      <c r="E26" s="33"/>
      <c r="F26" t="s">
        <v>147</v>
      </c>
      <c r="G26" t="s">
        <v>93</v>
      </c>
      <c r="H26">
        <f t="shared" si="0"/>
        <v>8</v>
      </c>
      <c r="I26" s="4">
        <v>1365000</v>
      </c>
      <c r="J26" s="4">
        <v>4500700</v>
      </c>
      <c r="K26" s="4">
        <f t="shared" si="1"/>
        <v>5865700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11" t="s">
        <v>968</v>
      </c>
      <c r="E27" s="33"/>
      <c r="F27" t="s">
        <v>203</v>
      </c>
      <c r="G27" t="s">
        <v>204</v>
      </c>
      <c r="H27">
        <f t="shared" si="0"/>
        <v>3</v>
      </c>
      <c r="I27" s="4">
        <v>191100</v>
      </c>
      <c r="J27" s="4">
        <v>3880282</v>
      </c>
      <c r="K27" s="4">
        <f t="shared" si="1"/>
        <v>4071382</v>
      </c>
      <c r="L27" s="4"/>
      <c r="M27" s="22"/>
      <c r="N27" s="22"/>
      <c r="O27" s="22"/>
    </row>
    <row r="28" spans="3:15" x14ac:dyDescent="0.25">
      <c r="C28" s="33" t="str">
        <f>IF(H28=1,"u","")</f>
        <v>u</v>
      </c>
      <c r="D28" s="11" t="s">
        <v>502</v>
      </c>
      <c r="E28" s="33"/>
      <c r="F28" t="s">
        <v>95</v>
      </c>
      <c r="G28" t="s">
        <v>93</v>
      </c>
      <c r="H28">
        <f t="shared" si="0"/>
        <v>1</v>
      </c>
      <c r="I28" s="4">
        <v>171600</v>
      </c>
      <c r="J28" s="4">
        <v>3610100</v>
      </c>
      <c r="K28" s="4">
        <f t="shared" si="1"/>
        <v>3781700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11" t="s">
        <v>1103</v>
      </c>
      <c r="E29" s="33"/>
      <c r="F29" t="s">
        <v>92</v>
      </c>
      <c r="G29" t="s">
        <v>93</v>
      </c>
      <c r="H29">
        <f t="shared" si="0"/>
        <v>4</v>
      </c>
      <c r="I29" s="4">
        <v>285000</v>
      </c>
      <c r="J29" s="4">
        <v>3948200</v>
      </c>
      <c r="K29" s="4">
        <f t="shared" si="1"/>
        <v>4233200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11" t="s">
        <v>665</v>
      </c>
      <c r="E30" s="33"/>
      <c r="F30" t="s">
        <v>413</v>
      </c>
      <c r="G30" t="s">
        <v>93</v>
      </c>
      <c r="H30">
        <f t="shared" si="0"/>
        <v>6</v>
      </c>
      <c r="I30" s="4">
        <v>273000</v>
      </c>
      <c r="J30" s="4">
        <v>5325339</v>
      </c>
      <c r="K30" s="4">
        <f t="shared" si="1"/>
        <v>5598339</v>
      </c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3385" priority="35" operator="containsText" text="FAIL">
      <formula>NOT(ISERROR(SEARCH("FAIL",I9)))</formula>
    </cfRule>
  </conditionalFormatting>
  <conditionalFormatting sqref="I9">
    <cfRule type="containsText" dxfId="3384" priority="34" operator="containsText" text="GOOD">
      <formula>NOT(ISERROR(SEARCH("GOOD",I9)))</formula>
    </cfRule>
  </conditionalFormatting>
  <conditionalFormatting sqref="I9">
    <cfRule type="containsText" dxfId="3383" priority="33" operator="containsText" text="FAIL">
      <formula>NOT(ISERROR(SEARCH("FAIL",I9)))</formula>
    </cfRule>
  </conditionalFormatting>
  <conditionalFormatting sqref="I9">
    <cfRule type="containsText" dxfId="3382" priority="32" operator="containsText" text="GOOD">
      <formula>NOT(ISERROR(SEARCH("GOOD",I9)))</formula>
    </cfRule>
  </conditionalFormatting>
  <conditionalFormatting sqref="I9">
    <cfRule type="containsText" dxfId="3381" priority="31" operator="containsText" text="FAIL">
      <formula>NOT(ISERROR(SEARCH("FAIL",I9)))</formula>
    </cfRule>
  </conditionalFormatting>
  <conditionalFormatting sqref="I9">
    <cfRule type="containsText" dxfId="3380" priority="30" operator="containsText" text="GOOD">
      <formula>NOT(ISERROR(SEARCH("GOOD",I9)))</formula>
    </cfRule>
  </conditionalFormatting>
  <conditionalFormatting sqref="F11">
    <cfRule type="containsText" dxfId="3379" priority="29" operator="containsText" text="FAIL">
      <formula>NOT(ISERROR(SEARCH("FAIL",F11)))</formula>
    </cfRule>
  </conditionalFormatting>
  <conditionalFormatting sqref="F11">
    <cfRule type="containsText" dxfId="3378" priority="28" operator="containsText" text="GOOD">
      <formula>NOT(ISERROR(SEARCH("GOOD",F11)))</formula>
    </cfRule>
  </conditionalFormatting>
  <conditionalFormatting sqref="I9">
    <cfRule type="containsText" dxfId="3377" priority="27" operator="containsText" text="FAIL">
      <formula>NOT(ISERROR(SEARCH("FAIL",I9)))</formula>
    </cfRule>
  </conditionalFormatting>
  <conditionalFormatting sqref="I9">
    <cfRule type="containsText" dxfId="3376" priority="26" operator="containsText" text="GOOD">
      <formula>NOT(ISERROR(SEARCH("GOOD",I9)))</formula>
    </cfRule>
  </conditionalFormatting>
  <conditionalFormatting sqref="F11">
    <cfRule type="containsText" dxfId="3375" priority="25" operator="containsText" text="FAIL">
      <formula>NOT(ISERROR(SEARCH("FAIL",F11)))</formula>
    </cfRule>
  </conditionalFormatting>
  <conditionalFormatting sqref="F11">
    <cfRule type="containsText" dxfId="3374" priority="24" operator="containsText" text="GOOD">
      <formula>NOT(ISERROR(SEARCH("GOOD",F11)))</formula>
    </cfRule>
  </conditionalFormatting>
  <conditionalFormatting sqref="D25">
    <cfRule type="expression" dxfId="3373" priority="23" stopIfTrue="1">
      <formula>IF($H$25=1,0)</formula>
    </cfRule>
  </conditionalFormatting>
  <conditionalFormatting sqref="D39:D43 D25:D33">
    <cfRule type="expression" dxfId="3372" priority="22">
      <formula>H25=1</formula>
    </cfRule>
  </conditionalFormatting>
  <conditionalFormatting sqref="C23 C39:C43 C25:C33">
    <cfRule type="expression" dxfId="3371" priority="21">
      <formula>H23=1</formula>
    </cfRule>
  </conditionalFormatting>
  <conditionalFormatting sqref="E39:E43 E25:E33">
    <cfRule type="expression" dxfId="3370" priority="20">
      <formula>H25=1</formula>
    </cfRule>
  </conditionalFormatting>
  <conditionalFormatting sqref="E39:E43 E25:E33">
    <cfRule type="expression" dxfId="3369" priority="19">
      <formula>H25=1</formula>
    </cfRule>
  </conditionalFormatting>
  <conditionalFormatting sqref="F11">
    <cfRule type="containsText" dxfId="3368" priority="18" operator="containsText" text="FAIL">
      <formula>NOT(ISERROR(SEARCH("FAIL",F11)))</formula>
    </cfRule>
  </conditionalFormatting>
  <conditionalFormatting sqref="F11">
    <cfRule type="containsText" dxfId="3367" priority="17" operator="containsText" text="GOOD">
      <formula>NOT(ISERROR(SEARCH("GOOD",F11)))</formula>
    </cfRule>
  </conditionalFormatting>
  <conditionalFormatting sqref="D34:D37">
    <cfRule type="expression" dxfId="3366" priority="16">
      <formula>H34=1</formula>
    </cfRule>
  </conditionalFormatting>
  <conditionalFormatting sqref="C34:C37">
    <cfRule type="expression" dxfId="3365" priority="15">
      <formula>H34=1</formula>
    </cfRule>
  </conditionalFormatting>
  <conditionalFormatting sqref="E34:E37">
    <cfRule type="expression" dxfId="3364" priority="14">
      <formula>H34=1</formula>
    </cfRule>
  </conditionalFormatting>
  <conditionalFormatting sqref="E34:E37">
    <cfRule type="expression" dxfId="3363" priority="13">
      <formula>H34=1</formula>
    </cfRule>
  </conditionalFormatting>
  <conditionalFormatting sqref="D38">
    <cfRule type="expression" dxfId="3362" priority="12">
      <formula>H38=1</formula>
    </cfRule>
  </conditionalFormatting>
  <conditionalFormatting sqref="C38">
    <cfRule type="expression" dxfId="3361" priority="11">
      <formula>H38=1</formula>
    </cfRule>
  </conditionalFormatting>
  <conditionalFormatting sqref="E38">
    <cfRule type="expression" dxfId="3360" priority="10">
      <formula>H38=1</formula>
    </cfRule>
  </conditionalFormatting>
  <conditionalFormatting sqref="E38">
    <cfRule type="expression" dxfId="3359" priority="9">
      <formula>H38=1</formula>
    </cfRule>
  </conditionalFormatting>
  <conditionalFormatting sqref="E24">
    <cfRule type="expression" dxfId="3358" priority="4">
      <formula>H24=1</formula>
    </cfRule>
  </conditionalFormatting>
  <conditionalFormatting sqref="D24">
    <cfRule type="expression" dxfId="3357" priority="8" stopIfTrue="1">
      <formula>IF($H$25=1,0)</formula>
    </cfRule>
  </conditionalFormatting>
  <conditionalFormatting sqref="D24">
    <cfRule type="expression" dxfId="3356" priority="7">
      <formula>H24=1</formula>
    </cfRule>
  </conditionalFormatting>
  <conditionalFormatting sqref="C24">
    <cfRule type="expression" dxfId="3355" priority="6">
      <formula>H24=1</formula>
    </cfRule>
  </conditionalFormatting>
  <conditionalFormatting sqref="E24">
    <cfRule type="expression" dxfId="3354" priority="5">
      <formula>H24=1</formula>
    </cfRule>
  </conditionalFormatting>
  <conditionalFormatting sqref="D23">
    <cfRule type="expression" dxfId="3353" priority="3">
      <formula>H23=1</formula>
    </cfRule>
  </conditionalFormatting>
  <conditionalFormatting sqref="E23">
    <cfRule type="expression" dxfId="3352" priority="2">
      <formula>H23=1</formula>
    </cfRule>
  </conditionalFormatting>
  <conditionalFormatting sqref="E23">
    <cfRule type="expression" dxfId="3351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</sheetPr>
  <dimension ref="A2:P47"/>
  <sheetViews>
    <sheetView zoomScaleNormal="100" workbookViewId="0">
      <selection activeCell="N32" sqref="N32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1423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717</v>
      </c>
    </row>
    <row r="6" spans="1:16" x14ac:dyDescent="0.25">
      <c r="D6" s="2" t="s">
        <v>2</v>
      </c>
      <c r="F6" s="6">
        <v>43383</v>
      </c>
      <c r="H6" s="11"/>
    </row>
    <row r="7" spans="1:16" x14ac:dyDescent="0.25">
      <c r="D7" s="2" t="s">
        <v>3</v>
      </c>
      <c r="F7" s="5">
        <v>1790000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2498500</v>
      </c>
      <c r="H8" s="11"/>
    </row>
    <row r="9" spans="1:16" x14ac:dyDescent="0.25">
      <c r="D9" s="2" t="s">
        <v>67</v>
      </c>
      <c r="F9" s="4">
        <f>+F8-F7</f>
        <v>708500</v>
      </c>
      <c r="G9" s="16">
        <f>+F9/F7</f>
        <v>0.39581005586592177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-708500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2498500</v>
      </c>
      <c r="G12" s="14"/>
      <c r="H12" s="11">
        <f>COUNT(I23:I43)</f>
        <v>1</v>
      </c>
      <c r="I12" s="1" t="s">
        <v>31</v>
      </c>
      <c r="J12" s="4">
        <f>+F8*0.9</f>
        <v>2248650</v>
      </c>
      <c r="K12" s="1" t="s">
        <v>69</v>
      </c>
    </row>
    <row r="13" spans="1:16" x14ac:dyDescent="0.25">
      <c r="D13" s="2" t="s">
        <v>29</v>
      </c>
      <c r="F13" s="4">
        <f>MAX(I23:I43)-MIN(I23:I43)</f>
        <v>0</v>
      </c>
      <c r="G13" s="269">
        <f>MEDIAN(I23:I43)</f>
        <v>2498500</v>
      </c>
      <c r="H13" s="270"/>
      <c r="I13" s="1" t="s">
        <v>30</v>
      </c>
      <c r="J13" s="4">
        <f>+F12*1.1</f>
        <v>2748350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676</v>
      </c>
      <c r="E23" s="33"/>
      <c r="F23" t="s">
        <v>381</v>
      </c>
      <c r="G23" t="s">
        <v>93</v>
      </c>
      <c r="H23">
        <f>RANK(I23,I$23:I$43,1)</f>
        <v>1</v>
      </c>
      <c r="I23" s="4">
        <v>2498500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/>
      <c r="E24" s="33"/>
      <c r="I24" s="4"/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350" priority="18" operator="containsText" text="FAIL">
      <formula>NOT(ISERROR(SEARCH("FAIL",I9)))</formula>
    </cfRule>
  </conditionalFormatting>
  <conditionalFormatting sqref="I9">
    <cfRule type="containsText" dxfId="3349" priority="17" operator="containsText" text="GOOD">
      <formula>NOT(ISERROR(SEARCH("GOOD",I9)))</formula>
    </cfRule>
  </conditionalFormatting>
  <conditionalFormatting sqref="F11">
    <cfRule type="containsText" dxfId="3348" priority="16" operator="containsText" text="FAIL">
      <formula>NOT(ISERROR(SEARCH("FAIL",F11)))</formula>
    </cfRule>
  </conditionalFormatting>
  <conditionalFormatting sqref="F11">
    <cfRule type="containsText" dxfId="3347" priority="15" operator="containsText" text="GOOD">
      <formula>NOT(ISERROR(SEARCH("GOOD",F11)))</formula>
    </cfRule>
  </conditionalFormatting>
  <conditionalFormatting sqref="D23 D29:D43">
    <cfRule type="expression" dxfId="3346" priority="14">
      <formula>H23=1</formula>
    </cfRule>
  </conditionalFormatting>
  <conditionalFormatting sqref="C29:C43 C23:C26">
    <cfRule type="expression" dxfId="3345" priority="13">
      <formula>H23=1</formula>
    </cfRule>
  </conditionalFormatting>
  <conditionalFormatting sqref="E23 E29:E43">
    <cfRule type="expression" dxfId="3344" priority="12">
      <formula>H23=1</formula>
    </cfRule>
  </conditionalFormatting>
  <conditionalFormatting sqref="F11">
    <cfRule type="containsText" dxfId="3343" priority="11" operator="containsText" text="FAIL">
      <formula>NOT(ISERROR(SEARCH("FAIL",F11)))</formula>
    </cfRule>
  </conditionalFormatting>
  <conditionalFormatting sqref="F11">
    <cfRule type="containsText" dxfId="3342" priority="10" operator="containsText" text="GOOD">
      <formula>NOT(ISERROR(SEARCH("GOOD",F11)))</formula>
    </cfRule>
  </conditionalFormatting>
  <conditionalFormatting sqref="D28">
    <cfRule type="expression" dxfId="3341" priority="9">
      <formula>H28=1</formula>
    </cfRule>
  </conditionalFormatting>
  <conditionalFormatting sqref="C27:C28">
    <cfRule type="expression" dxfId="3340" priority="8">
      <formula>H27=1</formula>
    </cfRule>
  </conditionalFormatting>
  <conditionalFormatting sqref="E28">
    <cfRule type="expression" dxfId="3339" priority="7">
      <formula>H28=1</formula>
    </cfRule>
  </conditionalFormatting>
  <conditionalFormatting sqref="D24">
    <cfRule type="expression" dxfId="3338" priority="6">
      <formula>H24=1</formula>
    </cfRule>
  </conditionalFormatting>
  <conditionalFormatting sqref="E24">
    <cfRule type="expression" dxfId="3337" priority="5">
      <formula>H24=1</formula>
    </cfRule>
  </conditionalFormatting>
  <conditionalFormatting sqref="D26:D27">
    <cfRule type="expression" dxfId="3336" priority="4">
      <formula>H26=1</formula>
    </cfRule>
  </conditionalFormatting>
  <conditionalFormatting sqref="E26:E27">
    <cfRule type="expression" dxfId="3335" priority="3">
      <formula>H26=1</formula>
    </cfRule>
  </conditionalFormatting>
  <conditionalFormatting sqref="E25">
    <cfRule type="expression" dxfId="3334" priority="1">
      <formula>H25=1</formula>
    </cfRule>
  </conditionalFormatting>
  <conditionalFormatting sqref="D25">
    <cfRule type="expression" dxfId="3333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:O56"/>
  <sheetViews>
    <sheetView zoomScaleNormal="100" workbookViewId="0">
      <selection activeCell="G8" sqref="G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3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3" ht="18.75" x14ac:dyDescent="0.3">
      <c r="C3" s="3" t="s">
        <v>26</v>
      </c>
      <c r="J3" s="8" t="s">
        <v>47</v>
      </c>
    </row>
    <row r="4" spans="1:13" x14ac:dyDescent="0.25">
      <c r="D4" s="2" t="s">
        <v>0</v>
      </c>
      <c r="E4" s="1"/>
      <c r="F4" t="s">
        <v>1420</v>
      </c>
      <c r="I4" s="2" t="s">
        <v>4</v>
      </c>
      <c r="J4" t="s">
        <v>784</v>
      </c>
    </row>
    <row r="5" spans="1:13" x14ac:dyDescent="0.25">
      <c r="D5" s="2" t="s">
        <v>1</v>
      </c>
      <c r="F5" t="s">
        <v>1421</v>
      </c>
    </row>
    <row r="6" spans="1:13" x14ac:dyDescent="0.25">
      <c r="D6" s="2" t="s">
        <v>2</v>
      </c>
      <c r="F6" s="6">
        <v>43382</v>
      </c>
      <c r="H6" s="11"/>
    </row>
    <row r="7" spans="1:13" x14ac:dyDescent="0.25">
      <c r="D7" s="2" t="s">
        <v>3</v>
      </c>
      <c r="F7" s="5">
        <f>+I7+J7</f>
        <v>1130000</v>
      </c>
      <c r="G7" s="2" t="s">
        <v>34</v>
      </c>
      <c r="H7" s="11"/>
      <c r="I7" s="19">
        <v>629000</v>
      </c>
      <c r="J7" s="19">
        <v>501000</v>
      </c>
    </row>
    <row r="8" spans="1:13" x14ac:dyDescent="0.25">
      <c r="D8" s="2" t="s">
        <v>18</v>
      </c>
      <c r="F8" s="5">
        <f>MIN(K23:K43)</f>
        <v>1383700</v>
      </c>
      <c r="H8" s="11"/>
      <c r="I8" s="18" t="s">
        <v>43</v>
      </c>
      <c r="J8" s="18" t="s">
        <v>44</v>
      </c>
    </row>
    <row r="9" spans="1:13" x14ac:dyDescent="0.25">
      <c r="D9" s="2" t="s">
        <v>19</v>
      </c>
      <c r="F9" s="4">
        <f>+F8-F7</f>
        <v>253700</v>
      </c>
      <c r="G9" s="16">
        <f>+F9/F7</f>
        <v>0.22451327433628318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3" x14ac:dyDescent="0.25">
      <c r="D10" s="2" t="s">
        <v>68</v>
      </c>
      <c r="F10" s="4">
        <f>+F7-F12</f>
        <v>-642637.5</v>
      </c>
      <c r="H10" s="11"/>
    </row>
    <row r="11" spans="1:13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3" x14ac:dyDescent="0.25">
      <c r="D12" s="2" t="s">
        <v>28</v>
      </c>
      <c r="F12" s="4">
        <f>SUM(K23:K43)/H12</f>
        <v>1772637.5</v>
      </c>
      <c r="G12" s="14"/>
      <c r="H12" s="11">
        <f>COUNT(K23:K43)</f>
        <v>4</v>
      </c>
      <c r="I12" s="1" t="s">
        <v>31</v>
      </c>
      <c r="J12" s="4">
        <f>+F8*0.9</f>
        <v>1245330</v>
      </c>
      <c r="K12" s="1" t="s">
        <v>69</v>
      </c>
    </row>
    <row r="13" spans="1:13" x14ac:dyDescent="0.25">
      <c r="D13" s="2" t="s">
        <v>29</v>
      </c>
      <c r="F13" s="4">
        <f>MAX(K23:K43)-MIN(K23:K43)</f>
        <v>965900</v>
      </c>
      <c r="G13" s="269">
        <f>MEDIAN(K23:K43)</f>
        <v>1678625</v>
      </c>
      <c r="H13" s="270"/>
      <c r="I13" s="1" t="s">
        <v>30</v>
      </c>
      <c r="J13" s="4">
        <f>+F12*1.1</f>
        <v>1949901.2500000002</v>
      </c>
      <c r="K13" s="1" t="s">
        <v>70</v>
      </c>
    </row>
    <row r="14" spans="1:13" x14ac:dyDescent="0.25">
      <c r="H14" s="11"/>
    </row>
    <row r="15" spans="1:13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3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3.8305084745762712E-2</v>
      </c>
    </row>
    <row r="18" spans="3:15" x14ac:dyDescent="0.25">
      <c r="F18" s="4">
        <f>+F7</f>
        <v>1130000</v>
      </c>
      <c r="G18" s="1" t="s">
        <v>12</v>
      </c>
      <c r="H18" s="11"/>
      <c r="I18" t="s">
        <v>16</v>
      </c>
      <c r="J18" s="7">
        <f>+F8/F18</f>
        <v>1.2245132743362832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4.6123333333333336E-2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1422</v>
      </c>
      <c r="E23" s="33"/>
      <c r="F23" t="s">
        <v>1073</v>
      </c>
      <c r="G23" t="s">
        <v>25</v>
      </c>
      <c r="H23">
        <f>RANK(K23,K$23:K$43,1)</f>
        <v>4</v>
      </c>
      <c r="I23" s="4">
        <v>949000</v>
      </c>
      <c r="J23" s="4">
        <v>1400600</v>
      </c>
      <c r="K23" s="4">
        <f>+J23+I23</f>
        <v>2349600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485</v>
      </c>
      <c r="E24" s="33"/>
      <c r="F24" t="s">
        <v>486</v>
      </c>
      <c r="G24" t="s">
        <v>25</v>
      </c>
      <c r="H24">
        <f>RANK(K24,K$23:K$43,1)</f>
        <v>2</v>
      </c>
      <c r="I24" s="4">
        <v>1069500</v>
      </c>
      <c r="J24" s="4">
        <v>460000</v>
      </c>
      <c r="K24" s="4">
        <f>+J24+I24</f>
        <v>1529500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1074</v>
      </c>
      <c r="E25" s="33"/>
      <c r="F25" t="s">
        <v>131</v>
      </c>
      <c r="G25" t="s">
        <v>25</v>
      </c>
      <c r="H25">
        <f>RANK(K25,K$23:K$43,1)</f>
        <v>3</v>
      </c>
      <c r="I25" s="4">
        <v>920750</v>
      </c>
      <c r="J25" s="4">
        <v>907000</v>
      </c>
      <c r="K25" s="4">
        <f>+J25+I25</f>
        <v>1827750</v>
      </c>
      <c r="L25" s="4"/>
      <c r="M25" s="22"/>
      <c r="N25" s="22"/>
      <c r="O25" s="22"/>
    </row>
    <row r="26" spans="3:15" x14ac:dyDescent="0.25">
      <c r="C26" s="33" t="str">
        <f t="shared" ref="C26:C43" si="0">IF(H26=1,"u","")</f>
        <v>u</v>
      </c>
      <c r="D26" s="11" t="s">
        <v>513</v>
      </c>
      <c r="E26" s="33"/>
      <c r="F26" t="s">
        <v>397</v>
      </c>
      <c r="G26" t="s">
        <v>25</v>
      </c>
      <c r="H26">
        <f>RANK(K26,K$23:K$43,1)</f>
        <v>1</v>
      </c>
      <c r="I26" s="4">
        <v>149700</v>
      </c>
      <c r="J26" s="4">
        <v>1234000</v>
      </c>
      <c r="K26" s="4">
        <f>+J26+I26</f>
        <v>1383700</v>
      </c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>IF(H28=1,"u","")</f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3332" priority="35" operator="containsText" text="FAIL">
      <formula>NOT(ISERROR(SEARCH("FAIL",I9)))</formula>
    </cfRule>
  </conditionalFormatting>
  <conditionalFormatting sqref="I9">
    <cfRule type="containsText" dxfId="3331" priority="34" operator="containsText" text="GOOD">
      <formula>NOT(ISERROR(SEARCH("GOOD",I9)))</formula>
    </cfRule>
  </conditionalFormatting>
  <conditionalFormatting sqref="I9">
    <cfRule type="containsText" dxfId="3330" priority="33" operator="containsText" text="FAIL">
      <formula>NOT(ISERROR(SEARCH("FAIL",I9)))</formula>
    </cfRule>
  </conditionalFormatting>
  <conditionalFormatting sqref="I9">
    <cfRule type="containsText" dxfId="3329" priority="32" operator="containsText" text="GOOD">
      <formula>NOT(ISERROR(SEARCH("GOOD",I9)))</formula>
    </cfRule>
  </conditionalFormatting>
  <conditionalFormatting sqref="I9">
    <cfRule type="containsText" dxfId="3328" priority="31" operator="containsText" text="FAIL">
      <formula>NOT(ISERROR(SEARCH("FAIL",I9)))</formula>
    </cfRule>
  </conditionalFormatting>
  <conditionalFormatting sqref="I9">
    <cfRule type="containsText" dxfId="3327" priority="30" operator="containsText" text="GOOD">
      <formula>NOT(ISERROR(SEARCH("GOOD",I9)))</formula>
    </cfRule>
  </conditionalFormatting>
  <conditionalFormatting sqref="F11">
    <cfRule type="containsText" dxfId="3326" priority="29" operator="containsText" text="FAIL">
      <formula>NOT(ISERROR(SEARCH("FAIL",F11)))</formula>
    </cfRule>
  </conditionalFormatting>
  <conditionalFormatting sqref="F11">
    <cfRule type="containsText" dxfId="3325" priority="28" operator="containsText" text="GOOD">
      <formula>NOT(ISERROR(SEARCH("GOOD",F11)))</formula>
    </cfRule>
  </conditionalFormatting>
  <conditionalFormatting sqref="I9">
    <cfRule type="containsText" dxfId="3324" priority="27" operator="containsText" text="FAIL">
      <formula>NOT(ISERROR(SEARCH("FAIL",I9)))</formula>
    </cfRule>
  </conditionalFormatting>
  <conditionalFormatting sqref="I9">
    <cfRule type="containsText" dxfId="3323" priority="26" operator="containsText" text="GOOD">
      <formula>NOT(ISERROR(SEARCH("GOOD",I9)))</formula>
    </cfRule>
  </conditionalFormatting>
  <conditionalFormatting sqref="F11">
    <cfRule type="containsText" dxfId="3322" priority="25" operator="containsText" text="FAIL">
      <formula>NOT(ISERROR(SEARCH("FAIL",F11)))</formula>
    </cfRule>
  </conditionalFormatting>
  <conditionalFormatting sqref="F11">
    <cfRule type="containsText" dxfId="3321" priority="24" operator="containsText" text="GOOD">
      <formula>NOT(ISERROR(SEARCH("GOOD",F11)))</formula>
    </cfRule>
  </conditionalFormatting>
  <conditionalFormatting sqref="D25">
    <cfRule type="expression" dxfId="3320" priority="23" stopIfTrue="1">
      <formula>IF($H$25=1,0)</formula>
    </cfRule>
  </conditionalFormatting>
  <conditionalFormatting sqref="D39:D43 D25:D33">
    <cfRule type="expression" dxfId="3319" priority="22">
      <formula>H25=1</formula>
    </cfRule>
  </conditionalFormatting>
  <conditionalFormatting sqref="C23 C39:C43 C25:C33">
    <cfRule type="expression" dxfId="3318" priority="21">
      <formula>H23=1</formula>
    </cfRule>
  </conditionalFormatting>
  <conditionalFormatting sqref="E39:E43 E25:E33">
    <cfRule type="expression" dxfId="3317" priority="20">
      <formula>H25=1</formula>
    </cfRule>
  </conditionalFormatting>
  <conditionalFormatting sqref="E39:E43 E25:E33">
    <cfRule type="expression" dxfId="3316" priority="19">
      <formula>H25=1</formula>
    </cfRule>
  </conditionalFormatting>
  <conditionalFormatting sqref="F11">
    <cfRule type="containsText" dxfId="3315" priority="18" operator="containsText" text="FAIL">
      <formula>NOT(ISERROR(SEARCH("FAIL",F11)))</formula>
    </cfRule>
  </conditionalFormatting>
  <conditionalFormatting sqref="F11">
    <cfRule type="containsText" dxfId="3314" priority="17" operator="containsText" text="GOOD">
      <formula>NOT(ISERROR(SEARCH("GOOD",F11)))</formula>
    </cfRule>
  </conditionalFormatting>
  <conditionalFormatting sqref="D34:D37">
    <cfRule type="expression" dxfId="3313" priority="16">
      <formula>H34=1</formula>
    </cfRule>
  </conditionalFormatting>
  <conditionalFormatting sqref="C34:C37">
    <cfRule type="expression" dxfId="3312" priority="15">
      <formula>H34=1</formula>
    </cfRule>
  </conditionalFormatting>
  <conditionalFormatting sqref="E34:E37">
    <cfRule type="expression" dxfId="3311" priority="14">
      <formula>H34=1</formula>
    </cfRule>
  </conditionalFormatting>
  <conditionalFormatting sqref="E34:E37">
    <cfRule type="expression" dxfId="3310" priority="13">
      <formula>H34=1</formula>
    </cfRule>
  </conditionalFormatting>
  <conditionalFormatting sqref="D38">
    <cfRule type="expression" dxfId="3309" priority="12">
      <formula>H38=1</formula>
    </cfRule>
  </conditionalFormatting>
  <conditionalFormatting sqref="C38">
    <cfRule type="expression" dxfId="3308" priority="11">
      <formula>H38=1</formula>
    </cfRule>
  </conditionalFormatting>
  <conditionalFormatting sqref="E38">
    <cfRule type="expression" dxfId="3307" priority="10">
      <formula>H38=1</formula>
    </cfRule>
  </conditionalFormatting>
  <conditionalFormatting sqref="E38">
    <cfRule type="expression" dxfId="3306" priority="9">
      <formula>H38=1</formula>
    </cfRule>
  </conditionalFormatting>
  <conditionalFormatting sqref="E24">
    <cfRule type="expression" dxfId="3305" priority="4">
      <formula>H24=1</formula>
    </cfRule>
  </conditionalFormatting>
  <conditionalFormatting sqref="D24">
    <cfRule type="expression" dxfId="3304" priority="8" stopIfTrue="1">
      <formula>IF($H$25=1,0)</formula>
    </cfRule>
  </conditionalFormatting>
  <conditionalFormatting sqref="D24">
    <cfRule type="expression" dxfId="3303" priority="7">
      <formula>H24=1</formula>
    </cfRule>
  </conditionalFormatting>
  <conditionalFormatting sqref="C24">
    <cfRule type="expression" dxfId="3302" priority="6">
      <formula>H24=1</formula>
    </cfRule>
  </conditionalFormatting>
  <conditionalFormatting sqref="E24">
    <cfRule type="expression" dxfId="3301" priority="5">
      <formula>H24=1</formula>
    </cfRule>
  </conditionalFormatting>
  <conditionalFormatting sqref="D23">
    <cfRule type="expression" dxfId="3300" priority="3">
      <formula>H23=1</formula>
    </cfRule>
  </conditionalFormatting>
  <conditionalFormatting sqref="E23">
    <cfRule type="expression" dxfId="3299" priority="2">
      <formula>H23=1</formula>
    </cfRule>
  </conditionalFormatting>
  <conditionalFormatting sqref="E23">
    <cfRule type="expression" dxfId="3298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:P47"/>
  <sheetViews>
    <sheetView zoomScaleNormal="100" workbookViewId="0">
      <selection activeCell="K27" sqref="K2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1417</v>
      </c>
      <c r="I4" s="2" t="s">
        <v>4</v>
      </c>
      <c r="J4" t="s">
        <v>1418</v>
      </c>
    </row>
    <row r="5" spans="1:16" x14ac:dyDescent="0.25">
      <c r="D5" s="2" t="s">
        <v>1</v>
      </c>
      <c r="F5" t="s">
        <v>1419</v>
      </c>
    </row>
    <row r="6" spans="1:16" x14ac:dyDescent="0.25">
      <c r="D6" s="2" t="s">
        <v>2</v>
      </c>
      <c r="F6" s="6">
        <v>43382</v>
      </c>
      <c r="H6" s="11"/>
    </row>
    <row r="7" spans="1:16" x14ac:dyDescent="0.25">
      <c r="D7" s="2" t="s">
        <v>3</v>
      </c>
      <c r="F7" s="5">
        <v>1186000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3200000</v>
      </c>
      <c r="H8" s="11"/>
    </row>
    <row r="9" spans="1:16" x14ac:dyDescent="0.25">
      <c r="D9" s="2" t="s">
        <v>67</v>
      </c>
      <c r="F9" s="4">
        <f>+F8-F7</f>
        <v>2014000</v>
      </c>
      <c r="G9" s="16">
        <f>+F9/F7</f>
        <v>1.6981450252951096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-2658059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3844059</v>
      </c>
      <c r="G12" s="14"/>
      <c r="H12" s="11">
        <f>COUNT(I23:I43)</f>
        <v>3</v>
      </c>
      <c r="I12" s="1" t="s">
        <v>31</v>
      </c>
      <c r="J12" s="4">
        <f>+F8*0.9</f>
        <v>2880000</v>
      </c>
      <c r="K12" s="1" t="s">
        <v>69</v>
      </c>
    </row>
    <row r="13" spans="1:16" x14ac:dyDescent="0.25">
      <c r="D13" s="2" t="s">
        <v>29</v>
      </c>
      <c r="F13" s="4">
        <f>MAX(I23:I43)-MIN(I23:I43)</f>
        <v>1142450</v>
      </c>
      <c r="G13" s="269">
        <f>MEDIAN(I23:I43)</f>
        <v>3989727</v>
      </c>
      <c r="H13" s="270"/>
      <c r="I13" s="1" t="s">
        <v>30</v>
      </c>
      <c r="J13" s="4">
        <f>+F12*1.1</f>
        <v>4228464.9000000004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895</v>
      </c>
      <c r="E23" s="33"/>
      <c r="F23" t="s">
        <v>95</v>
      </c>
      <c r="G23" t="s">
        <v>93</v>
      </c>
      <c r="H23">
        <f>RANK(I23,I$23:I$43,1)</f>
        <v>2</v>
      </c>
      <c r="I23" s="4">
        <v>3989727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725</v>
      </c>
      <c r="E24" s="33"/>
      <c r="F24" t="s">
        <v>594</v>
      </c>
      <c r="G24" t="s">
        <v>25</v>
      </c>
      <c r="H24">
        <f>RANK(I24,I$23:I$43,1)</f>
        <v>1</v>
      </c>
      <c r="I24" s="4">
        <v>3200000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1054</v>
      </c>
      <c r="E25" s="33"/>
      <c r="F25" t="s">
        <v>1055</v>
      </c>
      <c r="G25" t="s">
        <v>93</v>
      </c>
      <c r="H25">
        <f>RANK(I25,I$23:I$43,1)</f>
        <v>3</v>
      </c>
      <c r="I25" s="4">
        <v>4342450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297" priority="18" operator="containsText" text="FAIL">
      <formula>NOT(ISERROR(SEARCH("FAIL",I9)))</formula>
    </cfRule>
  </conditionalFormatting>
  <conditionalFormatting sqref="I9">
    <cfRule type="containsText" dxfId="3296" priority="17" operator="containsText" text="GOOD">
      <formula>NOT(ISERROR(SEARCH("GOOD",I9)))</formula>
    </cfRule>
  </conditionalFormatting>
  <conditionalFormatting sqref="F11">
    <cfRule type="containsText" dxfId="3295" priority="16" operator="containsText" text="FAIL">
      <formula>NOT(ISERROR(SEARCH("FAIL",F11)))</formula>
    </cfRule>
  </conditionalFormatting>
  <conditionalFormatting sqref="F11">
    <cfRule type="containsText" dxfId="3294" priority="15" operator="containsText" text="GOOD">
      <formula>NOT(ISERROR(SEARCH("GOOD",F11)))</formula>
    </cfRule>
  </conditionalFormatting>
  <conditionalFormatting sqref="D23 D29:D43">
    <cfRule type="expression" dxfId="3293" priority="14">
      <formula>H23=1</formula>
    </cfRule>
  </conditionalFormatting>
  <conditionalFormatting sqref="C29:C43 C23:C26">
    <cfRule type="expression" dxfId="3292" priority="13">
      <formula>H23=1</formula>
    </cfRule>
  </conditionalFormatting>
  <conditionalFormatting sqref="E23 E29:E43">
    <cfRule type="expression" dxfId="3291" priority="12">
      <formula>H23=1</formula>
    </cfRule>
  </conditionalFormatting>
  <conditionalFormatting sqref="F11">
    <cfRule type="containsText" dxfId="3290" priority="11" operator="containsText" text="FAIL">
      <formula>NOT(ISERROR(SEARCH("FAIL",F11)))</formula>
    </cfRule>
  </conditionalFormatting>
  <conditionalFormatting sqref="F11">
    <cfRule type="containsText" dxfId="3289" priority="10" operator="containsText" text="GOOD">
      <formula>NOT(ISERROR(SEARCH("GOOD",F11)))</formula>
    </cfRule>
  </conditionalFormatting>
  <conditionalFormatting sqref="D28">
    <cfRule type="expression" dxfId="3288" priority="9">
      <formula>H28=1</formula>
    </cfRule>
  </conditionalFormatting>
  <conditionalFormatting sqref="C27:C28">
    <cfRule type="expression" dxfId="3287" priority="8">
      <formula>H27=1</formula>
    </cfRule>
  </conditionalFormatting>
  <conditionalFormatting sqref="E28">
    <cfRule type="expression" dxfId="3286" priority="7">
      <formula>H28=1</formula>
    </cfRule>
  </conditionalFormatting>
  <conditionalFormatting sqref="D24">
    <cfRule type="expression" dxfId="3285" priority="6">
      <formula>H24=1</formula>
    </cfRule>
  </conditionalFormatting>
  <conditionalFormatting sqref="E24">
    <cfRule type="expression" dxfId="3284" priority="5">
      <formula>H24=1</formula>
    </cfRule>
  </conditionalFormatting>
  <conditionalFormatting sqref="D26:D27">
    <cfRule type="expression" dxfId="3283" priority="4">
      <formula>H26=1</formula>
    </cfRule>
  </conditionalFormatting>
  <conditionalFormatting sqref="E26:E27">
    <cfRule type="expression" dxfId="3282" priority="3">
      <formula>H26=1</formula>
    </cfRule>
  </conditionalFormatting>
  <conditionalFormatting sqref="E25">
    <cfRule type="expression" dxfId="3281" priority="1">
      <formula>H25=1</formula>
    </cfRule>
  </conditionalFormatting>
  <conditionalFormatting sqref="D25">
    <cfRule type="expression" dxfId="3280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:P47"/>
  <sheetViews>
    <sheetView zoomScaleNormal="100" workbookViewId="0">
      <selection activeCell="O27" sqref="O2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1411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1412</v>
      </c>
    </row>
    <row r="6" spans="1:16" x14ac:dyDescent="0.25">
      <c r="D6" s="2" t="s">
        <v>2</v>
      </c>
      <c r="F6" s="6">
        <v>43376</v>
      </c>
      <c r="H6" s="11"/>
    </row>
    <row r="7" spans="1:16" x14ac:dyDescent="0.25">
      <c r="D7" s="2" t="s">
        <v>3</v>
      </c>
      <c r="F7" s="5">
        <v>21700000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15765000</v>
      </c>
      <c r="H8" s="11"/>
    </row>
    <row r="9" spans="1:16" x14ac:dyDescent="0.25">
      <c r="D9" s="2" t="s">
        <v>67</v>
      </c>
      <c r="F9" s="4">
        <f>+F8-F7</f>
        <v>-5935000</v>
      </c>
      <c r="G9" s="16">
        <f>+F9/F7</f>
        <v>-0.27350230414746546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-4385716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26085716</v>
      </c>
      <c r="G12" s="14"/>
      <c r="H12" s="11">
        <f>COUNT(I23:I43)</f>
        <v>5</v>
      </c>
      <c r="I12" s="1" t="s">
        <v>31</v>
      </c>
      <c r="J12" s="4">
        <f>+F8*0.9</f>
        <v>14188500</v>
      </c>
      <c r="K12" s="1" t="s">
        <v>69</v>
      </c>
    </row>
    <row r="13" spans="1:16" x14ac:dyDescent="0.25">
      <c r="D13" s="2" t="s">
        <v>29</v>
      </c>
      <c r="F13" s="4">
        <f>MAX(I23:I43)-MIN(I23:I43)</f>
        <v>41091000</v>
      </c>
      <c r="G13" s="269">
        <f>MEDIAN(I23:I43)</f>
        <v>18727000</v>
      </c>
      <c r="H13" s="270"/>
      <c r="I13" s="1" t="s">
        <v>30</v>
      </c>
      <c r="J13" s="4">
        <f>+F12*1.1</f>
        <v>28694287.600000001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522</v>
      </c>
      <c r="E23" s="33"/>
      <c r="F23" t="s">
        <v>100</v>
      </c>
      <c r="G23" t="s">
        <v>93</v>
      </c>
      <c r="H23">
        <f>RANK(I23,I$23:I$43,1)</f>
        <v>2</v>
      </c>
      <c r="I23" s="4">
        <v>18669580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505</v>
      </c>
      <c r="E24" s="33"/>
      <c r="F24" t="s">
        <v>289</v>
      </c>
      <c r="G24" t="s">
        <v>93</v>
      </c>
      <c r="H24">
        <f>RANK(I24,I$23:I$43,1)</f>
        <v>4</v>
      </c>
      <c r="I24" s="4">
        <v>20411000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1413</v>
      </c>
      <c r="E25" s="33"/>
      <c r="F25" t="s">
        <v>1414</v>
      </c>
      <c r="G25" t="s">
        <v>25</v>
      </c>
      <c r="H25">
        <f>RANK(I25,I$23:I$43,1)</f>
        <v>5</v>
      </c>
      <c r="I25" s="4">
        <v>56856000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1415</v>
      </c>
      <c r="E26" s="33"/>
      <c r="F26" t="s">
        <v>302</v>
      </c>
      <c r="G26" t="s">
        <v>93</v>
      </c>
      <c r="H26">
        <f>RANK(I26,I$23:I$43,1)</f>
        <v>1</v>
      </c>
      <c r="I26" s="4">
        <v>15765000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1416</v>
      </c>
      <c r="E27" s="33"/>
      <c r="F27" t="s">
        <v>1277</v>
      </c>
      <c r="G27" t="s">
        <v>93</v>
      </c>
      <c r="H27">
        <f>RANK(I27,I$23:I$43,1)</f>
        <v>3</v>
      </c>
      <c r="I27" s="4">
        <v>18727000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279" priority="18" operator="containsText" text="FAIL">
      <formula>NOT(ISERROR(SEARCH("FAIL",I9)))</formula>
    </cfRule>
  </conditionalFormatting>
  <conditionalFormatting sqref="I9">
    <cfRule type="containsText" dxfId="3278" priority="17" operator="containsText" text="GOOD">
      <formula>NOT(ISERROR(SEARCH("GOOD",I9)))</formula>
    </cfRule>
  </conditionalFormatting>
  <conditionalFormatting sqref="F11">
    <cfRule type="containsText" dxfId="3277" priority="16" operator="containsText" text="FAIL">
      <formula>NOT(ISERROR(SEARCH("FAIL",F11)))</formula>
    </cfRule>
  </conditionalFormatting>
  <conditionalFormatting sqref="F11">
    <cfRule type="containsText" dxfId="3276" priority="15" operator="containsText" text="GOOD">
      <formula>NOT(ISERROR(SEARCH("GOOD",F11)))</formula>
    </cfRule>
  </conditionalFormatting>
  <conditionalFormatting sqref="D23 D29:D43">
    <cfRule type="expression" dxfId="3275" priority="14">
      <formula>H23=1</formula>
    </cfRule>
  </conditionalFormatting>
  <conditionalFormatting sqref="C29:C43 C23:C26">
    <cfRule type="expression" dxfId="3274" priority="13">
      <formula>H23=1</formula>
    </cfRule>
  </conditionalFormatting>
  <conditionalFormatting sqref="E23 E29:E43">
    <cfRule type="expression" dxfId="3273" priority="12">
      <formula>H23=1</formula>
    </cfRule>
  </conditionalFormatting>
  <conditionalFormatting sqref="F11">
    <cfRule type="containsText" dxfId="3272" priority="11" operator="containsText" text="FAIL">
      <formula>NOT(ISERROR(SEARCH("FAIL",F11)))</formula>
    </cfRule>
  </conditionalFormatting>
  <conditionalFormatting sqref="F11">
    <cfRule type="containsText" dxfId="3271" priority="10" operator="containsText" text="GOOD">
      <formula>NOT(ISERROR(SEARCH("GOOD",F11)))</formula>
    </cfRule>
  </conditionalFormatting>
  <conditionalFormatting sqref="D28">
    <cfRule type="expression" dxfId="3270" priority="9">
      <formula>H28=1</formula>
    </cfRule>
  </conditionalFormatting>
  <conditionalFormatting sqref="C27:C28">
    <cfRule type="expression" dxfId="3269" priority="8">
      <formula>H27=1</formula>
    </cfRule>
  </conditionalFormatting>
  <conditionalFormatting sqref="E28">
    <cfRule type="expression" dxfId="3268" priority="7">
      <formula>H28=1</formula>
    </cfRule>
  </conditionalFormatting>
  <conditionalFormatting sqref="D24">
    <cfRule type="expression" dxfId="3267" priority="6">
      <formula>H24=1</formula>
    </cfRule>
  </conditionalFormatting>
  <conditionalFormatting sqref="E24">
    <cfRule type="expression" dxfId="3266" priority="5">
      <formula>H24=1</formula>
    </cfRule>
  </conditionalFormatting>
  <conditionalFormatting sqref="D26:D27">
    <cfRule type="expression" dxfId="3265" priority="4">
      <formula>H26=1</formula>
    </cfRule>
  </conditionalFormatting>
  <conditionalFormatting sqref="E26:E27">
    <cfRule type="expression" dxfId="3264" priority="3">
      <formula>H26=1</formula>
    </cfRule>
  </conditionalFormatting>
  <conditionalFormatting sqref="E25">
    <cfRule type="expression" dxfId="3263" priority="1">
      <formula>H25=1</formula>
    </cfRule>
  </conditionalFormatting>
  <conditionalFormatting sqref="D25">
    <cfRule type="expression" dxfId="3262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:P47"/>
  <sheetViews>
    <sheetView zoomScaleNormal="100" workbookViewId="0">
      <selection activeCell="O15" sqref="O15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1407</v>
      </c>
      <c r="I4" s="2" t="s">
        <v>4</v>
      </c>
      <c r="J4" t="s">
        <v>1251</v>
      </c>
    </row>
    <row r="5" spans="1:15" x14ac:dyDescent="0.25">
      <c r="D5" s="2" t="s">
        <v>1</v>
      </c>
      <c r="F5" t="s">
        <v>1315</v>
      </c>
    </row>
    <row r="6" spans="1:15" x14ac:dyDescent="0.25">
      <c r="D6" s="2" t="s">
        <v>2</v>
      </c>
      <c r="F6" s="6">
        <v>43368</v>
      </c>
      <c r="H6" s="11"/>
    </row>
    <row r="7" spans="1:15" x14ac:dyDescent="0.25">
      <c r="D7" s="2" t="s">
        <v>3</v>
      </c>
      <c r="F7" s="5">
        <f>+L7+K7+J7+I7+(M7*K7)</f>
        <v>64356250</v>
      </c>
      <c r="G7" s="2" t="s">
        <v>34</v>
      </c>
      <c r="H7" s="11"/>
      <c r="I7" s="19">
        <v>4714560</v>
      </c>
      <c r="J7" s="19">
        <v>50815440</v>
      </c>
      <c r="K7" s="19">
        <v>7675000</v>
      </c>
      <c r="L7" s="19">
        <v>0</v>
      </c>
      <c r="M7" s="20">
        <v>0.15</v>
      </c>
    </row>
    <row r="8" spans="1:15" x14ac:dyDescent="0.25">
      <c r="D8" s="2" t="s">
        <v>18</v>
      </c>
      <c r="F8" s="5">
        <f>MIN(M23:M43)</f>
        <v>51485000</v>
      </c>
      <c r="H8" s="11"/>
      <c r="I8" s="18" t="s">
        <v>43</v>
      </c>
      <c r="J8" s="18" t="s">
        <v>44</v>
      </c>
      <c r="K8" s="18" t="s">
        <v>49</v>
      </c>
      <c r="L8" s="18" t="s">
        <v>934</v>
      </c>
      <c r="M8" s="18" t="s">
        <v>50</v>
      </c>
    </row>
    <row r="9" spans="1:15" x14ac:dyDescent="0.25">
      <c r="D9" s="2" t="s">
        <v>19</v>
      </c>
      <c r="F9" s="4">
        <f>+F8-F7</f>
        <v>-12871250</v>
      </c>
      <c r="G9" s="16">
        <f>+F9/F7</f>
        <v>-0.2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5" x14ac:dyDescent="0.25">
      <c r="D10" s="2" t="s">
        <v>68</v>
      </c>
      <c r="F10" s="4">
        <f>+F7-F12</f>
        <v>-10954148.875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GOOD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75310398.875</v>
      </c>
      <c r="G12" s="14"/>
      <c r="H12" s="11">
        <f>COUNT(M23:M43)</f>
        <v>8</v>
      </c>
      <c r="I12" s="1" t="s">
        <v>31</v>
      </c>
      <c r="J12" s="4">
        <f>+F8*0.9</f>
        <v>46336500</v>
      </c>
      <c r="K12" s="1" t="s">
        <v>69</v>
      </c>
      <c r="L12" s="1"/>
      <c r="O12" t="str">
        <f>INDEX(D23:D43,MATCH(1,H23:H43,0))</f>
        <v>El Sol Contracting</v>
      </c>
    </row>
    <row r="13" spans="1:15" x14ac:dyDescent="0.25">
      <c r="D13" s="2" t="s">
        <v>29</v>
      </c>
      <c r="F13" s="4">
        <f>MAX(M23:M43)-MIN(M23:M43)</f>
        <v>32441500</v>
      </c>
      <c r="G13" s="269">
        <f>MEDIAN(M23:M43)</f>
        <v>79654833</v>
      </c>
      <c r="H13" s="270"/>
      <c r="I13" s="1" t="s">
        <v>30</v>
      </c>
      <c r="J13" s="4">
        <f>+F12*1.1</f>
        <v>82841438.762500003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5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6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6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>IF(H23=1,"u","")</f>
        <v/>
      </c>
      <c r="D23" s="11" t="s">
        <v>1344</v>
      </c>
      <c r="E23" s="33"/>
      <c r="F23" t="s">
        <v>92</v>
      </c>
      <c r="G23" t="s">
        <v>93</v>
      </c>
      <c r="H23">
        <f t="shared" ref="H23:H30" si="0">RANK(M23,M$23:M$43,1)</f>
        <v>3</v>
      </c>
      <c r="I23" s="4">
        <v>3040800</v>
      </c>
      <c r="J23" s="4">
        <v>60958875</v>
      </c>
      <c r="K23" s="4">
        <v>0</v>
      </c>
      <c r="L23" s="7">
        <v>0.1</v>
      </c>
      <c r="M23" s="4">
        <f>+K23+I23+J23+(L23*K$7)+$K$7</f>
        <v>72442175</v>
      </c>
      <c r="N23" s="22"/>
      <c r="O23" s="22">
        <f t="shared" ref="O23:O30" si="1">+L23*$K$7</f>
        <v>767500</v>
      </c>
      <c r="P23" s="22"/>
    </row>
    <row r="24" spans="3:16" x14ac:dyDescent="0.25">
      <c r="C24" s="33" t="str">
        <f>IF(H24=1,"u","")</f>
        <v>u</v>
      </c>
      <c r="D24" s="11" t="s">
        <v>1345</v>
      </c>
      <c r="E24" s="33"/>
      <c r="F24" t="s">
        <v>407</v>
      </c>
      <c r="G24" t="s">
        <v>93</v>
      </c>
      <c r="H24">
        <f t="shared" si="0"/>
        <v>1</v>
      </c>
      <c r="I24" s="4">
        <v>1537370</v>
      </c>
      <c r="J24" s="4">
        <v>41658630</v>
      </c>
      <c r="K24" s="4">
        <v>0</v>
      </c>
      <c r="L24" s="7">
        <v>0.08</v>
      </c>
      <c r="M24" s="4">
        <f>+K24+I24+J24+(L24*K$7)+$K$7</f>
        <v>51485000</v>
      </c>
      <c r="N24" s="22"/>
      <c r="O24" s="22">
        <f t="shared" si="1"/>
        <v>614000</v>
      </c>
      <c r="P24" s="22"/>
    </row>
    <row r="25" spans="3:16" x14ac:dyDescent="0.25">
      <c r="C25" s="33" t="str">
        <f>IF(H25=1,"u","")</f>
        <v/>
      </c>
      <c r="D25" s="11" t="s">
        <v>680</v>
      </c>
      <c r="E25" s="33"/>
      <c r="F25" t="s">
        <v>532</v>
      </c>
      <c r="G25" t="s">
        <v>93</v>
      </c>
      <c r="H25">
        <f t="shared" si="0"/>
        <v>8</v>
      </c>
      <c r="I25" s="4">
        <v>6371750</v>
      </c>
      <c r="J25" s="4">
        <v>68728500</v>
      </c>
      <c r="K25" s="4">
        <v>0</v>
      </c>
      <c r="L25" s="7">
        <v>0.15</v>
      </c>
      <c r="M25" s="4">
        <f t="shared" ref="M25:M30" si="2">+K25+I25+J25+(L25*K$7)+$K$7</f>
        <v>83926500</v>
      </c>
      <c r="N25" s="22"/>
      <c r="O25" s="22">
        <f t="shared" si="1"/>
        <v>1151250</v>
      </c>
      <c r="P25" s="22"/>
    </row>
    <row r="26" spans="3:16" x14ac:dyDescent="0.25">
      <c r="C26" s="33" t="str">
        <f t="shared" ref="C26:C43" si="3">IF(H26=1,"u","")</f>
        <v/>
      </c>
      <c r="D26" s="11" t="s">
        <v>508</v>
      </c>
      <c r="E26" s="33"/>
      <c r="F26" t="s">
        <v>181</v>
      </c>
      <c r="G26" t="s">
        <v>93</v>
      </c>
      <c r="H26">
        <f t="shared" si="0"/>
        <v>6</v>
      </c>
      <c r="I26" s="4">
        <v>4241000</v>
      </c>
      <c r="J26" s="4">
        <v>69800000</v>
      </c>
      <c r="K26" s="4">
        <v>0</v>
      </c>
      <c r="L26" s="7">
        <v>0.05</v>
      </c>
      <c r="M26" s="4">
        <f t="shared" si="2"/>
        <v>82099750</v>
      </c>
      <c r="N26" s="22"/>
      <c r="O26" s="22">
        <f t="shared" si="1"/>
        <v>383750</v>
      </c>
      <c r="P26" s="22"/>
    </row>
    <row r="27" spans="3:16" x14ac:dyDescent="0.25">
      <c r="C27" s="33" t="str">
        <f t="shared" si="3"/>
        <v/>
      </c>
      <c r="D27" s="11" t="s">
        <v>1308</v>
      </c>
      <c r="E27" s="33"/>
      <c r="F27" t="s">
        <v>1277</v>
      </c>
      <c r="G27" t="s">
        <v>93</v>
      </c>
      <c r="H27">
        <f t="shared" si="0"/>
        <v>2</v>
      </c>
      <c r="I27" s="4">
        <v>7014500</v>
      </c>
      <c r="J27" s="4">
        <v>54866250</v>
      </c>
      <c r="K27" s="4">
        <v>0</v>
      </c>
      <c r="L27" s="7">
        <v>0.11</v>
      </c>
      <c r="M27" s="4">
        <f t="shared" si="2"/>
        <v>70400000</v>
      </c>
      <c r="N27" s="22"/>
      <c r="O27" s="22">
        <f t="shared" si="1"/>
        <v>844250</v>
      </c>
      <c r="P27" s="22"/>
    </row>
    <row r="28" spans="3:16" x14ac:dyDescent="0.25">
      <c r="C28" s="33"/>
      <c r="D28" s="11" t="s">
        <v>1408</v>
      </c>
      <c r="E28" s="33"/>
      <c r="F28" t="s">
        <v>100</v>
      </c>
      <c r="G28" t="s">
        <v>93</v>
      </c>
      <c r="H28">
        <f t="shared" si="0"/>
        <v>4</v>
      </c>
      <c r="I28" s="4">
        <v>7172368</v>
      </c>
      <c r="J28" s="4">
        <v>63919363</v>
      </c>
      <c r="K28" s="4">
        <v>0</v>
      </c>
      <c r="L28" s="7">
        <v>0.08</v>
      </c>
      <c r="M28" s="4">
        <f t="shared" si="2"/>
        <v>79380731</v>
      </c>
      <c r="N28" s="22"/>
      <c r="O28" s="22">
        <f t="shared" si="1"/>
        <v>614000</v>
      </c>
      <c r="P28" s="22"/>
    </row>
    <row r="29" spans="3:16" x14ac:dyDescent="0.25">
      <c r="C29" s="33"/>
      <c r="D29" s="11" t="s">
        <v>485</v>
      </c>
      <c r="E29" s="33"/>
      <c r="F29" t="s">
        <v>486</v>
      </c>
      <c r="G29" t="s">
        <v>25</v>
      </c>
      <c r="H29">
        <f t="shared" si="0"/>
        <v>5</v>
      </c>
      <c r="I29" s="4">
        <v>3826450</v>
      </c>
      <c r="J29" s="4">
        <v>67659985</v>
      </c>
      <c r="K29" s="4">
        <v>0</v>
      </c>
      <c r="L29" s="7">
        <v>0.1</v>
      </c>
      <c r="M29" s="4">
        <f t="shared" si="2"/>
        <v>79928935</v>
      </c>
      <c r="N29" s="22"/>
      <c r="O29" s="22">
        <f t="shared" si="1"/>
        <v>767500</v>
      </c>
      <c r="P29" s="22"/>
    </row>
    <row r="30" spans="3:16" x14ac:dyDescent="0.25">
      <c r="C30" s="33" t="str">
        <f t="shared" si="3"/>
        <v/>
      </c>
      <c r="D30" s="11" t="s">
        <v>908</v>
      </c>
      <c r="E30" s="33" t="str">
        <f t="shared" ref="E30:E43" si="4">IF(H30=1,"t","")</f>
        <v/>
      </c>
      <c r="F30" t="s">
        <v>131</v>
      </c>
      <c r="G30" t="s">
        <v>25</v>
      </c>
      <c r="H30">
        <f t="shared" si="0"/>
        <v>7</v>
      </c>
      <c r="I30" s="4">
        <v>5996850</v>
      </c>
      <c r="J30" s="4">
        <v>68611000</v>
      </c>
      <c r="K30" s="4">
        <v>0</v>
      </c>
      <c r="L30" s="7">
        <v>7.0000000000000007E-2</v>
      </c>
      <c r="M30" s="4">
        <f t="shared" si="2"/>
        <v>82820100</v>
      </c>
      <c r="N30" s="22"/>
      <c r="O30" s="22">
        <f t="shared" si="1"/>
        <v>537250</v>
      </c>
      <c r="P30" s="22">
        <f>+J13-F7</f>
        <v>18485188.762500003</v>
      </c>
    </row>
    <row r="31" spans="3:16" x14ac:dyDescent="0.25">
      <c r="C31" s="33" t="str">
        <f t="shared" si="3"/>
        <v/>
      </c>
      <c r="D31" s="11"/>
      <c r="E31" s="33" t="str">
        <f t="shared" si="4"/>
        <v/>
      </c>
      <c r="I31" s="4"/>
      <c r="J31" s="4"/>
      <c r="K31" s="4"/>
      <c r="L31" s="7"/>
      <c r="M31" s="4"/>
      <c r="N31" s="22"/>
      <c r="O31" s="22"/>
      <c r="P31" s="22"/>
    </row>
    <row r="32" spans="3:16" x14ac:dyDescent="0.25">
      <c r="C32" s="33" t="str">
        <f t="shared" si="3"/>
        <v/>
      </c>
      <c r="D32" s="11"/>
      <c r="E32" s="33" t="str">
        <f t="shared" si="4"/>
        <v/>
      </c>
      <c r="I32" s="4"/>
      <c r="J32" s="4"/>
      <c r="K32" s="7"/>
      <c r="L32" s="7"/>
      <c r="M32" s="4"/>
      <c r="N32" s="22"/>
      <c r="O32" s="22"/>
      <c r="P32" s="22"/>
    </row>
    <row r="33" spans="3:16" x14ac:dyDescent="0.25">
      <c r="C33" s="33" t="str">
        <f t="shared" si="3"/>
        <v/>
      </c>
      <c r="D33" s="11"/>
      <c r="E33" s="33" t="str">
        <f t="shared" si="4"/>
        <v/>
      </c>
      <c r="I33" s="4"/>
      <c r="J33" s="4"/>
      <c r="K33" s="7"/>
      <c r="L33" s="7"/>
      <c r="M33" s="4"/>
      <c r="N33" s="21"/>
      <c r="O33" s="21"/>
      <c r="P33" s="21"/>
    </row>
    <row r="34" spans="3:16" x14ac:dyDescent="0.25">
      <c r="C34" s="33" t="str">
        <f t="shared" si="3"/>
        <v/>
      </c>
      <c r="D34" s="11"/>
      <c r="E34" s="33" t="str">
        <f t="shared" si="4"/>
        <v/>
      </c>
      <c r="K34" s="7"/>
      <c r="L34" s="7"/>
      <c r="N34" s="21"/>
      <c r="O34" s="21"/>
      <c r="P34" s="21"/>
    </row>
    <row r="35" spans="3:16" x14ac:dyDescent="0.25">
      <c r="C35" s="33" t="str">
        <f t="shared" si="3"/>
        <v/>
      </c>
      <c r="D35" s="11"/>
      <c r="E35" s="33" t="str">
        <f t="shared" si="4"/>
        <v/>
      </c>
      <c r="K35" s="7"/>
      <c r="L35" s="7"/>
      <c r="N35" s="21"/>
      <c r="O35" s="21"/>
      <c r="P35" s="21"/>
    </row>
    <row r="36" spans="3:16" x14ac:dyDescent="0.25">
      <c r="C36" s="33" t="str">
        <f t="shared" si="3"/>
        <v/>
      </c>
      <c r="D36" s="11"/>
      <c r="E36" s="33" t="str">
        <f t="shared" si="4"/>
        <v/>
      </c>
      <c r="K36" s="7"/>
      <c r="L36" s="7"/>
      <c r="N36" s="21"/>
      <c r="O36" s="21"/>
      <c r="P36" s="21"/>
    </row>
    <row r="37" spans="3:16" x14ac:dyDescent="0.25">
      <c r="C37" s="33" t="str">
        <f t="shared" si="3"/>
        <v/>
      </c>
      <c r="D37" s="11"/>
      <c r="E37" s="33" t="str">
        <f t="shared" si="4"/>
        <v/>
      </c>
      <c r="K37" s="7"/>
      <c r="L37" s="7"/>
      <c r="N37" s="21"/>
      <c r="O37" s="21"/>
      <c r="P37" s="21"/>
    </row>
    <row r="38" spans="3:16" x14ac:dyDescent="0.25">
      <c r="C38" s="33" t="str">
        <f t="shared" si="3"/>
        <v/>
      </c>
      <c r="D38" s="11"/>
      <c r="E38" s="33" t="str">
        <f t="shared" si="4"/>
        <v/>
      </c>
      <c r="K38" s="7"/>
      <c r="L38" s="7"/>
      <c r="N38" s="21"/>
      <c r="O38" s="21"/>
      <c r="P38" s="21"/>
    </row>
    <row r="39" spans="3:16" x14ac:dyDescent="0.25">
      <c r="C39" s="33" t="str">
        <f t="shared" si="3"/>
        <v/>
      </c>
      <c r="D39" s="11"/>
      <c r="E39" s="33" t="str">
        <f t="shared" si="4"/>
        <v/>
      </c>
      <c r="K39" s="7"/>
      <c r="L39" s="7"/>
      <c r="N39" s="21"/>
      <c r="O39" s="21"/>
      <c r="P39" s="21"/>
    </row>
    <row r="40" spans="3:16" x14ac:dyDescent="0.25">
      <c r="C40" s="33" t="str">
        <f t="shared" si="3"/>
        <v/>
      </c>
      <c r="D40" s="11"/>
      <c r="E40" s="33" t="str">
        <f t="shared" si="4"/>
        <v/>
      </c>
      <c r="K40" s="7"/>
      <c r="L40" s="7"/>
      <c r="N40" s="21"/>
      <c r="O40" s="21"/>
      <c r="P40" s="21"/>
    </row>
    <row r="41" spans="3:16" x14ac:dyDescent="0.25">
      <c r="C41" s="33" t="str">
        <f t="shared" si="3"/>
        <v/>
      </c>
      <c r="D41" s="11"/>
      <c r="E41" s="33" t="str">
        <f t="shared" si="4"/>
        <v/>
      </c>
      <c r="K41" s="7"/>
      <c r="L41" s="7"/>
      <c r="N41" s="21"/>
      <c r="O41" s="21"/>
      <c r="P41" s="21"/>
    </row>
    <row r="42" spans="3:16" x14ac:dyDescent="0.25">
      <c r="C42" s="33" t="str">
        <f t="shared" si="3"/>
        <v/>
      </c>
      <c r="D42" s="11"/>
      <c r="E42" s="33" t="str">
        <f t="shared" si="4"/>
        <v/>
      </c>
      <c r="K42" s="7"/>
      <c r="L42" s="7"/>
      <c r="N42" s="21"/>
      <c r="O42" s="21"/>
      <c r="P42" s="21"/>
    </row>
    <row r="43" spans="3:16" x14ac:dyDescent="0.25">
      <c r="C43" s="33" t="str">
        <f t="shared" si="3"/>
        <v/>
      </c>
      <c r="D43" s="11"/>
      <c r="E43" s="33" t="str">
        <f t="shared" si="4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3261" priority="8" operator="containsText" text="FAIL">
      <formula>NOT(ISERROR(SEARCH("FAIL",F9)))</formula>
    </cfRule>
  </conditionalFormatting>
  <conditionalFormatting sqref="I9 F11">
    <cfRule type="containsText" dxfId="3260" priority="7" operator="containsText" text="GOOD">
      <formula>NOT(ISERROR(SEARCH("GOOD",F9)))</formula>
    </cfRule>
  </conditionalFormatting>
  <conditionalFormatting sqref="I9">
    <cfRule type="containsText" dxfId="3259" priority="6" operator="containsText" text="FAIL">
      <formula>NOT(ISERROR(SEARCH("FAIL",I9)))</formula>
    </cfRule>
  </conditionalFormatting>
  <conditionalFormatting sqref="I9">
    <cfRule type="containsText" dxfId="3258" priority="5" operator="containsText" text="GOOD">
      <formula>NOT(ISERROR(SEARCH("GOOD",I9)))</formula>
    </cfRule>
  </conditionalFormatting>
  <conditionalFormatting sqref="D25">
    <cfRule type="expression" dxfId="3257" priority="4" stopIfTrue="1">
      <formula>IF($H$25=1,0)</formula>
    </cfRule>
  </conditionalFormatting>
  <conditionalFormatting sqref="D23:D43">
    <cfRule type="expression" dxfId="3256" priority="3">
      <formula>H23=1</formula>
    </cfRule>
  </conditionalFormatting>
  <conditionalFormatting sqref="C23:C43">
    <cfRule type="expression" dxfId="3255" priority="2">
      <formula>H23=1</formula>
    </cfRule>
  </conditionalFormatting>
  <conditionalFormatting sqref="E23:E43">
    <cfRule type="expression" dxfId="3254" priority="1">
      <formula>H23=1</formula>
    </cfRule>
  </conditionalFormatting>
  <pageMargins left="0.7" right="0.7" top="0.75" bottom="0.75" header="0.3" footer="0.3"/>
  <pageSetup scale="77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:P47"/>
  <sheetViews>
    <sheetView zoomScaleNormal="100" workbookViewId="0">
      <selection activeCell="J7" sqref="J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1405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1406</v>
      </c>
    </row>
    <row r="6" spans="1:16" x14ac:dyDescent="0.25">
      <c r="D6" s="2" t="s">
        <v>2</v>
      </c>
      <c r="F6" s="6">
        <v>43368</v>
      </c>
      <c r="H6" s="11"/>
    </row>
    <row r="7" spans="1:16" x14ac:dyDescent="0.25">
      <c r="D7" s="2" t="s">
        <v>3</v>
      </c>
      <c r="F7" s="5">
        <v>760000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994150</v>
      </c>
      <c r="H8" s="11"/>
    </row>
    <row r="9" spans="1:16" x14ac:dyDescent="0.25">
      <c r="D9" s="2" t="s">
        <v>67</v>
      </c>
      <c r="F9" s="4">
        <f>+F8-F7</f>
        <v>234150</v>
      </c>
      <c r="G9" s="16">
        <f>+F9/F7</f>
        <v>0.30809210526315789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-1354383.3333333335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2114383.3333333335</v>
      </c>
      <c r="G12" s="14"/>
      <c r="H12" s="11">
        <f>COUNT(I23:I43)</f>
        <v>3</v>
      </c>
      <c r="I12" s="1" t="s">
        <v>31</v>
      </c>
      <c r="J12" s="4">
        <f>+F8*0.9</f>
        <v>894735</v>
      </c>
      <c r="K12" s="1" t="s">
        <v>69</v>
      </c>
    </row>
    <row r="13" spans="1:16" x14ac:dyDescent="0.25">
      <c r="D13" s="2" t="s">
        <v>29</v>
      </c>
      <c r="F13" s="4">
        <f>MAX(I23:I43)-MIN(I23:I43)</f>
        <v>2905850</v>
      </c>
      <c r="G13" s="269">
        <f>MEDIAN(I23:I43)</f>
        <v>1449000</v>
      </c>
      <c r="H13" s="270"/>
      <c r="I13" s="1" t="s">
        <v>30</v>
      </c>
      <c r="J13" s="4">
        <f>+F12*1.1</f>
        <v>2325821.666666667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1040</v>
      </c>
      <c r="E23" s="33"/>
      <c r="F23" t="s">
        <v>1041</v>
      </c>
      <c r="G23" t="s">
        <v>93</v>
      </c>
      <c r="H23">
        <f>RANK(I23,I$23:I$43,1)</f>
        <v>2</v>
      </c>
      <c r="I23" s="4">
        <v>1449000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725</v>
      </c>
      <c r="E24" s="33"/>
      <c r="F24" t="s">
        <v>594</v>
      </c>
      <c r="G24" t="s">
        <v>25</v>
      </c>
      <c r="H24">
        <f>RANK(I24,I$23:I$43,1)</f>
        <v>3</v>
      </c>
      <c r="I24" s="4">
        <v>3900000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944</v>
      </c>
      <c r="E25" s="33"/>
      <c r="F25" t="s">
        <v>139</v>
      </c>
      <c r="G25" t="s">
        <v>25</v>
      </c>
      <c r="H25">
        <f>RANK(I25,I$23:I$43,1)</f>
        <v>1</v>
      </c>
      <c r="I25" s="4">
        <v>994150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253" priority="18" operator="containsText" text="FAIL">
      <formula>NOT(ISERROR(SEARCH("FAIL",I9)))</formula>
    </cfRule>
  </conditionalFormatting>
  <conditionalFormatting sqref="I9">
    <cfRule type="containsText" dxfId="3252" priority="17" operator="containsText" text="GOOD">
      <formula>NOT(ISERROR(SEARCH("GOOD",I9)))</formula>
    </cfRule>
  </conditionalFormatting>
  <conditionalFormatting sqref="F11">
    <cfRule type="containsText" dxfId="3251" priority="16" operator="containsText" text="FAIL">
      <formula>NOT(ISERROR(SEARCH("FAIL",F11)))</formula>
    </cfRule>
  </conditionalFormatting>
  <conditionalFormatting sqref="F11">
    <cfRule type="containsText" dxfId="3250" priority="15" operator="containsText" text="GOOD">
      <formula>NOT(ISERROR(SEARCH("GOOD",F11)))</formula>
    </cfRule>
  </conditionalFormatting>
  <conditionalFormatting sqref="D23 D29:D43">
    <cfRule type="expression" dxfId="3249" priority="14">
      <formula>H23=1</formula>
    </cfRule>
  </conditionalFormatting>
  <conditionalFormatting sqref="C29:C43 C23:C26">
    <cfRule type="expression" dxfId="3248" priority="13">
      <formula>H23=1</formula>
    </cfRule>
  </conditionalFormatting>
  <conditionalFormatting sqref="E23 E29:E43">
    <cfRule type="expression" dxfId="3247" priority="12">
      <formula>H23=1</formula>
    </cfRule>
  </conditionalFormatting>
  <conditionalFormatting sqref="F11">
    <cfRule type="containsText" dxfId="3246" priority="11" operator="containsText" text="FAIL">
      <formula>NOT(ISERROR(SEARCH("FAIL",F11)))</formula>
    </cfRule>
  </conditionalFormatting>
  <conditionalFormatting sqref="F11">
    <cfRule type="containsText" dxfId="3245" priority="10" operator="containsText" text="GOOD">
      <formula>NOT(ISERROR(SEARCH("GOOD",F11)))</formula>
    </cfRule>
  </conditionalFormatting>
  <conditionalFormatting sqref="D28">
    <cfRule type="expression" dxfId="3244" priority="9">
      <formula>H28=1</formula>
    </cfRule>
  </conditionalFormatting>
  <conditionalFormatting sqref="C27:C28">
    <cfRule type="expression" dxfId="3243" priority="8">
      <formula>H27=1</formula>
    </cfRule>
  </conditionalFormatting>
  <conditionalFormatting sqref="E28">
    <cfRule type="expression" dxfId="3242" priority="7">
      <formula>H28=1</formula>
    </cfRule>
  </conditionalFormatting>
  <conditionalFormatting sqref="D24">
    <cfRule type="expression" dxfId="3241" priority="6">
      <formula>H24=1</formula>
    </cfRule>
  </conditionalFormatting>
  <conditionalFormatting sqref="E24">
    <cfRule type="expression" dxfId="3240" priority="5">
      <formula>H24=1</formula>
    </cfRule>
  </conditionalFormatting>
  <conditionalFormatting sqref="D26:D27">
    <cfRule type="expression" dxfId="3239" priority="4">
      <formula>H26=1</formula>
    </cfRule>
  </conditionalFormatting>
  <conditionalFormatting sqref="E26:E27">
    <cfRule type="expression" dxfId="3238" priority="3">
      <formula>H26=1</formula>
    </cfRule>
  </conditionalFormatting>
  <conditionalFormatting sqref="E25">
    <cfRule type="expression" dxfId="3237" priority="1">
      <formula>H25=1</formula>
    </cfRule>
  </conditionalFormatting>
  <conditionalFormatting sqref="D25">
    <cfRule type="expression" dxfId="3236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:P47"/>
  <sheetViews>
    <sheetView zoomScaleNormal="100" workbookViewId="0">
      <selection activeCell="D25" sqref="D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1402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1403</v>
      </c>
    </row>
    <row r="6" spans="1:16" x14ac:dyDescent="0.25">
      <c r="D6" s="2" t="s">
        <v>2</v>
      </c>
      <c r="F6" s="6">
        <v>43363</v>
      </c>
      <c r="H6" s="11"/>
    </row>
    <row r="7" spans="1:16" x14ac:dyDescent="0.25">
      <c r="D7" s="2" t="s">
        <v>3</v>
      </c>
      <c r="F7" s="5">
        <v>1700000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1560315</v>
      </c>
      <c r="H8" s="11"/>
    </row>
    <row r="9" spans="1:16" x14ac:dyDescent="0.25">
      <c r="D9" s="2" t="s">
        <v>67</v>
      </c>
      <c r="F9" s="4">
        <f>+F8-F7</f>
        <v>-139685</v>
      </c>
      <c r="G9" s="16">
        <f>+F9/F7</f>
        <v>-8.2167647058823526E-2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-1005657.5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2705657.5</v>
      </c>
      <c r="G12" s="14"/>
      <c r="H12" s="11">
        <f>COUNT(I23:I43)</f>
        <v>2</v>
      </c>
      <c r="I12" s="1" t="s">
        <v>31</v>
      </c>
      <c r="J12" s="4">
        <f>+F8*0.9</f>
        <v>1404283.5</v>
      </c>
      <c r="K12" s="1" t="s">
        <v>69</v>
      </c>
    </row>
    <row r="13" spans="1:16" x14ac:dyDescent="0.25">
      <c r="D13" s="2" t="s">
        <v>29</v>
      </c>
      <c r="F13" s="4">
        <f>MAX(I23:I43)-MIN(I23:I43)</f>
        <v>2290685</v>
      </c>
      <c r="G13" s="269">
        <f>MEDIAN(I23:I43)</f>
        <v>2705657.5</v>
      </c>
      <c r="H13" s="270"/>
      <c r="I13" s="1" t="s">
        <v>30</v>
      </c>
      <c r="J13" s="4">
        <f>+F12*1.1</f>
        <v>2976223.2500000005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1404</v>
      </c>
      <c r="E23" s="33"/>
      <c r="F23" t="s">
        <v>289</v>
      </c>
      <c r="G23" t="s">
        <v>93</v>
      </c>
      <c r="H23">
        <f>RANK(I23,I$23:I$43,1)</f>
        <v>1</v>
      </c>
      <c r="I23" s="4">
        <v>1560315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631</v>
      </c>
      <c r="E24" s="33"/>
      <c r="F24" t="s">
        <v>131</v>
      </c>
      <c r="G24" t="s">
        <v>25</v>
      </c>
      <c r="H24">
        <f>RANK(I24,I$23:I$43,1)</f>
        <v>2</v>
      </c>
      <c r="I24" s="4">
        <v>3851000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235" priority="18" operator="containsText" text="FAIL">
      <formula>NOT(ISERROR(SEARCH("FAIL",I9)))</formula>
    </cfRule>
  </conditionalFormatting>
  <conditionalFormatting sqref="I9">
    <cfRule type="containsText" dxfId="3234" priority="17" operator="containsText" text="GOOD">
      <formula>NOT(ISERROR(SEARCH("GOOD",I9)))</formula>
    </cfRule>
  </conditionalFormatting>
  <conditionalFormatting sqref="F11">
    <cfRule type="containsText" dxfId="3233" priority="16" operator="containsText" text="FAIL">
      <formula>NOT(ISERROR(SEARCH("FAIL",F11)))</formula>
    </cfRule>
  </conditionalFormatting>
  <conditionalFormatting sqref="F11">
    <cfRule type="containsText" dxfId="3232" priority="15" operator="containsText" text="GOOD">
      <formula>NOT(ISERROR(SEARCH("GOOD",F11)))</formula>
    </cfRule>
  </conditionalFormatting>
  <conditionalFormatting sqref="D23 D29:D43">
    <cfRule type="expression" dxfId="3231" priority="14">
      <formula>H23=1</formula>
    </cfRule>
  </conditionalFormatting>
  <conditionalFormatting sqref="C29:C43 C23:C26">
    <cfRule type="expression" dxfId="3230" priority="13">
      <formula>H23=1</formula>
    </cfRule>
  </conditionalFormatting>
  <conditionalFormatting sqref="E23 E29:E43">
    <cfRule type="expression" dxfId="3229" priority="12">
      <formula>H23=1</formula>
    </cfRule>
  </conditionalFormatting>
  <conditionalFormatting sqref="F11">
    <cfRule type="containsText" dxfId="3228" priority="11" operator="containsText" text="FAIL">
      <formula>NOT(ISERROR(SEARCH("FAIL",F11)))</formula>
    </cfRule>
  </conditionalFormatting>
  <conditionalFormatting sqref="F11">
    <cfRule type="containsText" dxfId="3227" priority="10" operator="containsText" text="GOOD">
      <formula>NOT(ISERROR(SEARCH("GOOD",F11)))</formula>
    </cfRule>
  </conditionalFormatting>
  <conditionalFormatting sqref="D28">
    <cfRule type="expression" dxfId="3226" priority="9">
      <formula>H28=1</formula>
    </cfRule>
  </conditionalFormatting>
  <conditionalFormatting sqref="C27:C28">
    <cfRule type="expression" dxfId="3225" priority="8">
      <formula>H27=1</formula>
    </cfRule>
  </conditionalFormatting>
  <conditionalFormatting sqref="E28">
    <cfRule type="expression" dxfId="3224" priority="7">
      <formula>H28=1</formula>
    </cfRule>
  </conditionalFormatting>
  <conditionalFormatting sqref="D24">
    <cfRule type="expression" dxfId="3223" priority="6">
      <formula>H24=1</formula>
    </cfRule>
  </conditionalFormatting>
  <conditionalFormatting sqref="E24">
    <cfRule type="expression" dxfId="3222" priority="5">
      <formula>H24=1</formula>
    </cfRule>
  </conditionalFormatting>
  <conditionalFormatting sqref="D26:D27">
    <cfRule type="expression" dxfId="3221" priority="4">
      <formula>H26=1</formula>
    </cfRule>
  </conditionalFormatting>
  <conditionalFormatting sqref="E26:E27">
    <cfRule type="expression" dxfId="3220" priority="3">
      <formula>H26=1</formula>
    </cfRule>
  </conditionalFormatting>
  <conditionalFormatting sqref="E25">
    <cfRule type="expression" dxfId="3219" priority="1">
      <formula>H25=1</formula>
    </cfRule>
  </conditionalFormatting>
  <conditionalFormatting sqref="D25">
    <cfRule type="expression" dxfId="3218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:P47"/>
  <sheetViews>
    <sheetView zoomScaleNormal="100" workbookViewId="0">
      <selection activeCell="K28" sqref="K2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1399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1400</v>
      </c>
    </row>
    <row r="6" spans="1:16" x14ac:dyDescent="0.25">
      <c r="D6" s="2" t="s">
        <v>2</v>
      </c>
      <c r="F6" s="6">
        <v>43356</v>
      </c>
      <c r="H6" s="11"/>
    </row>
    <row r="7" spans="1:16" x14ac:dyDescent="0.25">
      <c r="D7" s="2" t="s">
        <v>3</v>
      </c>
      <c r="F7" s="5">
        <v>5960000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6956000</v>
      </c>
      <c r="H8" s="11"/>
    </row>
    <row r="9" spans="1:16" x14ac:dyDescent="0.25">
      <c r="D9" s="2" t="s">
        <v>67</v>
      </c>
      <c r="F9" s="4">
        <f>+F8-F7</f>
        <v>996000</v>
      </c>
      <c r="G9" s="16">
        <f>+F9/F7</f>
        <v>0.16711409395973154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-2973697.75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8933697.75</v>
      </c>
      <c r="G12" s="14"/>
      <c r="H12" s="11">
        <f>COUNT(I23:I43)</f>
        <v>4</v>
      </c>
      <c r="I12" s="1" t="s">
        <v>31</v>
      </c>
      <c r="J12" s="4">
        <f>+F8*0.9</f>
        <v>6260400</v>
      </c>
      <c r="K12" s="1" t="s">
        <v>69</v>
      </c>
    </row>
    <row r="13" spans="1:16" x14ac:dyDescent="0.25">
      <c r="D13" s="2" t="s">
        <v>29</v>
      </c>
      <c r="F13" s="4">
        <f>MAX(I23:I43)-MIN(I23:I43)</f>
        <v>4902000</v>
      </c>
      <c r="G13" s="269">
        <f>MEDIAN(I23:I43)</f>
        <v>8460395.5</v>
      </c>
      <c r="H13" s="270"/>
      <c r="I13" s="1" t="s">
        <v>30</v>
      </c>
      <c r="J13" s="4">
        <f>+F12*1.1</f>
        <v>9827067.5250000004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1017</v>
      </c>
      <c r="E23" s="33"/>
      <c r="F23" t="s">
        <v>201</v>
      </c>
      <c r="G23" t="s">
        <v>25</v>
      </c>
      <c r="H23">
        <f>RANK(I23,I$23:I$43,1)</f>
        <v>4</v>
      </c>
      <c r="I23" s="4">
        <v>11858000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522</v>
      </c>
      <c r="E24" s="33"/>
      <c r="F24" t="s">
        <v>100</v>
      </c>
      <c r="G24" t="s">
        <v>93</v>
      </c>
      <c r="H24">
        <f>RANK(I24,I$23:I$43,1)</f>
        <v>2</v>
      </c>
      <c r="I24" s="4">
        <v>8447200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1401</v>
      </c>
      <c r="E25" s="33"/>
      <c r="F25" t="s">
        <v>685</v>
      </c>
      <c r="G25" t="s">
        <v>25</v>
      </c>
      <c r="H25">
        <f>RANK(I25,I$23:I$43,1)</f>
        <v>3</v>
      </c>
      <c r="I25" s="4">
        <v>8473591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738</v>
      </c>
      <c r="E26" s="33"/>
      <c r="F26" t="s">
        <v>739</v>
      </c>
      <c r="G26" t="s">
        <v>93</v>
      </c>
      <c r="H26">
        <f>RANK(I26,I$23:I$43,1)</f>
        <v>1</v>
      </c>
      <c r="I26" s="4">
        <v>6956000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217" priority="18" operator="containsText" text="FAIL">
      <formula>NOT(ISERROR(SEARCH("FAIL",I9)))</formula>
    </cfRule>
  </conditionalFormatting>
  <conditionalFormatting sqref="I9">
    <cfRule type="containsText" dxfId="3216" priority="17" operator="containsText" text="GOOD">
      <formula>NOT(ISERROR(SEARCH("GOOD",I9)))</formula>
    </cfRule>
  </conditionalFormatting>
  <conditionalFormatting sqref="F11">
    <cfRule type="containsText" dxfId="3215" priority="16" operator="containsText" text="FAIL">
      <formula>NOT(ISERROR(SEARCH("FAIL",F11)))</formula>
    </cfRule>
  </conditionalFormatting>
  <conditionalFormatting sqref="F11">
    <cfRule type="containsText" dxfId="3214" priority="15" operator="containsText" text="GOOD">
      <formula>NOT(ISERROR(SEARCH("GOOD",F11)))</formula>
    </cfRule>
  </conditionalFormatting>
  <conditionalFormatting sqref="D23 D29:D43">
    <cfRule type="expression" dxfId="3213" priority="14">
      <formula>H23=1</formula>
    </cfRule>
  </conditionalFormatting>
  <conditionalFormatting sqref="C29:C43 C23:C26">
    <cfRule type="expression" dxfId="3212" priority="13">
      <formula>H23=1</formula>
    </cfRule>
  </conditionalFormatting>
  <conditionalFormatting sqref="E23 E29:E43">
    <cfRule type="expression" dxfId="3211" priority="12">
      <formula>H23=1</formula>
    </cfRule>
  </conditionalFormatting>
  <conditionalFormatting sqref="F11">
    <cfRule type="containsText" dxfId="3210" priority="11" operator="containsText" text="FAIL">
      <formula>NOT(ISERROR(SEARCH("FAIL",F11)))</formula>
    </cfRule>
  </conditionalFormatting>
  <conditionalFormatting sqref="F11">
    <cfRule type="containsText" dxfId="3209" priority="10" operator="containsText" text="GOOD">
      <formula>NOT(ISERROR(SEARCH("GOOD",F11)))</formula>
    </cfRule>
  </conditionalFormatting>
  <conditionalFormatting sqref="D28">
    <cfRule type="expression" dxfId="3208" priority="9">
      <formula>H28=1</formula>
    </cfRule>
  </conditionalFormatting>
  <conditionalFormatting sqref="C27:C28">
    <cfRule type="expression" dxfId="3207" priority="8">
      <formula>H27=1</formula>
    </cfRule>
  </conditionalFormatting>
  <conditionalFormatting sqref="E28">
    <cfRule type="expression" dxfId="3206" priority="7">
      <formula>H28=1</formula>
    </cfRule>
  </conditionalFormatting>
  <conditionalFormatting sqref="D24">
    <cfRule type="expression" dxfId="3205" priority="6">
      <formula>H24=1</formula>
    </cfRule>
  </conditionalFormatting>
  <conditionalFormatting sqref="E24">
    <cfRule type="expression" dxfId="3204" priority="5">
      <formula>H24=1</formula>
    </cfRule>
  </conditionalFormatting>
  <conditionalFormatting sqref="D26:D27">
    <cfRule type="expression" dxfId="3203" priority="4">
      <formula>H26=1</formula>
    </cfRule>
  </conditionalFormatting>
  <conditionalFormatting sqref="E26:E27">
    <cfRule type="expression" dxfId="3202" priority="3">
      <formula>H26=1</formula>
    </cfRule>
  </conditionalFormatting>
  <conditionalFormatting sqref="E25">
    <cfRule type="expression" dxfId="3201" priority="1">
      <formula>H25=1</formula>
    </cfRule>
  </conditionalFormatting>
  <conditionalFormatting sqref="D25">
    <cfRule type="expression" dxfId="3200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:P47"/>
  <sheetViews>
    <sheetView zoomScaleNormal="100" workbookViewId="0">
      <selection activeCell="J7" sqref="J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1358</v>
      </c>
      <c r="I4" s="2" t="s">
        <v>4</v>
      </c>
      <c r="J4" t="s">
        <v>536</v>
      </c>
    </row>
    <row r="5" spans="1:16" x14ac:dyDescent="0.25">
      <c r="D5" s="2" t="s">
        <v>1</v>
      </c>
      <c r="F5" t="s">
        <v>1356</v>
      </c>
    </row>
    <row r="6" spans="1:16" x14ac:dyDescent="0.25">
      <c r="D6" s="2" t="s">
        <v>2</v>
      </c>
      <c r="F6" s="6">
        <v>43350</v>
      </c>
      <c r="H6" s="11"/>
    </row>
    <row r="7" spans="1:16" x14ac:dyDescent="0.25">
      <c r="D7" s="2" t="s">
        <v>3</v>
      </c>
      <c r="F7" s="5">
        <v>17920000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21068000</v>
      </c>
      <c r="H8" s="11"/>
    </row>
    <row r="9" spans="1:16" x14ac:dyDescent="0.25">
      <c r="D9" s="2" t="s">
        <v>67</v>
      </c>
      <c r="F9" s="4">
        <f>+F8-F7</f>
        <v>3148000</v>
      </c>
      <c r="G9" s="16">
        <f>+F9/F7</f>
        <v>0.17566964285714284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-4852500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22772500</v>
      </c>
      <c r="G12" s="14"/>
      <c r="H12" s="11">
        <f>COUNT(I23:I43)</f>
        <v>2</v>
      </c>
      <c r="I12" s="1" t="s">
        <v>31</v>
      </c>
      <c r="J12" s="4">
        <f>+F8*0.9</f>
        <v>18961200</v>
      </c>
      <c r="K12" s="1" t="s">
        <v>69</v>
      </c>
    </row>
    <row r="13" spans="1:16" x14ac:dyDescent="0.25">
      <c r="D13" s="2" t="s">
        <v>29</v>
      </c>
      <c r="F13" s="4">
        <f>MAX(I23:I43)-MIN(I23:I43)</f>
        <v>3409000</v>
      </c>
      <c r="G13" s="269">
        <f>MEDIAN(I23:I43)</f>
        <v>22772500</v>
      </c>
      <c r="H13" s="270"/>
      <c r="I13" s="1" t="s">
        <v>30</v>
      </c>
      <c r="J13" s="4">
        <f>+F12*1.1</f>
        <v>25049750.000000004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1357</v>
      </c>
      <c r="E23" s="33"/>
      <c r="F23" t="s">
        <v>165</v>
      </c>
      <c r="G23" t="s">
        <v>93</v>
      </c>
      <c r="H23">
        <f>RANK(I23,I$23:I$43,1)</f>
        <v>1</v>
      </c>
      <c r="I23" s="4">
        <v>21068000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592</v>
      </c>
      <c r="E24" s="33"/>
      <c r="F24" t="s">
        <v>88</v>
      </c>
      <c r="G24" t="s">
        <v>25</v>
      </c>
      <c r="H24">
        <f>RANK(I24,I$23:I$43,1)</f>
        <v>2</v>
      </c>
      <c r="I24" s="4">
        <v>24477000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199" priority="18" operator="containsText" text="FAIL">
      <formula>NOT(ISERROR(SEARCH("FAIL",I9)))</formula>
    </cfRule>
  </conditionalFormatting>
  <conditionalFormatting sqref="I9">
    <cfRule type="containsText" dxfId="3198" priority="17" operator="containsText" text="GOOD">
      <formula>NOT(ISERROR(SEARCH("GOOD",I9)))</formula>
    </cfRule>
  </conditionalFormatting>
  <conditionalFormatting sqref="F11">
    <cfRule type="containsText" dxfId="3197" priority="16" operator="containsText" text="FAIL">
      <formula>NOT(ISERROR(SEARCH("FAIL",F11)))</formula>
    </cfRule>
  </conditionalFormatting>
  <conditionalFormatting sqref="F11">
    <cfRule type="containsText" dxfId="3196" priority="15" operator="containsText" text="GOOD">
      <formula>NOT(ISERROR(SEARCH("GOOD",F11)))</formula>
    </cfRule>
  </conditionalFormatting>
  <conditionalFormatting sqref="D23 D29:D43">
    <cfRule type="expression" dxfId="3195" priority="14">
      <formula>H23=1</formula>
    </cfRule>
  </conditionalFormatting>
  <conditionalFormatting sqref="C29:C43 C23:C26">
    <cfRule type="expression" dxfId="3194" priority="13">
      <formula>H23=1</formula>
    </cfRule>
  </conditionalFormatting>
  <conditionalFormatting sqref="E23 E29:E43">
    <cfRule type="expression" dxfId="3193" priority="12">
      <formula>H23=1</formula>
    </cfRule>
  </conditionalFormatting>
  <conditionalFormatting sqref="F11">
    <cfRule type="containsText" dxfId="3192" priority="11" operator="containsText" text="FAIL">
      <formula>NOT(ISERROR(SEARCH("FAIL",F11)))</formula>
    </cfRule>
  </conditionalFormatting>
  <conditionalFormatting sqref="F11">
    <cfRule type="containsText" dxfId="3191" priority="10" operator="containsText" text="GOOD">
      <formula>NOT(ISERROR(SEARCH("GOOD",F11)))</formula>
    </cfRule>
  </conditionalFormatting>
  <conditionalFormatting sqref="D28">
    <cfRule type="expression" dxfId="3190" priority="9">
      <formula>H28=1</formula>
    </cfRule>
  </conditionalFormatting>
  <conditionalFormatting sqref="C27:C28">
    <cfRule type="expression" dxfId="3189" priority="8">
      <formula>H27=1</formula>
    </cfRule>
  </conditionalFormatting>
  <conditionalFormatting sqref="E28">
    <cfRule type="expression" dxfId="3188" priority="7">
      <formula>H28=1</formula>
    </cfRule>
  </conditionalFormatting>
  <conditionalFormatting sqref="D24">
    <cfRule type="expression" dxfId="3187" priority="6">
      <formula>H24=1</formula>
    </cfRule>
  </conditionalFormatting>
  <conditionalFormatting sqref="E24">
    <cfRule type="expression" dxfId="3186" priority="5">
      <formula>H24=1</formula>
    </cfRule>
  </conditionalFormatting>
  <conditionalFormatting sqref="D26:D27">
    <cfRule type="expression" dxfId="3185" priority="4">
      <formula>H26=1</formula>
    </cfRule>
  </conditionalFormatting>
  <conditionalFormatting sqref="E26:E27">
    <cfRule type="expression" dxfId="3184" priority="3">
      <formula>H26=1</formula>
    </cfRule>
  </conditionalFormatting>
  <conditionalFormatting sqref="E25">
    <cfRule type="expression" dxfId="3183" priority="1">
      <formula>H25=1</formula>
    </cfRule>
  </conditionalFormatting>
  <conditionalFormatting sqref="D25">
    <cfRule type="expression" dxfId="3182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:P47"/>
  <sheetViews>
    <sheetView zoomScaleNormal="100" workbookViewId="0">
      <selection activeCell="G27" sqref="G2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1352</v>
      </c>
      <c r="I4" s="2" t="s">
        <v>4</v>
      </c>
      <c r="J4" t="s">
        <v>1251</v>
      </c>
    </row>
    <row r="5" spans="1:16" x14ac:dyDescent="0.25">
      <c r="D5" s="2" t="s">
        <v>1</v>
      </c>
      <c r="F5" t="s">
        <v>712</v>
      </c>
    </row>
    <row r="6" spans="1:16" x14ac:dyDescent="0.25">
      <c r="D6" s="2" t="s">
        <v>2</v>
      </c>
      <c r="F6" s="6">
        <v>43340</v>
      </c>
      <c r="H6" s="11"/>
    </row>
    <row r="7" spans="1:16" x14ac:dyDescent="0.25">
      <c r="D7" s="2" t="s">
        <v>3</v>
      </c>
      <c r="F7" s="5">
        <v>2500000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2952000</v>
      </c>
      <c r="H8" s="11"/>
    </row>
    <row r="9" spans="1:16" x14ac:dyDescent="0.25">
      <c r="D9" s="2" t="s">
        <v>67</v>
      </c>
      <c r="F9" s="4">
        <f>+F8-F7</f>
        <v>452000</v>
      </c>
      <c r="G9" s="16">
        <f>+F9/F7</f>
        <v>0.18079999999999999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-1467900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3967900</v>
      </c>
      <c r="G12" s="14"/>
      <c r="H12" s="11">
        <f>COUNT(I23:I43)</f>
        <v>3</v>
      </c>
      <c r="I12" s="1" t="s">
        <v>31</v>
      </c>
      <c r="J12" s="4">
        <f>+F8*0.9</f>
        <v>2656800</v>
      </c>
      <c r="K12" s="1" t="s">
        <v>69</v>
      </c>
    </row>
    <row r="13" spans="1:16" x14ac:dyDescent="0.25">
      <c r="D13" s="2" t="s">
        <v>29</v>
      </c>
      <c r="F13" s="4">
        <f>MAX(I23:I43)-MIN(I23:I43)</f>
        <v>2765000</v>
      </c>
      <c r="G13" s="269">
        <f>MEDIAN(I23:I43)</f>
        <v>3234700</v>
      </c>
      <c r="H13" s="270"/>
      <c r="I13" s="1" t="s">
        <v>30</v>
      </c>
      <c r="J13" s="4">
        <f>+F12*1.1</f>
        <v>4364690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1353</v>
      </c>
      <c r="E23" s="33"/>
      <c r="F23" t="s">
        <v>92</v>
      </c>
      <c r="G23" t="s">
        <v>93</v>
      </c>
      <c r="H23">
        <f>RANK(I23,I$23:I$43,1)</f>
        <v>1</v>
      </c>
      <c r="I23" s="4">
        <v>2952000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713</v>
      </c>
      <c r="E24" s="33"/>
      <c r="F24" t="s">
        <v>549</v>
      </c>
      <c r="G24" t="s">
        <v>25</v>
      </c>
      <c r="H24">
        <f>RANK(I24,I$23:I$43,1)</f>
        <v>2</v>
      </c>
      <c r="I24" s="4">
        <v>3234700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502</v>
      </c>
      <c r="E25" s="33"/>
      <c r="F25" t="s">
        <v>95</v>
      </c>
      <c r="G25" t="s">
        <v>93</v>
      </c>
      <c r="H25">
        <f>RANK(I25,I$23:I$43,1)</f>
        <v>3</v>
      </c>
      <c r="I25" s="4">
        <v>5717000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181" priority="18" operator="containsText" text="FAIL">
      <formula>NOT(ISERROR(SEARCH("FAIL",I9)))</formula>
    </cfRule>
  </conditionalFormatting>
  <conditionalFormatting sqref="I9">
    <cfRule type="containsText" dxfId="3180" priority="17" operator="containsText" text="GOOD">
      <formula>NOT(ISERROR(SEARCH("GOOD",I9)))</formula>
    </cfRule>
  </conditionalFormatting>
  <conditionalFormatting sqref="F11">
    <cfRule type="containsText" dxfId="3179" priority="16" operator="containsText" text="FAIL">
      <formula>NOT(ISERROR(SEARCH("FAIL",F11)))</formula>
    </cfRule>
  </conditionalFormatting>
  <conditionalFormatting sqref="F11">
    <cfRule type="containsText" dxfId="3178" priority="15" operator="containsText" text="GOOD">
      <formula>NOT(ISERROR(SEARCH("GOOD",F11)))</formula>
    </cfRule>
  </conditionalFormatting>
  <conditionalFormatting sqref="D23 D29:D43">
    <cfRule type="expression" dxfId="3177" priority="14">
      <formula>H23=1</formula>
    </cfRule>
  </conditionalFormatting>
  <conditionalFormatting sqref="C29:C43 C23:C26">
    <cfRule type="expression" dxfId="3176" priority="13">
      <formula>H23=1</formula>
    </cfRule>
  </conditionalFormatting>
  <conditionalFormatting sqref="E23 E29:E43">
    <cfRule type="expression" dxfId="3175" priority="12">
      <formula>H23=1</formula>
    </cfRule>
  </conditionalFormatting>
  <conditionalFormatting sqref="F11">
    <cfRule type="containsText" dxfId="3174" priority="11" operator="containsText" text="FAIL">
      <formula>NOT(ISERROR(SEARCH("FAIL",F11)))</formula>
    </cfRule>
  </conditionalFormatting>
  <conditionalFormatting sqref="F11">
    <cfRule type="containsText" dxfId="3173" priority="10" operator="containsText" text="GOOD">
      <formula>NOT(ISERROR(SEARCH("GOOD",F11)))</formula>
    </cfRule>
  </conditionalFormatting>
  <conditionalFormatting sqref="D28">
    <cfRule type="expression" dxfId="3172" priority="9">
      <formula>H28=1</formula>
    </cfRule>
  </conditionalFormatting>
  <conditionalFormatting sqref="C27:C28">
    <cfRule type="expression" dxfId="3171" priority="8">
      <formula>H27=1</formula>
    </cfRule>
  </conditionalFormatting>
  <conditionalFormatting sqref="E28">
    <cfRule type="expression" dxfId="3170" priority="7">
      <formula>H28=1</formula>
    </cfRule>
  </conditionalFormatting>
  <conditionalFormatting sqref="D24">
    <cfRule type="expression" dxfId="3169" priority="6">
      <formula>H24=1</formula>
    </cfRule>
  </conditionalFormatting>
  <conditionalFormatting sqref="E24">
    <cfRule type="expression" dxfId="3168" priority="5">
      <formula>H24=1</formula>
    </cfRule>
  </conditionalFormatting>
  <conditionalFormatting sqref="D26:D27">
    <cfRule type="expression" dxfId="3167" priority="4">
      <formula>H26=1</formula>
    </cfRule>
  </conditionalFormatting>
  <conditionalFormatting sqref="E26:E27">
    <cfRule type="expression" dxfId="3166" priority="3">
      <formula>H26=1</formula>
    </cfRule>
  </conditionalFormatting>
  <conditionalFormatting sqref="E25">
    <cfRule type="expression" dxfId="3165" priority="1">
      <formula>H25=1</formula>
    </cfRule>
  </conditionalFormatting>
  <conditionalFormatting sqref="D25">
    <cfRule type="expression" dxfId="3164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:P47"/>
  <sheetViews>
    <sheetView zoomScaleNormal="100" workbookViewId="0">
      <selection activeCell="I24" sqref="I2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1349</v>
      </c>
      <c r="I4" s="2" t="s">
        <v>4</v>
      </c>
      <c r="J4" t="s">
        <v>1251</v>
      </c>
    </row>
    <row r="5" spans="1:16" x14ac:dyDescent="0.25">
      <c r="D5" s="2" t="s">
        <v>1</v>
      </c>
      <c r="F5" t="s">
        <v>1350</v>
      </c>
    </row>
    <row r="6" spans="1:16" x14ac:dyDescent="0.25">
      <c r="D6" s="2" t="s">
        <v>2</v>
      </c>
      <c r="F6" s="6">
        <v>43326</v>
      </c>
      <c r="H6" s="11"/>
    </row>
    <row r="7" spans="1:16" x14ac:dyDescent="0.25">
      <c r="D7" s="2" t="s">
        <v>3</v>
      </c>
      <c r="F7" s="5">
        <v>858000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743300</v>
      </c>
      <c r="H8" s="11"/>
    </row>
    <row r="9" spans="1:16" x14ac:dyDescent="0.25">
      <c r="D9" s="2" t="s">
        <v>67</v>
      </c>
      <c r="F9" s="4">
        <f>+F8-F7</f>
        <v>-114700</v>
      </c>
      <c r="G9" s="16">
        <f>+F9/F7</f>
        <v>-0.13368298368298367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-1281150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2139150</v>
      </c>
      <c r="G12" s="14"/>
      <c r="H12" s="11">
        <f>COUNT(I23:I43)</f>
        <v>2</v>
      </c>
      <c r="I12" s="1" t="s">
        <v>31</v>
      </c>
      <c r="J12" s="4">
        <f>+F8*0.9</f>
        <v>668970</v>
      </c>
      <c r="K12" s="1" t="s">
        <v>69</v>
      </c>
    </row>
    <row r="13" spans="1:16" x14ac:dyDescent="0.25">
      <c r="D13" s="2" t="s">
        <v>29</v>
      </c>
      <c r="F13" s="4">
        <f>MAX(I23:I43)-MIN(I23:I43)</f>
        <v>2791700</v>
      </c>
      <c r="G13" s="269">
        <f>MEDIAN(I23:I43)</f>
        <v>2139150</v>
      </c>
      <c r="H13" s="270"/>
      <c r="I13" s="1" t="s">
        <v>30</v>
      </c>
      <c r="J13" s="4">
        <f>+F12*1.1</f>
        <v>2353065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1351</v>
      </c>
      <c r="E23" s="33"/>
      <c r="F23" t="s">
        <v>95</v>
      </c>
      <c r="G23" t="s">
        <v>93</v>
      </c>
      <c r="H23">
        <f>RANK(I23,I$23:I$43,1)</f>
        <v>1</v>
      </c>
      <c r="I23" s="4">
        <v>743300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725</v>
      </c>
      <c r="E24" s="33"/>
      <c r="F24" t="s">
        <v>594</v>
      </c>
      <c r="G24" t="s">
        <v>25</v>
      </c>
      <c r="H24">
        <f>RANK(I24,I$23:I$43,1)</f>
        <v>2</v>
      </c>
      <c r="I24" s="4">
        <v>3535000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163" priority="18" operator="containsText" text="FAIL">
      <formula>NOT(ISERROR(SEARCH("FAIL",I9)))</formula>
    </cfRule>
  </conditionalFormatting>
  <conditionalFormatting sqref="I9">
    <cfRule type="containsText" dxfId="3162" priority="17" operator="containsText" text="GOOD">
      <formula>NOT(ISERROR(SEARCH("GOOD",I9)))</formula>
    </cfRule>
  </conditionalFormatting>
  <conditionalFormatting sqref="F11">
    <cfRule type="containsText" dxfId="3161" priority="16" operator="containsText" text="FAIL">
      <formula>NOT(ISERROR(SEARCH("FAIL",F11)))</formula>
    </cfRule>
  </conditionalFormatting>
  <conditionalFormatting sqref="F11">
    <cfRule type="containsText" dxfId="3160" priority="15" operator="containsText" text="GOOD">
      <formula>NOT(ISERROR(SEARCH("GOOD",F11)))</formula>
    </cfRule>
  </conditionalFormatting>
  <conditionalFormatting sqref="D23 D29:D43">
    <cfRule type="expression" dxfId="3159" priority="14">
      <formula>H23=1</formula>
    </cfRule>
  </conditionalFormatting>
  <conditionalFormatting sqref="C29:C43 C23:C26">
    <cfRule type="expression" dxfId="3158" priority="13">
      <formula>H23=1</formula>
    </cfRule>
  </conditionalFormatting>
  <conditionalFormatting sqref="E23 E29:E43">
    <cfRule type="expression" dxfId="3157" priority="12">
      <formula>H23=1</formula>
    </cfRule>
  </conditionalFormatting>
  <conditionalFormatting sqref="F11">
    <cfRule type="containsText" dxfId="3156" priority="11" operator="containsText" text="FAIL">
      <formula>NOT(ISERROR(SEARCH("FAIL",F11)))</formula>
    </cfRule>
  </conditionalFormatting>
  <conditionalFormatting sqref="F11">
    <cfRule type="containsText" dxfId="3155" priority="10" operator="containsText" text="GOOD">
      <formula>NOT(ISERROR(SEARCH("GOOD",F11)))</formula>
    </cfRule>
  </conditionalFormatting>
  <conditionalFormatting sqref="D28">
    <cfRule type="expression" dxfId="3154" priority="9">
      <formula>H28=1</formula>
    </cfRule>
  </conditionalFormatting>
  <conditionalFormatting sqref="C27:C28">
    <cfRule type="expression" dxfId="3153" priority="8">
      <formula>H27=1</formula>
    </cfRule>
  </conditionalFormatting>
  <conditionalFormatting sqref="E28">
    <cfRule type="expression" dxfId="3152" priority="7">
      <formula>H28=1</formula>
    </cfRule>
  </conditionalFormatting>
  <conditionalFormatting sqref="D24">
    <cfRule type="expression" dxfId="3151" priority="6">
      <formula>H24=1</formula>
    </cfRule>
  </conditionalFormatting>
  <conditionalFormatting sqref="E24">
    <cfRule type="expression" dxfId="3150" priority="5">
      <formula>H24=1</formula>
    </cfRule>
  </conditionalFormatting>
  <conditionalFormatting sqref="D26:D27">
    <cfRule type="expression" dxfId="3149" priority="4">
      <formula>H26=1</formula>
    </cfRule>
  </conditionalFormatting>
  <conditionalFormatting sqref="E26:E27">
    <cfRule type="expression" dxfId="3148" priority="3">
      <formula>H26=1</formula>
    </cfRule>
  </conditionalFormatting>
  <conditionalFormatting sqref="E25">
    <cfRule type="expression" dxfId="3147" priority="1">
      <formula>H25=1</formula>
    </cfRule>
  </conditionalFormatting>
  <conditionalFormatting sqref="D25">
    <cfRule type="expression" dxfId="3146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:O56"/>
  <sheetViews>
    <sheetView zoomScaleNormal="100" workbookViewId="0">
      <selection activeCell="K24" sqref="K2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3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3" ht="18.75" x14ac:dyDescent="0.3">
      <c r="C3" s="3" t="s">
        <v>26</v>
      </c>
      <c r="J3" s="8" t="s">
        <v>47</v>
      </c>
    </row>
    <row r="4" spans="1:13" x14ac:dyDescent="0.25">
      <c r="D4" s="2" t="s">
        <v>0</v>
      </c>
      <c r="E4" s="1"/>
      <c r="F4" t="s">
        <v>1347</v>
      </c>
      <c r="I4" s="2" t="s">
        <v>4</v>
      </c>
      <c r="J4" t="s">
        <v>1251</v>
      </c>
    </row>
    <row r="5" spans="1:13" x14ac:dyDescent="0.25">
      <c r="D5" s="2" t="s">
        <v>1</v>
      </c>
      <c r="F5" t="s">
        <v>1348</v>
      </c>
    </row>
    <row r="6" spans="1:13" x14ac:dyDescent="0.25">
      <c r="D6" s="2" t="s">
        <v>2</v>
      </c>
      <c r="F6" s="6">
        <v>43326</v>
      </c>
      <c r="H6" s="11"/>
    </row>
    <row r="7" spans="1:13" x14ac:dyDescent="0.25">
      <c r="D7" s="2" t="s">
        <v>3</v>
      </c>
      <c r="F7" s="5">
        <f>+I7+J7</f>
        <v>1300000</v>
      </c>
      <c r="G7" s="2" t="s">
        <v>1341</v>
      </c>
      <c r="H7" s="11"/>
      <c r="I7" s="19">
        <v>120000</v>
      </c>
      <c r="J7" s="19">
        <v>1180000</v>
      </c>
    </row>
    <row r="8" spans="1:13" x14ac:dyDescent="0.25">
      <c r="D8" s="2" t="s">
        <v>18</v>
      </c>
      <c r="F8" s="5">
        <f>MIN(K23:K43)</f>
        <v>695800</v>
      </c>
      <c r="H8" s="11"/>
      <c r="I8" s="18" t="s">
        <v>43</v>
      </c>
      <c r="J8" s="18" t="s">
        <v>44</v>
      </c>
    </row>
    <row r="9" spans="1:13" x14ac:dyDescent="0.25">
      <c r="D9" s="2" t="s">
        <v>19</v>
      </c>
      <c r="F9" s="4">
        <f>+F8-F7</f>
        <v>-604200</v>
      </c>
      <c r="G9" s="16">
        <f>+F9/F7</f>
        <v>-0.46476923076923077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3" x14ac:dyDescent="0.25">
      <c r="D10" s="2" t="s">
        <v>68</v>
      </c>
      <c r="F10" s="4">
        <f>+F7-F12</f>
        <v>242500</v>
      </c>
      <c r="H10" s="11"/>
    </row>
    <row r="11" spans="1:13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3" x14ac:dyDescent="0.25">
      <c r="D12" s="2" t="s">
        <v>28</v>
      </c>
      <c r="F12" s="4">
        <f>SUM(K23:K43)/H12</f>
        <v>1057500</v>
      </c>
      <c r="G12" s="14"/>
      <c r="H12" s="11">
        <f>COUNT(K23:K43)</f>
        <v>2</v>
      </c>
      <c r="I12" s="1" t="s">
        <v>31</v>
      </c>
      <c r="J12" s="4">
        <f>+F8*0.9</f>
        <v>626220</v>
      </c>
      <c r="K12" s="1" t="s">
        <v>69</v>
      </c>
    </row>
    <row r="13" spans="1:13" x14ac:dyDescent="0.25">
      <c r="D13" s="2" t="s">
        <v>29</v>
      </c>
      <c r="F13" s="4">
        <f>MAX(K23:K43)-MIN(K23:K43)</f>
        <v>723400</v>
      </c>
      <c r="G13" s="269">
        <f>MEDIAN(K23:K43)</f>
        <v>1057500</v>
      </c>
      <c r="H13" s="270"/>
      <c r="I13" s="1" t="s">
        <v>30</v>
      </c>
      <c r="J13" s="4">
        <f>+F12*1.1</f>
        <v>1163250</v>
      </c>
      <c r="K13" s="1" t="s">
        <v>70</v>
      </c>
    </row>
    <row r="14" spans="1:13" x14ac:dyDescent="0.25">
      <c r="H14" s="11"/>
    </row>
    <row r="15" spans="1:13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3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4.4067796610169491E-2</v>
      </c>
    </row>
    <row r="18" spans="3:15" x14ac:dyDescent="0.25">
      <c r="F18" s="4">
        <f>+F7</f>
        <v>1300000</v>
      </c>
      <c r="G18" s="1" t="s">
        <v>12</v>
      </c>
      <c r="H18" s="11"/>
      <c r="I18" t="s">
        <v>16</v>
      </c>
      <c r="J18" s="7">
        <f>+F8/F18</f>
        <v>0.53523076923076918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2.3193333333333333E-2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631</v>
      </c>
      <c r="E23" s="33"/>
      <c r="H23">
        <f>RANK(K23,K$23:K$43,1)</f>
        <v>2</v>
      </c>
      <c r="I23" s="4">
        <v>84200</v>
      </c>
      <c r="J23" s="4">
        <v>1335000</v>
      </c>
      <c r="K23" s="4">
        <f>+J23+I23</f>
        <v>1419200</v>
      </c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960</v>
      </c>
      <c r="E24" s="33"/>
      <c r="H24">
        <f>RANK(K24,K$23:K$43,1)</f>
        <v>1</v>
      </c>
      <c r="I24" s="4">
        <v>77310</v>
      </c>
      <c r="J24" s="4">
        <v>618490</v>
      </c>
      <c r="K24" s="4">
        <f>+J24+I24</f>
        <v>695800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>IF(H28=1,"u","")</f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3145" priority="35" operator="containsText" text="FAIL">
      <formula>NOT(ISERROR(SEARCH("FAIL",I9)))</formula>
    </cfRule>
  </conditionalFormatting>
  <conditionalFormatting sqref="I9">
    <cfRule type="containsText" dxfId="3144" priority="34" operator="containsText" text="GOOD">
      <formula>NOT(ISERROR(SEARCH("GOOD",I9)))</formula>
    </cfRule>
  </conditionalFormatting>
  <conditionalFormatting sqref="I9">
    <cfRule type="containsText" dxfId="3143" priority="33" operator="containsText" text="FAIL">
      <formula>NOT(ISERROR(SEARCH("FAIL",I9)))</formula>
    </cfRule>
  </conditionalFormatting>
  <conditionalFormatting sqref="I9">
    <cfRule type="containsText" dxfId="3142" priority="32" operator="containsText" text="GOOD">
      <formula>NOT(ISERROR(SEARCH("GOOD",I9)))</formula>
    </cfRule>
  </conditionalFormatting>
  <conditionalFormatting sqref="I9">
    <cfRule type="containsText" dxfId="3141" priority="31" operator="containsText" text="FAIL">
      <formula>NOT(ISERROR(SEARCH("FAIL",I9)))</formula>
    </cfRule>
  </conditionalFormatting>
  <conditionalFormatting sqref="I9">
    <cfRule type="containsText" dxfId="3140" priority="30" operator="containsText" text="GOOD">
      <formula>NOT(ISERROR(SEARCH("GOOD",I9)))</formula>
    </cfRule>
  </conditionalFormatting>
  <conditionalFormatting sqref="F11">
    <cfRule type="containsText" dxfId="3139" priority="29" operator="containsText" text="FAIL">
      <formula>NOT(ISERROR(SEARCH("FAIL",F11)))</formula>
    </cfRule>
  </conditionalFormatting>
  <conditionalFormatting sqref="F11">
    <cfRule type="containsText" dxfId="3138" priority="28" operator="containsText" text="GOOD">
      <formula>NOT(ISERROR(SEARCH("GOOD",F11)))</formula>
    </cfRule>
  </conditionalFormatting>
  <conditionalFormatting sqref="I9">
    <cfRule type="containsText" dxfId="3137" priority="27" operator="containsText" text="FAIL">
      <formula>NOT(ISERROR(SEARCH("FAIL",I9)))</formula>
    </cfRule>
  </conditionalFormatting>
  <conditionalFormatting sqref="I9">
    <cfRule type="containsText" dxfId="3136" priority="26" operator="containsText" text="GOOD">
      <formula>NOT(ISERROR(SEARCH("GOOD",I9)))</formula>
    </cfRule>
  </conditionalFormatting>
  <conditionalFormatting sqref="F11">
    <cfRule type="containsText" dxfId="3135" priority="25" operator="containsText" text="FAIL">
      <formula>NOT(ISERROR(SEARCH("FAIL",F11)))</formula>
    </cfRule>
  </conditionalFormatting>
  <conditionalFormatting sqref="F11">
    <cfRule type="containsText" dxfId="3134" priority="24" operator="containsText" text="GOOD">
      <formula>NOT(ISERROR(SEARCH("GOOD",F11)))</formula>
    </cfRule>
  </conditionalFormatting>
  <conditionalFormatting sqref="D25">
    <cfRule type="expression" dxfId="3133" priority="23" stopIfTrue="1">
      <formula>IF($H$25=1,0)</formula>
    </cfRule>
  </conditionalFormatting>
  <conditionalFormatting sqref="D39:D43 D25:D33">
    <cfRule type="expression" dxfId="3132" priority="22">
      <formula>H25=1</formula>
    </cfRule>
  </conditionalFormatting>
  <conditionalFormatting sqref="C23 C39:C43 C25:C33">
    <cfRule type="expression" dxfId="3131" priority="21">
      <formula>H23=1</formula>
    </cfRule>
  </conditionalFormatting>
  <conditionalFormatting sqref="E39:E43 E25:E33">
    <cfRule type="expression" dxfId="3130" priority="20">
      <formula>H25=1</formula>
    </cfRule>
  </conditionalFormatting>
  <conditionalFormatting sqref="E39:E43 E25:E33">
    <cfRule type="expression" dxfId="3129" priority="19">
      <formula>H25=1</formula>
    </cfRule>
  </conditionalFormatting>
  <conditionalFormatting sqref="F11">
    <cfRule type="containsText" dxfId="3128" priority="18" operator="containsText" text="FAIL">
      <formula>NOT(ISERROR(SEARCH("FAIL",F11)))</formula>
    </cfRule>
  </conditionalFormatting>
  <conditionalFormatting sqref="F11">
    <cfRule type="containsText" dxfId="3127" priority="17" operator="containsText" text="GOOD">
      <formula>NOT(ISERROR(SEARCH("GOOD",F11)))</formula>
    </cfRule>
  </conditionalFormatting>
  <conditionalFormatting sqref="D34:D37">
    <cfRule type="expression" dxfId="3126" priority="16">
      <formula>H34=1</formula>
    </cfRule>
  </conditionalFormatting>
  <conditionalFormatting sqref="C34:C37">
    <cfRule type="expression" dxfId="3125" priority="15">
      <formula>H34=1</formula>
    </cfRule>
  </conditionalFormatting>
  <conditionalFormatting sqref="E34:E37">
    <cfRule type="expression" dxfId="3124" priority="14">
      <formula>H34=1</formula>
    </cfRule>
  </conditionalFormatting>
  <conditionalFormatting sqref="E34:E37">
    <cfRule type="expression" dxfId="3123" priority="13">
      <formula>H34=1</formula>
    </cfRule>
  </conditionalFormatting>
  <conditionalFormatting sqref="D38">
    <cfRule type="expression" dxfId="3122" priority="12">
      <formula>H38=1</formula>
    </cfRule>
  </conditionalFormatting>
  <conditionalFormatting sqref="C38">
    <cfRule type="expression" dxfId="3121" priority="11">
      <formula>H38=1</formula>
    </cfRule>
  </conditionalFormatting>
  <conditionalFormatting sqref="E38">
    <cfRule type="expression" dxfId="3120" priority="10">
      <formula>H38=1</formula>
    </cfRule>
  </conditionalFormatting>
  <conditionalFormatting sqref="E38">
    <cfRule type="expression" dxfId="3119" priority="9">
      <formula>H38=1</formula>
    </cfRule>
  </conditionalFormatting>
  <conditionalFormatting sqref="E24">
    <cfRule type="expression" dxfId="3118" priority="4">
      <formula>H24=1</formula>
    </cfRule>
  </conditionalFormatting>
  <conditionalFormatting sqref="D24">
    <cfRule type="expression" dxfId="3117" priority="8" stopIfTrue="1">
      <formula>IF($H$25=1,0)</formula>
    </cfRule>
  </conditionalFormatting>
  <conditionalFormatting sqref="D24">
    <cfRule type="expression" dxfId="3116" priority="7">
      <formula>H24=1</formula>
    </cfRule>
  </conditionalFormatting>
  <conditionalFormatting sqref="C24">
    <cfRule type="expression" dxfId="3115" priority="6">
      <formula>H24=1</formula>
    </cfRule>
  </conditionalFormatting>
  <conditionalFormatting sqref="E24">
    <cfRule type="expression" dxfId="3114" priority="5">
      <formula>H24=1</formula>
    </cfRule>
  </conditionalFormatting>
  <conditionalFormatting sqref="D23">
    <cfRule type="expression" dxfId="3113" priority="3">
      <formula>H23=1</formula>
    </cfRule>
  </conditionalFormatting>
  <conditionalFormatting sqref="E23">
    <cfRule type="expression" dxfId="3112" priority="2">
      <formula>H23=1</formula>
    </cfRule>
  </conditionalFormatting>
  <conditionalFormatting sqref="E23">
    <cfRule type="expression" dxfId="3111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:P47"/>
  <sheetViews>
    <sheetView zoomScaleNormal="100" workbookViewId="0">
      <selection activeCell="M23" sqref="M23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1343</v>
      </c>
      <c r="I4" s="2" t="s">
        <v>4</v>
      </c>
      <c r="J4" t="s">
        <v>1251</v>
      </c>
    </row>
    <row r="5" spans="1:15" x14ac:dyDescent="0.25">
      <c r="D5" s="2" t="s">
        <v>1</v>
      </c>
      <c r="F5" t="s">
        <v>1346</v>
      </c>
    </row>
    <row r="6" spans="1:15" x14ac:dyDescent="0.25">
      <c r="D6" s="2" t="s">
        <v>2</v>
      </c>
      <c r="F6" s="6">
        <v>43319</v>
      </c>
      <c r="H6" s="11"/>
    </row>
    <row r="7" spans="1:15" x14ac:dyDescent="0.25">
      <c r="D7" s="2" t="s">
        <v>3</v>
      </c>
      <c r="F7" s="5">
        <f>+L7+K7+J7+I7+(M7*K7)</f>
        <v>54744000</v>
      </c>
      <c r="G7" s="2" t="s">
        <v>34</v>
      </c>
      <c r="H7" s="11"/>
      <c r="I7" s="19">
        <v>9200000</v>
      </c>
      <c r="J7" s="19">
        <v>39370000</v>
      </c>
      <c r="K7" s="19">
        <v>5145000</v>
      </c>
      <c r="L7" s="19">
        <v>0</v>
      </c>
      <c r="M7" s="20">
        <v>0.2</v>
      </c>
    </row>
    <row r="8" spans="1:15" x14ac:dyDescent="0.25">
      <c r="D8" s="2" t="s">
        <v>18</v>
      </c>
      <c r="F8" s="5">
        <f>MIN(M23:M43)</f>
        <v>34776250</v>
      </c>
      <c r="H8" s="11"/>
      <c r="I8" s="18" t="s">
        <v>43</v>
      </c>
      <c r="J8" s="18" t="s">
        <v>44</v>
      </c>
      <c r="K8" s="18" t="s">
        <v>49</v>
      </c>
      <c r="L8" s="18" t="s">
        <v>934</v>
      </c>
      <c r="M8" s="18" t="s">
        <v>50</v>
      </c>
    </row>
    <row r="9" spans="1:15" x14ac:dyDescent="0.25">
      <c r="D9" s="2" t="s">
        <v>19</v>
      </c>
      <c r="F9" s="4">
        <f>+F8-F7</f>
        <v>-19967750</v>
      </c>
      <c r="G9" s="16">
        <f>+F9/F7</f>
        <v>-0.36474773491158846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5" x14ac:dyDescent="0.25">
      <c r="D10" s="2" t="s">
        <v>68</v>
      </c>
      <c r="F10" s="4">
        <f>+F7-F12</f>
        <v>4884473.75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GOOD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49859526.25</v>
      </c>
      <c r="G12" s="14"/>
      <c r="H12" s="11">
        <f>COUNT(M23:M43)</f>
        <v>4</v>
      </c>
      <c r="I12" s="1" t="s">
        <v>31</v>
      </c>
      <c r="J12" s="4">
        <f>+F8*0.9</f>
        <v>31298625</v>
      </c>
      <c r="K12" s="1" t="s">
        <v>69</v>
      </c>
      <c r="L12" s="1"/>
      <c r="O12" t="str">
        <f>INDEX(D23:D43,MATCH(1,H23:H43,0))</f>
        <v>El Sol Contracting</v>
      </c>
    </row>
    <row r="13" spans="1:15" x14ac:dyDescent="0.25">
      <c r="D13" s="2" t="s">
        <v>29</v>
      </c>
      <c r="F13" s="4">
        <f>MAX(M23:M43)-MIN(M23:M43)</f>
        <v>23999943</v>
      </c>
      <c r="G13" s="269">
        <f>MEDIAN(M23:M43)</f>
        <v>52942831</v>
      </c>
      <c r="H13" s="270"/>
      <c r="I13" s="1" t="s">
        <v>30</v>
      </c>
      <c r="J13" s="4">
        <f>+F12*1.1</f>
        <v>54845478.875000007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5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6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6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>IF(H23=1,"u","")</f>
        <v/>
      </c>
      <c r="D23" s="11" t="s">
        <v>1344</v>
      </c>
      <c r="E23" s="33"/>
      <c r="F23" t="s">
        <v>92</v>
      </c>
      <c r="G23" t="s">
        <v>93</v>
      </c>
      <c r="H23">
        <f>RANK(M23,M$23:M$43,1)</f>
        <v>2</v>
      </c>
      <c r="I23" s="4">
        <v>12230500</v>
      </c>
      <c r="J23" s="4">
        <v>30150040</v>
      </c>
      <c r="K23" s="4">
        <v>0</v>
      </c>
      <c r="L23" s="7">
        <v>0.1</v>
      </c>
      <c r="M23" s="4">
        <f>+K23+I23+J23+(L23*K$7)+$K$7</f>
        <v>48040040</v>
      </c>
      <c r="N23" s="22"/>
      <c r="O23" s="22">
        <f>+L23*$K$7</f>
        <v>514500</v>
      </c>
      <c r="P23" s="22"/>
    </row>
    <row r="24" spans="3:16" x14ac:dyDescent="0.25">
      <c r="C24" s="33" t="str">
        <f>IF(H24=1,"u","")</f>
        <v>u</v>
      </c>
      <c r="D24" s="11" t="s">
        <v>1345</v>
      </c>
      <c r="E24" s="33"/>
      <c r="F24" t="s">
        <v>407</v>
      </c>
      <c r="G24" t="s">
        <v>93</v>
      </c>
      <c r="H24">
        <f>RANK(M24,M$23:M$43,1)</f>
        <v>1</v>
      </c>
      <c r="I24" s="4">
        <v>6686250</v>
      </c>
      <c r="J24" s="4">
        <v>22173250</v>
      </c>
      <c r="K24" s="4">
        <v>0</v>
      </c>
      <c r="L24" s="7">
        <v>0.15</v>
      </c>
      <c r="M24" s="4">
        <f>+K24+I24+J24+(L24*K$7)+$K$7</f>
        <v>34776250</v>
      </c>
      <c r="N24" s="22"/>
      <c r="O24" s="22">
        <f>+L24*$K$7</f>
        <v>771750</v>
      </c>
      <c r="P24" s="22"/>
    </row>
    <row r="25" spans="3:16" x14ac:dyDescent="0.25">
      <c r="C25" s="33" t="str">
        <f>IF(H25=1,"u","")</f>
        <v/>
      </c>
      <c r="D25" s="11" t="s">
        <v>491</v>
      </c>
      <c r="E25" s="33"/>
      <c r="F25" t="s">
        <v>203</v>
      </c>
      <c r="G25" t="s">
        <v>204</v>
      </c>
      <c r="H25">
        <f>RANK(M25,M$23:M$43,1)</f>
        <v>4</v>
      </c>
      <c r="I25" s="4">
        <v>6824175</v>
      </c>
      <c r="J25" s="4">
        <v>46498318</v>
      </c>
      <c r="K25" s="4">
        <v>0</v>
      </c>
      <c r="L25" s="7">
        <v>0.06</v>
      </c>
      <c r="M25" s="4">
        <f>+K25+I25+J25+(L25*K$7)+$K$7</f>
        <v>58776193</v>
      </c>
      <c r="N25" s="22"/>
      <c r="O25" s="22">
        <f>+L25*$K$7</f>
        <v>308700</v>
      </c>
      <c r="P25" s="22"/>
    </row>
    <row r="26" spans="3:16" x14ac:dyDescent="0.25">
      <c r="C26" s="33" t="str">
        <f t="shared" ref="C26:C43" si="0">IF(H26=1,"u","")</f>
        <v/>
      </c>
      <c r="D26" s="11" t="s">
        <v>542</v>
      </c>
      <c r="E26" s="33"/>
      <c r="F26" t="s">
        <v>161</v>
      </c>
      <c r="G26" t="s">
        <v>93</v>
      </c>
      <c r="H26">
        <f>RANK(M26,M$23:M$43,1)</f>
        <v>3</v>
      </c>
      <c r="I26" s="4">
        <v>10819350</v>
      </c>
      <c r="J26" s="4">
        <v>40852272</v>
      </c>
      <c r="K26" s="4">
        <v>0</v>
      </c>
      <c r="L26" s="7">
        <v>0.2</v>
      </c>
      <c r="M26" s="4">
        <f>+K26+I26+J26+(L26*K$7)+$K$7</f>
        <v>57845622</v>
      </c>
      <c r="N26" s="22"/>
      <c r="O26" s="22">
        <f>+L26*$K$7</f>
        <v>1029000</v>
      </c>
      <c r="P26" s="22"/>
    </row>
    <row r="27" spans="3:16" x14ac:dyDescent="0.25">
      <c r="C27" s="33" t="str">
        <f t="shared" si="0"/>
        <v/>
      </c>
      <c r="D27" s="11"/>
      <c r="E27" s="33"/>
      <c r="I27" s="4"/>
      <c r="J27" s="4"/>
      <c r="K27" s="4"/>
      <c r="L27" s="7"/>
      <c r="M27" s="4"/>
      <c r="N27" s="22"/>
      <c r="O27" s="22"/>
      <c r="P27" s="22"/>
    </row>
    <row r="28" spans="3:16" x14ac:dyDescent="0.25">
      <c r="C28" s="33"/>
      <c r="D28" s="11"/>
      <c r="E28" s="33"/>
      <c r="I28" s="4"/>
      <c r="J28" s="4"/>
      <c r="K28" s="4"/>
      <c r="L28" s="7"/>
      <c r="M28" s="4"/>
      <c r="N28" s="22"/>
      <c r="O28" s="22"/>
      <c r="P28" s="22"/>
    </row>
    <row r="29" spans="3:16" x14ac:dyDescent="0.25">
      <c r="C29" s="33"/>
      <c r="D29" s="11"/>
      <c r="E29" s="33"/>
      <c r="I29" s="4"/>
      <c r="J29" s="4"/>
      <c r="K29" s="7"/>
      <c r="L29" s="7"/>
      <c r="M29" s="4"/>
      <c r="N29" s="22"/>
      <c r="O29" s="22"/>
      <c r="P29" s="22"/>
    </row>
    <row r="30" spans="3:16" x14ac:dyDescent="0.25">
      <c r="C30" s="33" t="str">
        <f t="shared" si="0"/>
        <v/>
      </c>
      <c r="D30" s="11"/>
      <c r="E30" s="33" t="str">
        <f t="shared" ref="E30:E43" si="1">IF(H30=1,"t","")</f>
        <v/>
      </c>
      <c r="I30" s="4"/>
      <c r="J30" s="4"/>
      <c r="K30" s="7"/>
      <c r="L30" s="7"/>
      <c r="M30" s="4"/>
      <c r="N30" s="22"/>
      <c r="O30" s="22"/>
      <c r="P30" s="22">
        <f>+J13-F7</f>
        <v>101478.87500000745</v>
      </c>
    </row>
    <row r="31" spans="3:16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7"/>
      <c r="L31" s="7"/>
      <c r="M31" s="4"/>
      <c r="N31" s="22"/>
      <c r="O31" s="22"/>
      <c r="P31" s="22"/>
    </row>
    <row r="32" spans="3:16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7"/>
      <c r="L32" s="7"/>
      <c r="M32" s="4"/>
      <c r="N32" s="22"/>
      <c r="O32" s="22"/>
      <c r="P32" s="22"/>
    </row>
    <row r="33" spans="3:16" x14ac:dyDescent="0.25">
      <c r="C33" s="33" t="str">
        <f t="shared" si="0"/>
        <v/>
      </c>
      <c r="D33" s="11"/>
      <c r="E33" s="33" t="str">
        <f t="shared" si="1"/>
        <v/>
      </c>
      <c r="I33" s="4"/>
      <c r="J33" s="4"/>
      <c r="K33" s="7"/>
      <c r="L33" s="7"/>
      <c r="M33" s="4"/>
      <c r="N33" s="21"/>
      <c r="O33" s="21"/>
      <c r="P33" s="21"/>
    </row>
    <row r="34" spans="3:16" x14ac:dyDescent="0.25">
      <c r="C34" s="33" t="str">
        <f t="shared" si="0"/>
        <v/>
      </c>
      <c r="D34" s="11"/>
      <c r="E34" s="33" t="str">
        <f t="shared" si="1"/>
        <v/>
      </c>
      <c r="K34" s="7"/>
      <c r="L34" s="7"/>
      <c r="N34" s="21"/>
      <c r="O34" s="21"/>
      <c r="P34" s="21"/>
    </row>
    <row r="35" spans="3:16" x14ac:dyDescent="0.25">
      <c r="C35" s="33" t="str">
        <f t="shared" si="0"/>
        <v/>
      </c>
      <c r="D35" s="11"/>
      <c r="E35" s="33" t="str">
        <f t="shared" si="1"/>
        <v/>
      </c>
      <c r="K35" s="7"/>
      <c r="L35" s="7"/>
      <c r="N35" s="21"/>
      <c r="O35" s="21"/>
      <c r="P35" s="21"/>
    </row>
    <row r="36" spans="3:16" x14ac:dyDescent="0.25">
      <c r="C36" s="33" t="str">
        <f t="shared" si="0"/>
        <v/>
      </c>
      <c r="D36" s="11"/>
      <c r="E36" s="33" t="str">
        <f t="shared" si="1"/>
        <v/>
      </c>
      <c r="K36" s="7"/>
      <c r="L36" s="7"/>
      <c r="N36" s="21"/>
      <c r="O36" s="21"/>
      <c r="P36" s="21"/>
    </row>
    <row r="37" spans="3:16" x14ac:dyDescent="0.25">
      <c r="C37" s="33" t="str">
        <f t="shared" si="0"/>
        <v/>
      </c>
      <c r="D37" s="11"/>
      <c r="E37" s="33" t="str">
        <f t="shared" si="1"/>
        <v/>
      </c>
      <c r="K37" s="7"/>
      <c r="L37" s="7"/>
      <c r="N37" s="21"/>
      <c r="O37" s="21"/>
      <c r="P37" s="21"/>
    </row>
    <row r="38" spans="3:16" x14ac:dyDescent="0.25">
      <c r="C38" s="33" t="str">
        <f t="shared" si="0"/>
        <v/>
      </c>
      <c r="D38" s="11"/>
      <c r="E38" s="33" t="str">
        <f t="shared" si="1"/>
        <v/>
      </c>
      <c r="K38" s="7"/>
      <c r="L38" s="7"/>
      <c r="N38" s="21"/>
      <c r="O38" s="21"/>
      <c r="P38" s="21"/>
    </row>
    <row r="39" spans="3:16" x14ac:dyDescent="0.25">
      <c r="C39" s="33" t="str">
        <f t="shared" si="0"/>
        <v/>
      </c>
      <c r="D39" s="11"/>
      <c r="E39" s="33" t="str">
        <f t="shared" si="1"/>
        <v/>
      </c>
      <c r="K39" s="7"/>
      <c r="L39" s="7"/>
      <c r="N39" s="21"/>
      <c r="O39" s="21"/>
      <c r="P39" s="21"/>
    </row>
    <row r="40" spans="3:16" x14ac:dyDescent="0.25">
      <c r="C40" s="33" t="str">
        <f t="shared" si="0"/>
        <v/>
      </c>
      <c r="D40" s="11"/>
      <c r="E40" s="33" t="str">
        <f t="shared" si="1"/>
        <v/>
      </c>
      <c r="K40" s="7"/>
      <c r="L40" s="7"/>
      <c r="N40" s="21"/>
      <c r="O40" s="21"/>
      <c r="P40" s="21"/>
    </row>
    <row r="41" spans="3:16" x14ac:dyDescent="0.25">
      <c r="C41" s="33" t="str">
        <f t="shared" si="0"/>
        <v/>
      </c>
      <c r="D41" s="11"/>
      <c r="E41" s="33" t="str">
        <f t="shared" si="1"/>
        <v/>
      </c>
      <c r="K41" s="7"/>
      <c r="L41" s="7"/>
      <c r="N41" s="21"/>
      <c r="O41" s="21"/>
      <c r="P41" s="21"/>
    </row>
    <row r="42" spans="3:16" x14ac:dyDescent="0.25">
      <c r="C42" s="33" t="str">
        <f t="shared" si="0"/>
        <v/>
      </c>
      <c r="D42" s="11"/>
      <c r="E42" s="33" t="str">
        <f t="shared" si="1"/>
        <v/>
      </c>
      <c r="K42" s="7"/>
      <c r="L42" s="7"/>
      <c r="N42" s="21"/>
      <c r="O42" s="21"/>
      <c r="P42" s="21"/>
    </row>
    <row r="43" spans="3:16" x14ac:dyDescent="0.25">
      <c r="C43" s="33" t="str">
        <f t="shared" si="0"/>
        <v/>
      </c>
      <c r="D43" s="11"/>
      <c r="E43" s="33" t="str">
        <f t="shared" si="1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3110" priority="8" operator="containsText" text="FAIL">
      <formula>NOT(ISERROR(SEARCH("FAIL",F9)))</formula>
    </cfRule>
  </conditionalFormatting>
  <conditionalFormatting sqref="I9 F11">
    <cfRule type="containsText" dxfId="3109" priority="7" operator="containsText" text="GOOD">
      <formula>NOT(ISERROR(SEARCH("GOOD",F9)))</formula>
    </cfRule>
  </conditionalFormatting>
  <conditionalFormatting sqref="I9">
    <cfRule type="containsText" dxfId="3108" priority="6" operator="containsText" text="FAIL">
      <formula>NOT(ISERROR(SEARCH("FAIL",I9)))</formula>
    </cfRule>
  </conditionalFormatting>
  <conditionalFormatting sqref="I9">
    <cfRule type="containsText" dxfId="3107" priority="5" operator="containsText" text="GOOD">
      <formula>NOT(ISERROR(SEARCH("GOOD",I9)))</formula>
    </cfRule>
  </conditionalFormatting>
  <conditionalFormatting sqref="D25">
    <cfRule type="expression" dxfId="3106" priority="4" stopIfTrue="1">
      <formula>IF($H$25=1,0)</formula>
    </cfRule>
  </conditionalFormatting>
  <conditionalFormatting sqref="D23:D43">
    <cfRule type="expression" dxfId="3105" priority="3">
      <formula>H23=1</formula>
    </cfRule>
  </conditionalFormatting>
  <conditionalFormatting sqref="C23:C43">
    <cfRule type="expression" dxfId="3104" priority="2">
      <formula>H23=1</formula>
    </cfRule>
  </conditionalFormatting>
  <conditionalFormatting sqref="E23:E43">
    <cfRule type="expression" dxfId="3103" priority="1">
      <formula>H23=1</formula>
    </cfRule>
  </conditionalFormatting>
  <pageMargins left="0.7" right="0.7" top="0.75" bottom="0.75" header="0.3" footer="0.3"/>
  <pageSetup scale="77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:P47"/>
  <sheetViews>
    <sheetView zoomScaleNormal="100" workbookViewId="0">
      <selection activeCell="J26" sqref="J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1339</v>
      </c>
      <c r="I4" s="2" t="s">
        <v>4</v>
      </c>
      <c r="J4" t="s">
        <v>816</v>
      </c>
    </row>
    <row r="5" spans="1:16" x14ac:dyDescent="0.25">
      <c r="D5" s="2" t="s">
        <v>1</v>
      </c>
      <c r="F5" t="s">
        <v>1340</v>
      </c>
    </row>
    <row r="6" spans="1:16" x14ac:dyDescent="0.25">
      <c r="D6" s="2" t="s">
        <v>2</v>
      </c>
      <c r="F6" s="6">
        <v>43314</v>
      </c>
      <c r="H6" s="11"/>
    </row>
    <row r="7" spans="1:16" x14ac:dyDescent="0.25">
      <c r="D7" s="2" t="s">
        <v>3</v>
      </c>
      <c r="F7" s="5">
        <v>1980000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2882170</v>
      </c>
      <c r="H8" s="11"/>
    </row>
    <row r="9" spans="1:16" x14ac:dyDescent="0.25">
      <c r="D9" s="2" t="s">
        <v>67</v>
      </c>
      <c r="F9" s="4">
        <f>+F8-F7</f>
        <v>902170</v>
      </c>
      <c r="G9" s="16">
        <f>+F9/F7</f>
        <v>0.45564141414141413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-2487184.666666667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4467184.666666667</v>
      </c>
      <c r="G12" s="14"/>
      <c r="H12" s="11">
        <f>COUNT(I23:I43)</f>
        <v>6</v>
      </c>
      <c r="I12" s="1" t="s">
        <v>31</v>
      </c>
      <c r="J12" s="4">
        <f>+F8*0.9</f>
        <v>2593953</v>
      </c>
      <c r="K12" s="1" t="s">
        <v>69</v>
      </c>
    </row>
    <row r="13" spans="1:16" x14ac:dyDescent="0.25">
      <c r="D13" s="2" t="s">
        <v>29</v>
      </c>
      <c r="F13" s="4">
        <f>MAX(I23:I43)-MIN(I23:I43)</f>
        <v>3535280</v>
      </c>
      <c r="G13" s="269">
        <f>MEDIAN(I23:I43)</f>
        <v>4592363.5</v>
      </c>
      <c r="H13" s="270"/>
      <c r="I13" s="1" t="s">
        <v>30</v>
      </c>
      <c r="J13" s="4">
        <f>+F12*1.1</f>
        <v>4913903.1333333338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1313</v>
      </c>
      <c r="E23" s="33"/>
      <c r="F23" t="s">
        <v>1055</v>
      </c>
      <c r="G23" t="s">
        <v>93</v>
      </c>
      <c r="H23">
        <f t="shared" ref="H23:H28" si="0">RANK(I23,I$23:I$43,1)</f>
        <v>6</v>
      </c>
      <c r="I23" s="4">
        <v>6417450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631</v>
      </c>
      <c r="E24" s="33"/>
      <c r="F24" t="s">
        <v>131</v>
      </c>
      <c r="G24" t="s">
        <v>25</v>
      </c>
      <c r="H24">
        <f t="shared" si="0"/>
        <v>3</v>
      </c>
      <c r="I24" s="4">
        <v>4200000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882</v>
      </c>
      <c r="E25" s="33"/>
      <c r="F25" t="s">
        <v>95</v>
      </c>
      <c r="G25" t="s">
        <v>93</v>
      </c>
      <c r="H25">
        <f t="shared" si="0"/>
        <v>5</v>
      </c>
      <c r="I25" s="4">
        <v>5327761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722</v>
      </c>
      <c r="E26" s="33"/>
      <c r="F26" t="s">
        <v>179</v>
      </c>
      <c r="G26" t="s">
        <v>25</v>
      </c>
      <c r="H26">
        <f t="shared" si="0"/>
        <v>1</v>
      </c>
      <c r="I26" s="4">
        <v>2882170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725</v>
      </c>
      <c r="E27" s="33"/>
      <c r="F27" t="s">
        <v>594</v>
      </c>
      <c r="G27" t="s">
        <v>25</v>
      </c>
      <c r="H27">
        <f t="shared" si="0"/>
        <v>2</v>
      </c>
      <c r="I27" s="4">
        <v>2991000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895</v>
      </c>
      <c r="E28" s="33"/>
      <c r="F28" t="s">
        <v>95</v>
      </c>
      <c r="G28" t="s">
        <v>93</v>
      </c>
      <c r="H28">
        <f t="shared" si="0"/>
        <v>4</v>
      </c>
      <c r="I28" s="4">
        <v>4984727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102" priority="18" operator="containsText" text="FAIL">
      <formula>NOT(ISERROR(SEARCH("FAIL",I9)))</formula>
    </cfRule>
  </conditionalFormatting>
  <conditionalFormatting sqref="I9">
    <cfRule type="containsText" dxfId="3101" priority="17" operator="containsText" text="GOOD">
      <formula>NOT(ISERROR(SEARCH("GOOD",I9)))</formula>
    </cfRule>
  </conditionalFormatting>
  <conditionalFormatting sqref="F11">
    <cfRule type="containsText" dxfId="3100" priority="16" operator="containsText" text="FAIL">
      <formula>NOT(ISERROR(SEARCH("FAIL",F11)))</formula>
    </cfRule>
  </conditionalFormatting>
  <conditionalFormatting sqref="F11">
    <cfRule type="containsText" dxfId="3099" priority="15" operator="containsText" text="GOOD">
      <formula>NOT(ISERROR(SEARCH("GOOD",F11)))</formula>
    </cfRule>
  </conditionalFormatting>
  <conditionalFormatting sqref="D23 D29:D43">
    <cfRule type="expression" dxfId="3098" priority="14">
      <formula>H23=1</formula>
    </cfRule>
  </conditionalFormatting>
  <conditionalFormatting sqref="C29:C43 C23:C26">
    <cfRule type="expression" dxfId="3097" priority="13">
      <formula>H23=1</formula>
    </cfRule>
  </conditionalFormatting>
  <conditionalFormatting sqref="E23 E29:E43">
    <cfRule type="expression" dxfId="3096" priority="12">
      <formula>H23=1</formula>
    </cfRule>
  </conditionalFormatting>
  <conditionalFormatting sqref="F11">
    <cfRule type="containsText" dxfId="3095" priority="11" operator="containsText" text="FAIL">
      <formula>NOT(ISERROR(SEARCH("FAIL",F11)))</formula>
    </cfRule>
  </conditionalFormatting>
  <conditionalFormatting sqref="F11">
    <cfRule type="containsText" dxfId="3094" priority="10" operator="containsText" text="GOOD">
      <formula>NOT(ISERROR(SEARCH("GOOD",F11)))</formula>
    </cfRule>
  </conditionalFormatting>
  <conditionalFormatting sqref="D28">
    <cfRule type="expression" dxfId="3093" priority="9">
      <formula>H28=1</formula>
    </cfRule>
  </conditionalFormatting>
  <conditionalFormatting sqref="C27:C28">
    <cfRule type="expression" dxfId="3092" priority="8">
      <formula>H27=1</formula>
    </cfRule>
  </conditionalFormatting>
  <conditionalFormatting sqref="E28">
    <cfRule type="expression" dxfId="3091" priority="7">
      <formula>H28=1</formula>
    </cfRule>
  </conditionalFormatting>
  <conditionalFormatting sqref="D24">
    <cfRule type="expression" dxfId="3090" priority="6">
      <formula>H24=1</formula>
    </cfRule>
  </conditionalFormatting>
  <conditionalFormatting sqref="E24">
    <cfRule type="expression" dxfId="3089" priority="5">
      <formula>H24=1</formula>
    </cfRule>
  </conditionalFormatting>
  <conditionalFormatting sqref="D26:D27">
    <cfRule type="expression" dxfId="3088" priority="4">
      <formula>H26=1</formula>
    </cfRule>
  </conditionalFormatting>
  <conditionalFormatting sqref="E26:E27">
    <cfRule type="expression" dxfId="3087" priority="3">
      <formula>H26=1</formula>
    </cfRule>
  </conditionalFormatting>
  <conditionalFormatting sqref="E25">
    <cfRule type="expression" dxfId="3086" priority="1">
      <formula>H25=1</formula>
    </cfRule>
  </conditionalFormatting>
  <conditionalFormatting sqref="D25">
    <cfRule type="expression" dxfId="3085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:P47"/>
  <sheetViews>
    <sheetView zoomScaleNormal="100" workbookViewId="0">
      <selection activeCell="K29" sqref="K29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1354</v>
      </c>
      <c r="I4" s="2" t="s">
        <v>4</v>
      </c>
      <c r="J4" t="s">
        <v>784</v>
      </c>
    </row>
    <row r="5" spans="1:15" x14ac:dyDescent="0.25">
      <c r="D5" s="2" t="s">
        <v>1</v>
      </c>
      <c r="F5" t="s">
        <v>1355</v>
      </c>
    </row>
    <row r="6" spans="1:15" x14ac:dyDescent="0.25">
      <c r="D6" s="2" t="s">
        <v>2</v>
      </c>
      <c r="F6" s="6">
        <v>43311</v>
      </c>
      <c r="H6" s="11"/>
    </row>
    <row r="7" spans="1:15" x14ac:dyDescent="0.25">
      <c r="D7" s="2" t="s">
        <v>3</v>
      </c>
      <c r="F7" s="5">
        <f>+L7+K7+J7+I7+(M7*K7)</f>
        <v>9350000</v>
      </c>
      <c r="G7" s="2" t="s">
        <v>190</v>
      </c>
      <c r="H7" s="11"/>
      <c r="I7" s="19">
        <v>8100000</v>
      </c>
      <c r="J7" s="19">
        <v>0</v>
      </c>
      <c r="K7" s="19">
        <v>1250000</v>
      </c>
      <c r="L7" s="19">
        <v>0</v>
      </c>
      <c r="M7" s="20">
        <v>0</v>
      </c>
    </row>
    <row r="8" spans="1:15" x14ac:dyDescent="0.25">
      <c r="D8" s="2" t="s">
        <v>18</v>
      </c>
      <c r="F8" s="5">
        <f>MIN(M23:M43)</f>
        <v>6855365</v>
      </c>
      <c r="H8" s="11"/>
      <c r="I8" s="18" t="s">
        <v>43</v>
      </c>
      <c r="J8" s="18" t="s">
        <v>44</v>
      </c>
      <c r="K8" s="18" t="s">
        <v>49</v>
      </c>
      <c r="L8" s="18" t="s">
        <v>934</v>
      </c>
      <c r="M8" s="18" t="s">
        <v>50</v>
      </c>
    </row>
    <row r="9" spans="1:15" x14ac:dyDescent="0.25">
      <c r="D9" s="2" t="s">
        <v>19</v>
      </c>
      <c r="F9" s="4">
        <f>+F8-F7</f>
        <v>-2494635</v>
      </c>
      <c r="G9" s="16">
        <f>+F9/F7</f>
        <v>-0.26680588235294117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5" x14ac:dyDescent="0.25">
      <c r="D10" s="2" t="s">
        <v>68</v>
      </c>
      <c r="F10" s="4">
        <f>+F7-F12</f>
        <v>-737545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GOOD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10087545</v>
      </c>
      <c r="G12" s="14"/>
      <c r="H12" s="11">
        <f>COUNT(M23:M43)</f>
        <v>3</v>
      </c>
      <c r="I12" s="1" t="s">
        <v>31</v>
      </c>
      <c r="J12" s="4">
        <f>+F8*0.9</f>
        <v>6169828.5</v>
      </c>
      <c r="K12" s="1" t="s">
        <v>69</v>
      </c>
      <c r="L12" s="1"/>
      <c r="O12" t="str">
        <f>INDEX(D23:D43,MATCH(1,H23:H43,0))</f>
        <v>Tilcon New York</v>
      </c>
    </row>
    <row r="13" spans="1:15" x14ac:dyDescent="0.25">
      <c r="D13" s="2" t="s">
        <v>29</v>
      </c>
      <c r="F13" s="4">
        <f>MAX(M23:M43)-MIN(M23:M43)</f>
        <v>5130985</v>
      </c>
      <c r="G13" s="269">
        <f>MEDIAN(M23:M43)</f>
        <v>11420920</v>
      </c>
      <c r="H13" s="270"/>
      <c r="I13" s="1" t="s">
        <v>30</v>
      </c>
      <c r="J13" s="4">
        <f>+F12*1.1</f>
        <v>11096299.5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5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6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6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>IF(H23=1,"u","")</f>
        <v>u</v>
      </c>
      <c r="D23" s="11" t="s">
        <v>1270</v>
      </c>
      <c r="E23" s="33"/>
      <c r="F23" t="s">
        <v>115</v>
      </c>
      <c r="G23" t="s">
        <v>25</v>
      </c>
      <c r="H23">
        <f>RANK(M23,M$23:M$43,1)</f>
        <v>1</v>
      </c>
      <c r="I23" s="4">
        <v>5517865</v>
      </c>
      <c r="J23" s="4">
        <v>0</v>
      </c>
      <c r="K23" s="4">
        <v>0</v>
      </c>
      <c r="L23" s="7">
        <v>7.0000000000000007E-2</v>
      </c>
      <c r="M23" s="4">
        <f>+K23+I23+J23+(L23*K$7)+$K$7</f>
        <v>6855365</v>
      </c>
      <c r="N23" s="22"/>
      <c r="O23" s="22">
        <f>+L23*$K$7</f>
        <v>87500.000000000015</v>
      </c>
      <c r="P23" s="22"/>
    </row>
    <row r="24" spans="3:16" x14ac:dyDescent="0.25">
      <c r="C24" s="33" t="str">
        <f>IF(H24=1,"u","")</f>
        <v/>
      </c>
      <c r="D24" s="11" t="s">
        <v>440</v>
      </c>
      <c r="E24" s="33"/>
      <c r="F24" t="s">
        <v>193</v>
      </c>
      <c r="G24" t="s">
        <v>25</v>
      </c>
      <c r="H24">
        <f>RANK(M24,M$23:M$43,1)</f>
        <v>2</v>
      </c>
      <c r="I24" s="4">
        <v>9920920</v>
      </c>
      <c r="J24" s="4">
        <v>0</v>
      </c>
      <c r="K24" s="4">
        <v>0</v>
      </c>
      <c r="L24" s="7">
        <v>0.2</v>
      </c>
      <c r="M24" s="4">
        <f>+K24+I24+J24+(L24*K$7)+$K$7</f>
        <v>11420920</v>
      </c>
      <c r="N24" s="22"/>
      <c r="O24" s="22">
        <f>+L24*$K$7</f>
        <v>250000</v>
      </c>
      <c r="P24" s="22"/>
    </row>
    <row r="25" spans="3:16" x14ac:dyDescent="0.25">
      <c r="C25" s="33" t="str">
        <f>IF(H25=1,"u","")</f>
        <v/>
      </c>
      <c r="D25" s="11" t="s">
        <v>540</v>
      </c>
      <c r="E25" s="33"/>
      <c r="F25" t="s">
        <v>222</v>
      </c>
      <c r="G25" t="s">
        <v>25</v>
      </c>
      <c r="H25">
        <f>RANK(M25,M$23:M$43,1)</f>
        <v>3</v>
      </c>
      <c r="I25" s="4">
        <v>10423850</v>
      </c>
      <c r="J25" s="4">
        <v>0</v>
      </c>
      <c r="K25" s="4">
        <v>0</v>
      </c>
      <c r="L25" s="7">
        <v>0.25</v>
      </c>
      <c r="M25" s="4">
        <f>+K25+I25+J25+(L25*K$7)+$K$7</f>
        <v>11986350</v>
      </c>
      <c r="N25" s="22"/>
      <c r="O25" s="22">
        <f>+L25*$K$7</f>
        <v>312500</v>
      </c>
      <c r="P25" s="22"/>
    </row>
    <row r="26" spans="3:16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7"/>
      <c r="M26" s="4"/>
      <c r="N26" s="22"/>
      <c r="O26" s="22"/>
      <c r="P26" s="22"/>
    </row>
    <row r="27" spans="3:16" x14ac:dyDescent="0.25">
      <c r="C27" s="33" t="str">
        <f t="shared" si="0"/>
        <v/>
      </c>
      <c r="D27" s="11"/>
      <c r="E27" s="33"/>
      <c r="I27" s="4"/>
      <c r="J27" s="4"/>
      <c r="K27" s="4"/>
      <c r="L27" s="7"/>
      <c r="M27" s="4"/>
      <c r="N27" s="22"/>
      <c r="O27" s="22"/>
      <c r="P27" s="22"/>
    </row>
    <row r="28" spans="3:16" x14ac:dyDescent="0.25">
      <c r="C28" s="33"/>
      <c r="D28" s="11"/>
      <c r="E28" s="33"/>
      <c r="I28" s="4"/>
      <c r="J28" s="4"/>
      <c r="K28" s="4"/>
      <c r="L28" s="7"/>
      <c r="M28" s="4"/>
      <c r="N28" s="22"/>
      <c r="O28" s="22"/>
      <c r="P28" s="22"/>
    </row>
    <row r="29" spans="3:16" x14ac:dyDescent="0.25">
      <c r="C29" s="33"/>
      <c r="D29" s="11"/>
      <c r="E29" s="33"/>
      <c r="I29" s="4"/>
      <c r="J29" s="4"/>
      <c r="K29" s="7"/>
      <c r="L29" s="7"/>
      <c r="M29" s="4"/>
      <c r="N29" s="22"/>
      <c r="O29" s="22"/>
      <c r="P29" s="22"/>
    </row>
    <row r="30" spans="3:16" x14ac:dyDescent="0.25">
      <c r="C30" s="33" t="str">
        <f t="shared" si="0"/>
        <v/>
      </c>
      <c r="D30" s="11"/>
      <c r="E30" s="33" t="str">
        <f t="shared" ref="E30:E43" si="1">IF(H30=1,"t","")</f>
        <v/>
      </c>
      <c r="I30" s="4"/>
      <c r="J30" s="4"/>
      <c r="K30" s="7"/>
      <c r="L30" s="7"/>
      <c r="M30" s="4"/>
      <c r="N30" s="22"/>
      <c r="O30" s="22"/>
      <c r="P30" s="22"/>
    </row>
    <row r="31" spans="3:16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7"/>
      <c r="L31" s="7"/>
      <c r="M31" s="4"/>
      <c r="N31" s="22"/>
      <c r="O31" s="22"/>
      <c r="P31" s="22"/>
    </row>
    <row r="32" spans="3:16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7"/>
      <c r="L32" s="7"/>
      <c r="M32" s="4"/>
      <c r="N32" s="22"/>
      <c r="O32" s="22"/>
      <c r="P32" s="22"/>
    </row>
    <row r="33" spans="3:16" x14ac:dyDescent="0.25">
      <c r="C33" s="33" t="str">
        <f t="shared" si="0"/>
        <v/>
      </c>
      <c r="D33" s="11"/>
      <c r="E33" s="33" t="str">
        <f t="shared" si="1"/>
        <v/>
      </c>
      <c r="I33" s="4"/>
      <c r="J33" s="4"/>
      <c r="K33" s="7"/>
      <c r="L33" s="7"/>
      <c r="M33" s="4"/>
      <c r="N33" s="21"/>
      <c r="O33" s="21"/>
      <c r="P33" s="21"/>
    </row>
    <row r="34" spans="3:16" x14ac:dyDescent="0.25">
      <c r="C34" s="33" t="str">
        <f t="shared" si="0"/>
        <v/>
      </c>
      <c r="D34" s="11"/>
      <c r="E34" s="33" t="str">
        <f t="shared" si="1"/>
        <v/>
      </c>
      <c r="K34" s="7"/>
      <c r="L34" s="7"/>
      <c r="N34" s="21"/>
      <c r="O34" s="21"/>
      <c r="P34" s="21"/>
    </row>
    <row r="35" spans="3:16" x14ac:dyDescent="0.25">
      <c r="C35" s="33" t="str">
        <f t="shared" si="0"/>
        <v/>
      </c>
      <c r="D35" s="11"/>
      <c r="E35" s="33" t="str">
        <f t="shared" si="1"/>
        <v/>
      </c>
      <c r="K35" s="7"/>
      <c r="L35" s="7"/>
      <c r="N35" s="21"/>
      <c r="O35" s="21"/>
      <c r="P35" s="21"/>
    </row>
    <row r="36" spans="3:16" x14ac:dyDescent="0.25">
      <c r="C36" s="33" t="str">
        <f t="shared" si="0"/>
        <v/>
      </c>
      <c r="D36" s="11"/>
      <c r="E36" s="33" t="str">
        <f t="shared" si="1"/>
        <v/>
      </c>
      <c r="K36" s="7"/>
      <c r="L36" s="7"/>
      <c r="N36" s="21"/>
      <c r="O36" s="21"/>
      <c r="P36" s="21"/>
    </row>
    <row r="37" spans="3:16" x14ac:dyDescent="0.25">
      <c r="C37" s="33" t="str">
        <f t="shared" si="0"/>
        <v/>
      </c>
      <c r="D37" s="11"/>
      <c r="E37" s="33" t="str">
        <f t="shared" si="1"/>
        <v/>
      </c>
      <c r="K37" s="7"/>
      <c r="L37" s="7"/>
      <c r="N37" s="21"/>
      <c r="O37" s="21"/>
      <c r="P37" s="21"/>
    </row>
    <row r="38" spans="3:16" x14ac:dyDescent="0.25">
      <c r="C38" s="33" t="str">
        <f t="shared" si="0"/>
        <v/>
      </c>
      <c r="D38" s="11"/>
      <c r="E38" s="33" t="str">
        <f t="shared" si="1"/>
        <v/>
      </c>
      <c r="K38" s="7"/>
      <c r="L38" s="7"/>
      <c r="N38" s="21"/>
      <c r="O38" s="21"/>
      <c r="P38" s="21"/>
    </row>
    <row r="39" spans="3:16" x14ac:dyDescent="0.25">
      <c r="C39" s="33" t="str">
        <f t="shared" si="0"/>
        <v/>
      </c>
      <c r="D39" s="11"/>
      <c r="E39" s="33" t="str">
        <f t="shared" si="1"/>
        <v/>
      </c>
      <c r="K39" s="7"/>
      <c r="L39" s="7"/>
      <c r="N39" s="21"/>
      <c r="O39" s="21"/>
      <c r="P39" s="21"/>
    </row>
    <row r="40" spans="3:16" x14ac:dyDescent="0.25">
      <c r="C40" s="33" t="str">
        <f t="shared" si="0"/>
        <v/>
      </c>
      <c r="D40" s="11"/>
      <c r="E40" s="33" t="str">
        <f t="shared" si="1"/>
        <v/>
      </c>
      <c r="K40" s="7"/>
      <c r="L40" s="7"/>
      <c r="N40" s="21"/>
      <c r="O40" s="21"/>
      <c r="P40" s="21"/>
    </row>
    <row r="41" spans="3:16" x14ac:dyDescent="0.25">
      <c r="C41" s="33" t="str">
        <f t="shared" si="0"/>
        <v/>
      </c>
      <c r="D41" s="11"/>
      <c r="E41" s="33" t="str">
        <f t="shared" si="1"/>
        <v/>
      </c>
      <c r="K41" s="7"/>
      <c r="L41" s="7"/>
      <c r="N41" s="21"/>
      <c r="O41" s="21"/>
      <c r="P41" s="21"/>
    </row>
    <row r="42" spans="3:16" x14ac:dyDescent="0.25">
      <c r="C42" s="33" t="str">
        <f t="shared" si="0"/>
        <v/>
      </c>
      <c r="D42" s="11"/>
      <c r="E42" s="33" t="str">
        <f t="shared" si="1"/>
        <v/>
      </c>
      <c r="K42" s="7"/>
      <c r="L42" s="7"/>
      <c r="N42" s="21"/>
      <c r="O42" s="21"/>
      <c r="P42" s="21"/>
    </row>
    <row r="43" spans="3:16" x14ac:dyDescent="0.25">
      <c r="C43" s="33" t="str">
        <f t="shared" si="0"/>
        <v/>
      </c>
      <c r="D43" s="11"/>
      <c r="E43" s="33" t="str">
        <f t="shared" si="1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3084" priority="8" operator="containsText" text="FAIL">
      <formula>NOT(ISERROR(SEARCH("FAIL",F9)))</formula>
    </cfRule>
  </conditionalFormatting>
  <conditionalFormatting sqref="I9 F11">
    <cfRule type="containsText" dxfId="3083" priority="7" operator="containsText" text="GOOD">
      <formula>NOT(ISERROR(SEARCH("GOOD",F9)))</formula>
    </cfRule>
  </conditionalFormatting>
  <conditionalFormatting sqref="I9">
    <cfRule type="containsText" dxfId="3082" priority="6" operator="containsText" text="FAIL">
      <formula>NOT(ISERROR(SEARCH("FAIL",I9)))</formula>
    </cfRule>
  </conditionalFormatting>
  <conditionalFormatting sqref="I9">
    <cfRule type="containsText" dxfId="3081" priority="5" operator="containsText" text="GOOD">
      <formula>NOT(ISERROR(SEARCH("GOOD",I9)))</formula>
    </cfRule>
  </conditionalFormatting>
  <conditionalFormatting sqref="D25">
    <cfRule type="expression" dxfId="3080" priority="4" stopIfTrue="1">
      <formula>IF($H$25=1,0)</formula>
    </cfRule>
  </conditionalFormatting>
  <conditionalFormatting sqref="D23:D43">
    <cfRule type="expression" dxfId="3079" priority="3">
      <formula>H23=1</formula>
    </cfRule>
  </conditionalFormatting>
  <conditionalFormatting sqref="C23:C43">
    <cfRule type="expression" dxfId="3078" priority="2">
      <formula>H23=1</formula>
    </cfRule>
  </conditionalFormatting>
  <conditionalFormatting sqref="E23:E43">
    <cfRule type="expression" dxfId="3077" priority="1">
      <formula>H23=1</formula>
    </cfRule>
  </conditionalFormatting>
  <pageMargins left="0.7" right="0.7" top="0.75" bottom="0.75" header="0.3" footer="0.3"/>
  <pageSetup scale="77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:P47"/>
  <sheetViews>
    <sheetView zoomScaleNormal="100" workbookViewId="0">
      <selection activeCell="M26" sqref="M26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1337</v>
      </c>
      <c r="I4" s="2" t="s">
        <v>4</v>
      </c>
      <c r="J4" t="s">
        <v>784</v>
      </c>
    </row>
    <row r="5" spans="1:15" x14ac:dyDescent="0.25">
      <c r="D5" s="2" t="s">
        <v>1</v>
      </c>
      <c r="F5" t="s">
        <v>1338</v>
      </c>
    </row>
    <row r="6" spans="1:15" x14ac:dyDescent="0.25">
      <c r="D6" s="2" t="s">
        <v>2</v>
      </c>
      <c r="F6" s="6">
        <v>43299</v>
      </c>
      <c r="H6" s="11"/>
    </row>
    <row r="7" spans="1:15" x14ac:dyDescent="0.25">
      <c r="D7" s="2" t="s">
        <v>3</v>
      </c>
      <c r="F7" s="5">
        <f>+L7+K7+J7+I7+(M7*K7)</f>
        <v>34796400</v>
      </c>
      <c r="G7" s="2" t="s">
        <v>190</v>
      </c>
      <c r="H7" s="11"/>
      <c r="I7" s="19">
        <v>9900000</v>
      </c>
      <c r="J7" s="19">
        <v>22210000</v>
      </c>
      <c r="K7" s="19">
        <v>2686400</v>
      </c>
      <c r="L7" s="19">
        <v>0</v>
      </c>
      <c r="M7" s="20">
        <v>0</v>
      </c>
    </row>
    <row r="8" spans="1:15" x14ac:dyDescent="0.25">
      <c r="D8" s="2" t="s">
        <v>18</v>
      </c>
      <c r="F8" s="5">
        <f>MIN(M23:M43)</f>
        <v>34483510</v>
      </c>
      <c r="H8" s="11"/>
      <c r="I8" s="18" t="s">
        <v>43</v>
      </c>
      <c r="J8" s="18" t="s">
        <v>44</v>
      </c>
      <c r="K8" s="18" t="s">
        <v>49</v>
      </c>
      <c r="L8" s="18" t="s">
        <v>934</v>
      </c>
      <c r="M8" s="18" t="s">
        <v>50</v>
      </c>
    </row>
    <row r="9" spans="1:15" x14ac:dyDescent="0.25">
      <c r="D9" s="2" t="s">
        <v>19</v>
      </c>
      <c r="F9" s="4">
        <f>+F8-F7</f>
        <v>-312890</v>
      </c>
      <c r="G9" s="16">
        <f>+F9/F7</f>
        <v>-8.9920221632122863E-3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5" x14ac:dyDescent="0.25">
      <c r="D10" s="2" t="s">
        <v>68</v>
      </c>
      <c r="F10" s="4">
        <f>+F7-F12</f>
        <v>-674855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GOOD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35471255</v>
      </c>
      <c r="G12" s="14"/>
      <c r="H12" s="11">
        <f>COUNT(M23:M43)</f>
        <v>2</v>
      </c>
      <c r="I12" s="1" t="s">
        <v>31</v>
      </c>
      <c r="J12" s="4">
        <f>+F8*0.9</f>
        <v>31035159</v>
      </c>
      <c r="K12" s="1" t="s">
        <v>69</v>
      </c>
      <c r="L12" s="1"/>
      <c r="O12" t="str">
        <f>INDEX(D23:D43,MATCH(1,H23:H43,0))</f>
        <v>Tully Constr</v>
      </c>
    </row>
    <row r="13" spans="1:15" x14ac:dyDescent="0.25">
      <c r="D13" s="2" t="s">
        <v>29</v>
      </c>
      <c r="F13" s="4">
        <f>MAX(M23:M43)-MIN(M23:M43)</f>
        <v>1975490</v>
      </c>
      <c r="G13" s="269">
        <f>MEDIAN(M23:M43)</f>
        <v>35471255</v>
      </c>
      <c r="H13" s="270"/>
      <c r="I13" s="1" t="s">
        <v>30</v>
      </c>
      <c r="J13" s="4">
        <f>+F12*1.1</f>
        <v>39018380.5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5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6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6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>IF(H23=1,"u","")</f>
        <v>u</v>
      </c>
      <c r="D23" s="11" t="s">
        <v>541</v>
      </c>
      <c r="E23" s="33"/>
      <c r="F23" t="s">
        <v>159</v>
      </c>
      <c r="G23" t="s">
        <v>93</v>
      </c>
      <c r="H23">
        <f>RANK(M23,M$23:M$43,1)</f>
        <v>1</v>
      </c>
      <c r="I23" s="4">
        <v>8044150</v>
      </c>
      <c r="J23" s="4">
        <v>23350000</v>
      </c>
      <c r="K23" s="4">
        <v>0</v>
      </c>
      <c r="L23" s="7">
        <v>0.15</v>
      </c>
      <c r="M23" s="4">
        <f>+K23+I23+J23+(L23*K$7)+$K$7</f>
        <v>34483510</v>
      </c>
      <c r="N23" s="22"/>
      <c r="O23" s="22">
        <f>+L23*$K$7</f>
        <v>402960</v>
      </c>
      <c r="P23" s="22"/>
    </row>
    <row r="24" spans="3:16" x14ac:dyDescent="0.25">
      <c r="C24" s="33" t="str">
        <f>IF(H24=1,"u","")</f>
        <v/>
      </c>
      <c r="D24" s="11" t="s">
        <v>665</v>
      </c>
      <c r="E24" s="33"/>
      <c r="F24" t="s">
        <v>413</v>
      </c>
      <c r="G24" t="s">
        <v>93</v>
      </c>
      <c r="H24">
        <f>RANK(M24,M$23:M$43,1)</f>
        <v>2</v>
      </c>
      <c r="I24" s="4">
        <v>7459590</v>
      </c>
      <c r="J24" s="4">
        <v>25990642</v>
      </c>
      <c r="K24" s="4">
        <v>0</v>
      </c>
      <c r="L24" s="7">
        <v>0.12</v>
      </c>
      <c r="M24" s="4">
        <f>+K24+I24+J24+(L24*K$7)+$K$7</f>
        <v>36459000</v>
      </c>
      <c r="N24" s="22"/>
      <c r="O24" s="22">
        <f>+L24*$K$7</f>
        <v>322368</v>
      </c>
      <c r="P24" s="22"/>
    </row>
    <row r="25" spans="3:16" x14ac:dyDescent="0.25">
      <c r="C25" s="33" t="e">
        <f>IF(H25=1,"u","")</f>
        <v>#VALUE!</v>
      </c>
      <c r="D25" s="11" t="s">
        <v>540</v>
      </c>
      <c r="E25" s="33"/>
      <c r="F25" t="s">
        <v>222</v>
      </c>
      <c r="G25" t="s">
        <v>25</v>
      </c>
      <c r="H25" t="e">
        <f>RANK(M25,M$23:M$43,1)</f>
        <v>#VALUE!</v>
      </c>
      <c r="I25" s="4">
        <v>8783750</v>
      </c>
      <c r="J25" s="4">
        <v>17815835</v>
      </c>
      <c r="K25" s="4">
        <v>0</v>
      </c>
      <c r="L25" s="7">
        <v>0.1</v>
      </c>
      <c r="M25" s="4" t="s">
        <v>1342</v>
      </c>
      <c r="N25" s="22"/>
      <c r="O25" s="22">
        <f>+L25*$K$7</f>
        <v>268640</v>
      </c>
      <c r="P25" s="22"/>
    </row>
    <row r="26" spans="3:16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7"/>
      <c r="M26" s="4"/>
      <c r="N26" s="22"/>
      <c r="O26" s="22"/>
      <c r="P26" s="22"/>
    </row>
    <row r="27" spans="3:16" x14ac:dyDescent="0.25">
      <c r="C27" s="33" t="str">
        <f t="shared" si="0"/>
        <v/>
      </c>
      <c r="D27" s="11"/>
      <c r="E27" s="33"/>
      <c r="I27" s="4"/>
      <c r="J27" s="4"/>
      <c r="K27" s="4"/>
      <c r="L27" s="7"/>
      <c r="M27" s="4"/>
      <c r="N27" s="22"/>
      <c r="O27" s="22"/>
      <c r="P27" s="22"/>
    </row>
    <row r="28" spans="3:16" x14ac:dyDescent="0.25">
      <c r="C28" s="33"/>
      <c r="D28" s="11"/>
      <c r="E28" s="33"/>
      <c r="I28" s="4"/>
      <c r="J28" s="4"/>
      <c r="K28" s="4"/>
      <c r="L28" s="7"/>
      <c r="M28" s="4"/>
      <c r="N28" s="22"/>
      <c r="O28" s="22"/>
      <c r="P28" s="22"/>
    </row>
    <row r="29" spans="3:16" x14ac:dyDescent="0.25">
      <c r="C29" s="33"/>
      <c r="D29" s="11"/>
      <c r="E29" s="33"/>
      <c r="I29" s="4"/>
      <c r="J29" s="4"/>
      <c r="K29" s="7"/>
      <c r="L29" s="7"/>
      <c r="M29" s="4"/>
      <c r="N29" s="22"/>
      <c r="O29" s="22"/>
      <c r="P29" s="22"/>
    </row>
    <row r="30" spans="3:16" x14ac:dyDescent="0.25">
      <c r="C30" s="33" t="str">
        <f t="shared" si="0"/>
        <v/>
      </c>
      <c r="D30" s="11"/>
      <c r="E30" s="33" t="str">
        <f t="shared" ref="E30:E43" si="1">IF(H30=1,"t","")</f>
        <v/>
      </c>
      <c r="I30" s="4"/>
      <c r="J30" s="4"/>
      <c r="K30" s="7"/>
      <c r="L30" s="7"/>
      <c r="M30" s="4"/>
      <c r="N30" s="22"/>
      <c r="O30" s="22"/>
      <c r="P30" s="22"/>
    </row>
    <row r="31" spans="3:16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7"/>
      <c r="L31" s="7"/>
      <c r="M31" s="4"/>
      <c r="N31" s="22"/>
      <c r="O31" s="22"/>
      <c r="P31" s="22"/>
    </row>
    <row r="32" spans="3:16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7"/>
      <c r="L32" s="7"/>
      <c r="M32" s="4"/>
      <c r="N32" s="22"/>
      <c r="O32" s="22"/>
      <c r="P32" s="22"/>
    </row>
    <row r="33" spans="3:16" x14ac:dyDescent="0.25">
      <c r="C33" s="33" t="str">
        <f t="shared" si="0"/>
        <v/>
      </c>
      <c r="D33" s="11"/>
      <c r="E33" s="33" t="str">
        <f t="shared" si="1"/>
        <v/>
      </c>
      <c r="I33" s="4"/>
      <c r="J33" s="4"/>
      <c r="K33" s="7"/>
      <c r="L33" s="7"/>
      <c r="M33" s="4"/>
      <c r="N33" s="21"/>
      <c r="O33" s="21"/>
      <c r="P33" s="21"/>
    </row>
    <row r="34" spans="3:16" x14ac:dyDescent="0.25">
      <c r="C34" s="33" t="str">
        <f t="shared" si="0"/>
        <v/>
      </c>
      <c r="D34" s="11"/>
      <c r="E34" s="33" t="str">
        <f t="shared" si="1"/>
        <v/>
      </c>
      <c r="K34" s="7"/>
      <c r="L34" s="7"/>
      <c r="N34" s="21"/>
      <c r="O34" s="21"/>
      <c r="P34" s="21"/>
    </row>
    <row r="35" spans="3:16" x14ac:dyDescent="0.25">
      <c r="C35" s="33" t="str">
        <f t="shared" si="0"/>
        <v/>
      </c>
      <c r="D35" s="11"/>
      <c r="E35" s="33" t="str">
        <f t="shared" si="1"/>
        <v/>
      </c>
      <c r="K35" s="7"/>
      <c r="L35" s="7"/>
      <c r="N35" s="21"/>
      <c r="O35" s="21"/>
      <c r="P35" s="21"/>
    </row>
    <row r="36" spans="3:16" x14ac:dyDescent="0.25">
      <c r="C36" s="33" t="str">
        <f t="shared" si="0"/>
        <v/>
      </c>
      <c r="D36" s="11"/>
      <c r="E36" s="33" t="str">
        <f t="shared" si="1"/>
        <v/>
      </c>
      <c r="K36" s="7"/>
      <c r="L36" s="7"/>
      <c r="N36" s="21"/>
      <c r="O36" s="21"/>
      <c r="P36" s="21"/>
    </row>
    <row r="37" spans="3:16" x14ac:dyDescent="0.25">
      <c r="C37" s="33" t="str">
        <f t="shared" si="0"/>
        <v/>
      </c>
      <c r="D37" s="11"/>
      <c r="E37" s="33" t="str">
        <f t="shared" si="1"/>
        <v/>
      </c>
      <c r="K37" s="7"/>
      <c r="L37" s="7"/>
      <c r="N37" s="21"/>
      <c r="O37" s="21"/>
      <c r="P37" s="21"/>
    </row>
    <row r="38" spans="3:16" x14ac:dyDescent="0.25">
      <c r="C38" s="33" t="str">
        <f t="shared" si="0"/>
        <v/>
      </c>
      <c r="D38" s="11"/>
      <c r="E38" s="33" t="str">
        <f t="shared" si="1"/>
        <v/>
      </c>
      <c r="K38" s="7"/>
      <c r="L38" s="7"/>
      <c r="N38" s="21"/>
      <c r="O38" s="21"/>
      <c r="P38" s="21"/>
    </row>
    <row r="39" spans="3:16" x14ac:dyDescent="0.25">
      <c r="C39" s="33" t="str">
        <f t="shared" si="0"/>
        <v/>
      </c>
      <c r="D39" s="11"/>
      <c r="E39" s="33" t="str">
        <f t="shared" si="1"/>
        <v/>
      </c>
      <c r="K39" s="7"/>
      <c r="L39" s="7"/>
      <c r="N39" s="21"/>
      <c r="O39" s="21"/>
      <c r="P39" s="21"/>
    </row>
    <row r="40" spans="3:16" x14ac:dyDescent="0.25">
      <c r="C40" s="33" t="str">
        <f t="shared" si="0"/>
        <v/>
      </c>
      <c r="D40" s="11"/>
      <c r="E40" s="33" t="str">
        <f t="shared" si="1"/>
        <v/>
      </c>
      <c r="K40" s="7"/>
      <c r="L40" s="7"/>
      <c r="N40" s="21"/>
      <c r="O40" s="21"/>
      <c r="P40" s="21"/>
    </row>
    <row r="41" spans="3:16" x14ac:dyDescent="0.25">
      <c r="C41" s="33" t="str">
        <f t="shared" si="0"/>
        <v/>
      </c>
      <c r="D41" s="11"/>
      <c r="E41" s="33" t="str">
        <f t="shared" si="1"/>
        <v/>
      </c>
      <c r="K41" s="7"/>
      <c r="L41" s="7"/>
      <c r="N41" s="21"/>
      <c r="O41" s="21"/>
      <c r="P41" s="21"/>
    </row>
    <row r="42" spans="3:16" x14ac:dyDescent="0.25">
      <c r="C42" s="33" t="str">
        <f t="shared" si="0"/>
        <v/>
      </c>
      <c r="D42" s="11"/>
      <c r="E42" s="33" t="str">
        <f t="shared" si="1"/>
        <v/>
      </c>
      <c r="K42" s="7"/>
      <c r="L42" s="7"/>
      <c r="N42" s="21"/>
      <c r="O42" s="21"/>
      <c r="P42" s="21"/>
    </row>
    <row r="43" spans="3:16" x14ac:dyDescent="0.25">
      <c r="C43" s="33" t="str">
        <f t="shared" si="0"/>
        <v/>
      </c>
      <c r="D43" s="11"/>
      <c r="E43" s="33" t="str">
        <f t="shared" si="1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3076" priority="8" operator="containsText" text="FAIL">
      <formula>NOT(ISERROR(SEARCH("FAIL",F9)))</formula>
    </cfRule>
  </conditionalFormatting>
  <conditionalFormatting sqref="I9 F11">
    <cfRule type="containsText" dxfId="3075" priority="7" operator="containsText" text="GOOD">
      <formula>NOT(ISERROR(SEARCH("GOOD",F9)))</formula>
    </cfRule>
  </conditionalFormatting>
  <conditionalFormatting sqref="I9">
    <cfRule type="containsText" dxfId="3074" priority="6" operator="containsText" text="FAIL">
      <formula>NOT(ISERROR(SEARCH("FAIL",I9)))</formula>
    </cfRule>
  </conditionalFormatting>
  <conditionalFormatting sqref="I9">
    <cfRule type="containsText" dxfId="3073" priority="5" operator="containsText" text="GOOD">
      <formula>NOT(ISERROR(SEARCH("GOOD",I9)))</formula>
    </cfRule>
  </conditionalFormatting>
  <conditionalFormatting sqref="D25">
    <cfRule type="expression" dxfId="3072" priority="4" stopIfTrue="1">
      <formula>IF($H$25=1,0)</formula>
    </cfRule>
  </conditionalFormatting>
  <conditionalFormatting sqref="D23:D43">
    <cfRule type="expression" dxfId="3071" priority="3">
      <formula>H23=1</formula>
    </cfRule>
  </conditionalFormatting>
  <conditionalFormatting sqref="C23:C43">
    <cfRule type="expression" dxfId="3070" priority="2">
      <formula>H23=1</formula>
    </cfRule>
  </conditionalFormatting>
  <conditionalFormatting sqref="E23:E43">
    <cfRule type="expression" dxfId="3069" priority="1">
      <formula>H23=1</formula>
    </cfRule>
  </conditionalFormatting>
  <pageMargins left="0.7" right="0.7" top="0.75" bottom="0.75" header="0.3" footer="0.3"/>
  <pageSetup scale="77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:P47"/>
  <sheetViews>
    <sheetView zoomScaleNormal="100" workbookViewId="0">
      <selection activeCell="L9" sqref="L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1331</v>
      </c>
      <c r="I4" s="2" t="s">
        <v>4</v>
      </c>
      <c r="J4" t="s">
        <v>1251</v>
      </c>
    </row>
    <row r="5" spans="1:16" x14ac:dyDescent="0.25">
      <c r="D5" s="2" t="s">
        <v>1</v>
      </c>
      <c r="F5" t="s">
        <v>1332</v>
      </c>
    </row>
    <row r="6" spans="1:16" x14ac:dyDescent="0.25">
      <c r="D6" s="2" t="s">
        <v>2</v>
      </c>
      <c r="F6" s="6">
        <v>43299</v>
      </c>
      <c r="H6" s="11"/>
    </row>
    <row r="7" spans="1:16" x14ac:dyDescent="0.25">
      <c r="D7" s="2" t="s">
        <v>3</v>
      </c>
      <c r="F7" s="5">
        <v>3570000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3861000</v>
      </c>
      <c r="H8" s="11"/>
    </row>
    <row r="9" spans="1:16" x14ac:dyDescent="0.25">
      <c r="D9" s="2" t="s">
        <v>67</v>
      </c>
      <c r="F9" s="4">
        <f>+F8-F7</f>
        <v>291000</v>
      </c>
      <c r="G9" s="16">
        <f>+F9/F7</f>
        <v>8.1512605042016809E-2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-1965683.333333333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5535683.333333333</v>
      </c>
      <c r="G12" s="14"/>
      <c r="H12" s="11">
        <f>COUNT(I23:I43)</f>
        <v>6</v>
      </c>
      <c r="I12" s="1" t="s">
        <v>31</v>
      </c>
      <c r="J12" s="4">
        <f>+F8*0.9</f>
        <v>3474900</v>
      </c>
      <c r="K12" s="1" t="s">
        <v>69</v>
      </c>
    </row>
    <row r="13" spans="1:16" x14ac:dyDescent="0.25">
      <c r="D13" s="2" t="s">
        <v>29</v>
      </c>
      <c r="F13" s="4">
        <f>MAX(I23:I43)-MIN(I23:I43)</f>
        <v>2969000</v>
      </c>
      <c r="G13" s="269">
        <f>MEDIAN(I23:I43)</f>
        <v>5487550</v>
      </c>
      <c r="H13" s="270"/>
      <c r="I13" s="1" t="s">
        <v>30</v>
      </c>
      <c r="J13" s="4">
        <f>+F12*1.1</f>
        <v>6089251.666666667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1333</v>
      </c>
      <c r="E23" s="33"/>
      <c r="F23" t="s">
        <v>1115</v>
      </c>
      <c r="G23" t="s">
        <v>25</v>
      </c>
      <c r="H23">
        <f t="shared" ref="H23:H28" si="0">RANK(I23,I$23:I$43,1)</f>
        <v>6</v>
      </c>
      <c r="I23" s="4">
        <v>6830000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1334</v>
      </c>
      <c r="E24" s="33"/>
      <c r="F24" t="s">
        <v>201</v>
      </c>
      <c r="G24" t="s">
        <v>25</v>
      </c>
      <c r="H24">
        <f t="shared" si="0"/>
        <v>2</v>
      </c>
      <c r="I24" s="4">
        <v>4779000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1335</v>
      </c>
      <c r="E25" s="33"/>
      <c r="F25" t="s">
        <v>95</v>
      </c>
      <c r="G25" t="s">
        <v>93</v>
      </c>
      <c r="H25">
        <f t="shared" si="0"/>
        <v>4</v>
      </c>
      <c r="I25" s="4">
        <v>5603100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824</v>
      </c>
      <c r="E26" s="33"/>
      <c r="F26" t="s">
        <v>186</v>
      </c>
      <c r="G26" t="s">
        <v>25</v>
      </c>
      <c r="H26">
        <f t="shared" si="0"/>
        <v>1</v>
      </c>
      <c r="I26" s="4">
        <v>3861000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700</v>
      </c>
      <c r="E27" s="33"/>
      <c r="F27" t="s">
        <v>95</v>
      </c>
      <c r="G27" t="s">
        <v>93</v>
      </c>
      <c r="H27">
        <f t="shared" si="0"/>
        <v>5</v>
      </c>
      <c r="I27" s="4">
        <v>6769000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1336</v>
      </c>
      <c r="E28" s="33"/>
      <c r="F28" t="s">
        <v>181</v>
      </c>
      <c r="G28" t="s">
        <v>93</v>
      </c>
      <c r="H28">
        <f t="shared" si="0"/>
        <v>3</v>
      </c>
      <c r="I28" s="4">
        <v>5372000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068" priority="18" operator="containsText" text="FAIL">
      <formula>NOT(ISERROR(SEARCH("FAIL",I9)))</formula>
    </cfRule>
  </conditionalFormatting>
  <conditionalFormatting sqref="I9">
    <cfRule type="containsText" dxfId="3067" priority="17" operator="containsText" text="GOOD">
      <formula>NOT(ISERROR(SEARCH("GOOD",I9)))</formula>
    </cfRule>
  </conditionalFormatting>
  <conditionalFormatting sqref="F11">
    <cfRule type="containsText" dxfId="3066" priority="16" operator="containsText" text="FAIL">
      <formula>NOT(ISERROR(SEARCH("FAIL",F11)))</formula>
    </cfRule>
  </conditionalFormatting>
  <conditionalFormatting sqref="F11">
    <cfRule type="containsText" dxfId="3065" priority="15" operator="containsText" text="GOOD">
      <formula>NOT(ISERROR(SEARCH("GOOD",F11)))</formula>
    </cfRule>
  </conditionalFormatting>
  <conditionalFormatting sqref="D23 D29:D43">
    <cfRule type="expression" dxfId="3064" priority="14">
      <formula>H23=1</formula>
    </cfRule>
  </conditionalFormatting>
  <conditionalFormatting sqref="C29:C43 C23:C26">
    <cfRule type="expression" dxfId="3063" priority="13">
      <formula>H23=1</formula>
    </cfRule>
  </conditionalFormatting>
  <conditionalFormatting sqref="E23 E29:E43">
    <cfRule type="expression" dxfId="3062" priority="12">
      <formula>H23=1</formula>
    </cfRule>
  </conditionalFormatting>
  <conditionalFormatting sqref="F11">
    <cfRule type="containsText" dxfId="3061" priority="11" operator="containsText" text="FAIL">
      <formula>NOT(ISERROR(SEARCH("FAIL",F11)))</formula>
    </cfRule>
  </conditionalFormatting>
  <conditionalFormatting sqref="F11">
    <cfRule type="containsText" dxfId="3060" priority="10" operator="containsText" text="GOOD">
      <formula>NOT(ISERROR(SEARCH("GOOD",F11)))</formula>
    </cfRule>
  </conditionalFormatting>
  <conditionalFormatting sqref="D28">
    <cfRule type="expression" dxfId="3059" priority="9">
      <formula>H28=1</formula>
    </cfRule>
  </conditionalFormatting>
  <conditionalFormatting sqref="C27:C28">
    <cfRule type="expression" dxfId="3058" priority="8">
      <formula>H27=1</formula>
    </cfRule>
  </conditionalFormatting>
  <conditionalFormatting sqref="E28">
    <cfRule type="expression" dxfId="3057" priority="7">
      <formula>H28=1</formula>
    </cfRule>
  </conditionalFormatting>
  <conditionalFormatting sqref="D24">
    <cfRule type="expression" dxfId="3056" priority="6">
      <formula>H24=1</formula>
    </cfRule>
  </conditionalFormatting>
  <conditionalFormatting sqref="E24">
    <cfRule type="expression" dxfId="3055" priority="5">
      <formula>H24=1</formula>
    </cfRule>
  </conditionalFormatting>
  <conditionalFormatting sqref="D26:D27">
    <cfRule type="expression" dxfId="3054" priority="4">
      <formula>H26=1</formula>
    </cfRule>
  </conditionalFormatting>
  <conditionalFormatting sqref="E26:E27">
    <cfRule type="expression" dxfId="3053" priority="3">
      <formula>H26=1</formula>
    </cfRule>
  </conditionalFormatting>
  <conditionalFormatting sqref="E25">
    <cfRule type="expression" dxfId="3052" priority="1">
      <formula>H25=1</formula>
    </cfRule>
  </conditionalFormatting>
  <conditionalFormatting sqref="D25">
    <cfRule type="expression" dxfId="3051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:O56"/>
  <sheetViews>
    <sheetView zoomScaleNormal="100" workbookViewId="0">
      <selection activeCell="H29" sqref="H2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3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3" ht="18.75" x14ac:dyDescent="0.3">
      <c r="C3" s="3" t="s">
        <v>26</v>
      </c>
      <c r="J3" s="8" t="s">
        <v>47</v>
      </c>
    </row>
    <row r="4" spans="1:13" x14ac:dyDescent="0.25">
      <c r="D4" s="2" t="s">
        <v>0</v>
      </c>
      <c r="E4" s="1"/>
      <c r="F4" t="s">
        <v>1330</v>
      </c>
      <c r="I4" s="2" t="s">
        <v>4</v>
      </c>
      <c r="J4" t="s">
        <v>784</v>
      </c>
    </row>
    <row r="5" spans="1:13" x14ac:dyDescent="0.25">
      <c r="D5" s="2" t="s">
        <v>1</v>
      </c>
      <c r="F5" t="s">
        <v>1292</v>
      </c>
    </row>
    <row r="6" spans="1:13" x14ac:dyDescent="0.25">
      <c r="D6" s="2" t="s">
        <v>2</v>
      </c>
      <c r="F6" s="6">
        <v>43287</v>
      </c>
      <c r="H6" s="11"/>
    </row>
    <row r="7" spans="1:13" x14ac:dyDescent="0.25">
      <c r="D7" s="2" t="s">
        <v>3</v>
      </c>
      <c r="F7" s="5">
        <f>+I7+J7</f>
        <v>3730000</v>
      </c>
      <c r="G7" s="2" t="s">
        <v>190</v>
      </c>
      <c r="H7" s="11"/>
      <c r="I7" s="19">
        <v>1596000</v>
      </c>
      <c r="J7" s="19">
        <v>2134000</v>
      </c>
    </row>
    <row r="8" spans="1:13" x14ac:dyDescent="0.25">
      <c r="D8" s="2" t="s">
        <v>18</v>
      </c>
      <c r="F8" s="5">
        <f>MIN(K23:K43)</f>
        <v>4547000</v>
      </c>
      <c r="H8" s="11"/>
      <c r="I8" s="18" t="s">
        <v>43</v>
      </c>
      <c r="J8" s="18" t="s">
        <v>44</v>
      </c>
    </row>
    <row r="9" spans="1:13" x14ac:dyDescent="0.25">
      <c r="D9" s="2" t="s">
        <v>19</v>
      </c>
      <c r="F9" s="4">
        <f>+F8-F7</f>
        <v>817000</v>
      </c>
      <c r="G9" s="16">
        <f>+F9/F7</f>
        <v>0.2190348525469169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3" x14ac:dyDescent="0.25">
      <c r="D10" s="2" t="s">
        <v>68</v>
      </c>
      <c r="F10" s="4">
        <f>+F7-F12</f>
        <v>-987276.66666666698</v>
      </c>
      <c r="H10" s="11"/>
    </row>
    <row r="11" spans="1:13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3" x14ac:dyDescent="0.25">
      <c r="D12" s="2" t="s">
        <v>28</v>
      </c>
      <c r="F12" s="4">
        <f>SUM(K23:K43)/H12</f>
        <v>4717276.666666667</v>
      </c>
      <c r="G12" s="14"/>
      <c r="H12" s="11">
        <f>COUNT(K23:K43)</f>
        <v>3</v>
      </c>
      <c r="I12" s="1" t="s">
        <v>31</v>
      </c>
      <c r="J12" s="4">
        <f>+F8*0.9</f>
        <v>4092300</v>
      </c>
      <c r="K12" s="1" t="s">
        <v>69</v>
      </c>
    </row>
    <row r="13" spans="1:13" x14ac:dyDescent="0.25">
      <c r="D13" s="2" t="s">
        <v>29</v>
      </c>
      <c r="F13" s="4">
        <f>MAX(K23:K43)-MIN(K23:K43)</f>
        <v>408830</v>
      </c>
      <c r="G13" s="269">
        <f>MEDIAN(K23:K43)</f>
        <v>4649000</v>
      </c>
      <c r="H13" s="270"/>
      <c r="I13" s="1" t="s">
        <v>30</v>
      </c>
      <c r="J13" s="4">
        <f>+F12*1.1</f>
        <v>5189004.333333334</v>
      </c>
      <c r="K13" s="1" t="s">
        <v>70</v>
      </c>
    </row>
    <row r="14" spans="1:13" x14ac:dyDescent="0.25">
      <c r="H14" s="11"/>
    </row>
    <row r="15" spans="1:13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3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0.1264406779661017</v>
      </c>
    </row>
    <row r="18" spans="3:15" x14ac:dyDescent="0.25">
      <c r="F18" s="4">
        <f>+F7</f>
        <v>3730000</v>
      </c>
      <c r="G18" s="1" t="s">
        <v>12</v>
      </c>
      <c r="H18" s="11"/>
      <c r="I18" t="s">
        <v>16</v>
      </c>
      <c r="J18" s="7">
        <f>+F8/F18</f>
        <v>1.2190348525469168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0.15156666666666666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440</v>
      </c>
      <c r="E23" s="33"/>
      <c r="F23" t="s">
        <v>193</v>
      </c>
      <c r="G23" t="s">
        <v>25</v>
      </c>
      <c r="H23">
        <f>RANK(K23,K$23:K$43,1)</f>
        <v>3</v>
      </c>
      <c r="I23" s="4">
        <v>1108200</v>
      </c>
      <c r="J23" s="4">
        <v>3847630</v>
      </c>
      <c r="K23" s="4">
        <f>+J23+I23</f>
        <v>4955830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540</v>
      </c>
      <c r="E24" s="33"/>
      <c r="F24" t="s">
        <v>222</v>
      </c>
      <c r="G24" t="s">
        <v>25</v>
      </c>
      <c r="H24">
        <f>RANK(K24,K$23:K$43,1)</f>
        <v>2</v>
      </c>
      <c r="I24" s="4">
        <v>1243700</v>
      </c>
      <c r="J24" s="4">
        <v>3405300</v>
      </c>
      <c r="K24" s="4">
        <f>+J24+I24</f>
        <v>4649000</v>
      </c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1270</v>
      </c>
      <c r="E25" s="33"/>
      <c r="F25" t="s">
        <v>192</v>
      </c>
      <c r="G25" t="s">
        <v>25</v>
      </c>
      <c r="H25">
        <f>RANK(K25,K$23:K$43,1)</f>
        <v>1</v>
      </c>
      <c r="I25" s="4">
        <v>1037440</v>
      </c>
      <c r="J25" s="4">
        <v>3509560</v>
      </c>
      <c r="K25" s="4">
        <f>+J25+I25</f>
        <v>4547000</v>
      </c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>IF(H28=1,"u","")</f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3050" priority="35" operator="containsText" text="FAIL">
      <formula>NOT(ISERROR(SEARCH("FAIL",I9)))</formula>
    </cfRule>
  </conditionalFormatting>
  <conditionalFormatting sqref="I9">
    <cfRule type="containsText" dxfId="3049" priority="34" operator="containsText" text="GOOD">
      <formula>NOT(ISERROR(SEARCH("GOOD",I9)))</formula>
    </cfRule>
  </conditionalFormatting>
  <conditionalFormatting sqref="I9">
    <cfRule type="containsText" dxfId="3048" priority="33" operator="containsText" text="FAIL">
      <formula>NOT(ISERROR(SEARCH("FAIL",I9)))</formula>
    </cfRule>
  </conditionalFormatting>
  <conditionalFormatting sqref="I9">
    <cfRule type="containsText" dxfId="3047" priority="32" operator="containsText" text="GOOD">
      <formula>NOT(ISERROR(SEARCH("GOOD",I9)))</formula>
    </cfRule>
  </conditionalFormatting>
  <conditionalFormatting sqref="I9">
    <cfRule type="containsText" dxfId="3046" priority="31" operator="containsText" text="FAIL">
      <formula>NOT(ISERROR(SEARCH("FAIL",I9)))</formula>
    </cfRule>
  </conditionalFormatting>
  <conditionalFormatting sqref="I9">
    <cfRule type="containsText" dxfId="3045" priority="30" operator="containsText" text="GOOD">
      <formula>NOT(ISERROR(SEARCH("GOOD",I9)))</formula>
    </cfRule>
  </conditionalFormatting>
  <conditionalFormatting sqref="F11">
    <cfRule type="containsText" dxfId="3044" priority="29" operator="containsText" text="FAIL">
      <formula>NOT(ISERROR(SEARCH("FAIL",F11)))</formula>
    </cfRule>
  </conditionalFormatting>
  <conditionalFormatting sqref="F11">
    <cfRule type="containsText" dxfId="3043" priority="28" operator="containsText" text="GOOD">
      <formula>NOT(ISERROR(SEARCH("GOOD",F11)))</formula>
    </cfRule>
  </conditionalFormatting>
  <conditionalFormatting sqref="I9">
    <cfRule type="containsText" dxfId="3042" priority="27" operator="containsText" text="FAIL">
      <formula>NOT(ISERROR(SEARCH("FAIL",I9)))</formula>
    </cfRule>
  </conditionalFormatting>
  <conditionalFormatting sqref="I9">
    <cfRule type="containsText" dxfId="3041" priority="26" operator="containsText" text="GOOD">
      <formula>NOT(ISERROR(SEARCH("GOOD",I9)))</formula>
    </cfRule>
  </conditionalFormatting>
  <conditionalFormatting sqref="F11">
    <cfRule type="containsText" dxfId="3040" priority="25" operator="containsText" text="FAIL">
      <formula>NOT(ISERROR(SEARCH("FAIL",F11)))</formula>
    </cfRule>
  </conditionalFormatting>
  <conditionalFormatting sqref="F11">
    <cfRule type="containsText" dxfId="3039" priority="24" operator="containsText" text="GOOD">
      <formula>NOT(ISERROR(SEARCH("GOOD",F11)))</formula>
    </cfRule>
  </conditionalFormatting>
  <conditionalFormatting sqref="D25">
    <cfRule type="expression" dxfId="3038" priority="23" stopIfTrue="1">
      <formula>IF($H$25=1,0)</formula>
    </cfRule>
  </conditionalFormatting>
  <conditionalFormatting sqref="D39:D43 D25:D33">
    <cfRule type="expression" dxfId="3037" priority="22">
      <formula>H25=1</formula>
    </cfRule>
  </conditionalFormatting>
  <conditionalFormatting sqref="C23 C39:C43 C25:C33">
    <cfRule type="expression" dxfId="3036" priority="21">
      <formula>H23=1</formula>
    </cfRule>
  </conditionalFormatting>
  <conditionalFormatting sqref="E39:E43 E25:E33">
    <cfRule type="expression" dxfId="3035" priority="20">
      <formula>H25=1</formula>
    </cfRule>
  </conditionalFormatting>
  <conditionalFormatting sqref="E39:E43 E25:E33">
    <cfRule type="expression" dxfId="3034" priority="19">
      <formula>H25=1</formula>
    </cfRule>
  </conditionalFormatting>
  <conditionalFormatting sqref="F11">
    <cfRule type="containsText" dxfId="3033" priority="18" operator="containsText" text="FAIL">
      <formula>NOT(ISERROR(SEARCH("FAIL",F11)))</formula>
    </cfRule>
  </conditionalFormatting>
  <conditionalFormatting sqref="F11">
    <cfRule type="containsText" dxfId="3032" priority="17" operator="containsText" text="GOOD">
      <formula>NOT(ISERROR(SEARCH("GOOD",F11)))</formula>
    </cfRule>
  </conditionalFormatting>
  <conditionalFormatting sqref="D34:D37">
    <cfRule type="expression" dxfId="3031" priority="16">
      <formula>H34=1</formula>
    </cfRule>
  </conditionalFormatting>
  <conditionalFormatting sqref="C34:C37">
    <cfRule type="expression" dxfId="3030" priority="15">
      <formula>H34=1</formula>
    </cfRule>
  </conditionalFormatting>
  <conditionalFormatting sqref="E34:E37">
    <cfRule type="expression" dxfId="3029" priority="14">
      <formula>H34=1</formula>
    </cfRule>
  </conditionalFormatting>
  <conditionalFormatting sqref="E34:E37">
    <cfRule type="expression" dxfId="3028" priority="13">
      <formula>H34=1</formula>
    </cfRule>
  </conditionalFormatting>
  <conditionalFormatting sqref="D38">
    <cfRule type="expression" dxfId="3027" priority="12">
      <formula>H38=1</formula>
    </cfRule>
  </conditionalFormatting>
  <conditionalFormatting sqref="C38">
    <cfRule type="expression" dxfId="3026" priority="11">
      <formula>H38=1</formula>
    </cfRule>
  </conditionalFormatting>
  <conditionalFormatting sqref="E38">
    <cfRule type="expression" dxfId="3025" priority="10">
      <formula>H38=1</formula>
    </cfRule>
  </conditionalFormatting>
  <conditionalFormatting sqref="E38">
    <cfRule type="expression" dxfId="3024" priority="9">
      <formula>H38=1</formula>
    </cfRule>
  </conditionalFormatting>
  <conditionalFormatting sqref="E24">
    <cfRule type="expression" dxfId="3023" priority="4">
      <formula>H24=1</formula>
    </cfRule>
  </conditionalFormatting>
  <conditionalFormatting sqref="D24">
    <cfRule type="expression" dxfId="3022" priority="8" stopIfTrue="1">
      <formula>IF($H$25=1,0)</formula>
    </cfRule>
  </conditionalFormatting>
  <conditionalFormatting sqref="D24">
    <cfRule type="expression" dxfId="3021" priority="7">
      <formula>H24=1</formula>
    </cfRule>
  </conditionalFormatting>
  <conditionalFormatting sqref="C24">
    <cfRule type="expression" dxfId="3020" priority="6">
      <formula>H24=1</formula>
    </cfRule>
  </conditionalFormatting>
  <conditionalFormatting sqref="E24">
    <cfRule type="expression" dxfId="3019" priority="5">
      <formula>H24=1</formula>
    </cfRule>
  </conditionalFormatting>
  <conditionalFormatting sqref="D23">
    <cfRule type="expression" dxfId="3018" priority="3">
      <formula>H23=1</formula>
    </cfRule>
  </conditionalFormatting>
  <conditionalFormatting sqref="E23">
    <cfRule type="expression" dxfId="3017" priority="2">
      <formula>H23=1</formula>
    </cfRule>
  </conditionalFormatting>
  <conditionalFormatting sqref="E23">
    <cfRule type="expression" dxfId="3016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:P47"/>
  <sheetViews>
    <sheetView zoomScaleNormal="100" workbookViewId="0">
      <selection activeCell="J4" sqref="J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1325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1326</v>
      </c>
    </row>
    <row r="6" spans="1:16" x14ac:dyDescent="0.25">
      <c r="D6" s="2" t="s">
        <v>2</v>
      </c>
      <c r="F6" s="6">
        <v>43264</v>
      </c>
      <c r="H6" s="11"/>
    </row>
    <row r="7" spans="1:16" x14ac:dyDescent="0.25">
      <c r="D7" s="2" t="s">
        <v>3</v>
      </c>
      <c r="F7" s="5">
        <v>38600000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35950000</v>
      </c>
      <c r="H8" s="11"/>
    </row>
    <row r="9" spans="1:16" x14ac:dyDescent="0.25">
      <c r="D9" s="2" t="s">
        <v>67</v>
      </c>
      <c r="F9" s="4">
        <f>+F8-F7</f>
        <v>-2650000</v>
      </c>
      <c r="G9" s="16">
        <f>+F9/F7</f>
        <v>-6.8652849740932637E-2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-1322000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39922000</v>
      </c>
      <c r="G12" s="14"/>
      <c r="H12" s="11">
        <f>COUNT(I23:I43)</f>
        <v>2</v>
      </c>
      <c r="I12" s="1" t="s">
        <v>31</v>
      </c>
      <c r="J12" s="4">
        <f>+F8*0.9</f>
        <v>32355000</v>
      </c>
      <c r="K12" s="1" t="s">
        <v>69</v>
      </c>
    </row>
    <row r="13" spans="1:16" x14ac:dyDescent="0.25">
      <c r="D13" s="2" t="s">
        <v>29</v>
      </c>
      <c r="F13" s="4">
        <f>MAX(I23:I43)-MIN(I23:I43)</f>
        <v>7944000</v>
      </c>
      <c r="G13" s="269">
        <f>MEDIAN(I23:I43)</f>
        <v>39922000</v>
      </c>
      <c r="H13" s="270"/>
      <c r="I13" s="1" t="s">
        <v>30</v>
      </c>
      <c r="J13" s="4">
        <f>+F12*1.1</f>
        <v>43914200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1327</v>
      </c>
      <c r="E23" s="33"/>
      <c r="F23" t="s">
        <v>1328</v>
      </c>
      <c r="G23" t="s">
        <v>93</v>
      </c>
      <c r="H23">
        <f>RANK(I23,I$23:I$43,1)</f>
        <v>1</v>
      </c>
      <c r="I23" s="4">
        <v>35950000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1243</v>
      </c>
      <c r="E24" s="33"/>
      <c r="F24" t="s">
        <v>292</v>
      </c>
      <c r="G24" t="s">
        <v>25</v>
      </c>
      <c r="H24">
        <f>RANK(I24,I$23:I$43,1)</f>
        <v>2</v>
      </c>
      <c r="I24" s="4">
        <v>43894000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015" priority="18" operator="containsText" text="FAIL">
      <formula>NOT(ISERROR(SEARCH("FAIL",I9)))</formula>
    </cfRule>
  </conditionalFormatting>
  <conditionalFormatting sqref="I9">
    <cfRule type="containsText" dxfId="3014" priority="17" operator="containsText" text="GOOD">
      <formula>NOT(ISERROR(SEARCH("GOOD",I9)))</formula>
    </cfRule>
  </conditionalFormatting>
  <conditionalFormatting sqref="F11">
    <cfRule type="containsText" dxfId="3013" priority="16" operator="containsText" text="FAIL">
      <formula>NOT(ISERROR(SEARCH("FAIL",F11)))</formula>
    </cfRule>
  </conditionalFormatting>
  <conditionalFormatting sqref="F11">
    <cfRule type="containsText" dxfId="3012" priority="15" operator="containsText" text="GOOD">
      <formula>NOT(ISERROR(SEARCH("GOOD",F11)))</formula>
    </cfRule>
  </conditionalFormatting>
  <conditionalFormatting sqref="D23 D29:D43">
    <cfRule type="expression" dxfId="3011" priority="14">
      <formula>H23=1</formula>
    </cfRule>
  </conditionalFormatting>
  <conditionalFormatting sqref="C29:C43 C23:C26">
    <cfRule type="expression" dxfId="3010" priority="13">
      <formula>H23=1</formula>
    </cfRule>
  </conditionalFormatting>
  <conditionalFormatting sqref="E23 E29:E43">
    <cfRule type="expression" dxfId="3009" priority="12">
      <formula>H23=1</formula>
    </cfRule>
  </conditionalFormatting>
  <conditionalFormatting sqref="F11">
    <cfRule type="containsText" dxfId="3008" priority="11" operator="containsText" text="FAIL">
      <formula>NOT(ISERROR(SEARCH("FAIL",F11)))</formula>
    </cfRule>
  </conditionalFormatting>
  <conditionalFormatting sqref="F11">
    <cfRule type="containsText" dxfId="3007" priority="10" operator="containsText" text="GOOD">
      <formula>NOT(ISERROR(SEARCH("GOOD",F11)))</formula>
    </cfRule>
  </conditionalFormatting>
  <conditionalFormatting sqref="D28">
    <cfRule type="expression" dxfId="3006" priority="9">
      <formula>H28=1</formula>
    </cfRule>
  </conditionalFormatting>
  <conditionalFormatting sqref="C27:C28">
    <cfRule type="expression" dxfId="3005" priority="8">
      <formula>H27=1</formula>
    </cfRule>
  </conditionalFormatting>
  <conditionalFormatting sqref="E28">
    <cfRule type="expression" dxfId="3004" priority="7">
      <formula>H28=1</formula>
    </cfRule>
  </conditionalFormatting>
  <conditionalFormatting sqref="D24">
    <cfRule type="expression" dxfId="3003" priority="6">
      <formula>H24=1</formula>
    </cfRule>
  </conditionalFormatting>
  <conditionalFormatting sqref="E24">
    <cfRule type="expression" dxfId="3002" priority="5">
      <formula>H24=1</formula>
    </cfRule>
  </conditionalFormatting>
  <conditionalFormatting sqref="D26:D27">
    <cfRule type="expression" dxfId="3001" priority="4">
      <formula>H26=1</formula>
    </cfRule>
  </conditionalFormatting>
  <conditionalFormatting sqref="E26:E27">
    <cfRule type="expression" dxfId="3000" priority="3">
      <formula>H26=1</formula>
    </cfRule>
  </conditionalFormatting>
  <conditionalFormatting sqref="E25">
    <cfRule type="expression" dxfId="2999" priority="1">
      <formula>H25=1</formula>
    </cfRule>
  </conditionalFormatting>
  <conditionalFormatting sqref="D25">
    <cfRule type="expression" dxfId="2998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:P47"/>
  <sheetViews>
    <sheetView zoomScaleNormal="100" workbookViewId="0">
      <selection activeCell="I23" sqref="I2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1316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1317</v>
      </c>
    </row>
    <row r="6" spans="1:16" x14ac:dyDescent="0.25">
      <c r="D6" s="2" t="s">
        <v>2</v>
      </c>
      <c r="F6" s="6">
        <v>43259</v>
      </c>
      <c r="H6" s="11"/>
    </row>
    <row r="7" spans="1:16" x14ac:dyDescent="0.25">
      <c r="D7" s="2" t="s">
        <v>3</v>
      </c>
      <c r="F7" s="5">
        <v>2770000</v>
      </c>
      <c r="G7" s="2" t="s">
        <v>756</v>
      </c>
      <c r="H7" s="11"/>
    </row>
    <row r="8" spans="1:16" x14ac:dyDescent="0.25">
      <c r="D8" s="2" t="s">
        <v>18</v>
      </c>
      <c r="F8" s="5">
        <f>MIN(I23:I43)</f>
        <v>2542996</v>
      </c>
      <c r="H8" s="11"/>
    </row>
    <row r="9" spans="1:16" x14ac:dyDescent="0.25">
      <c r="D9" s="2" t="s">
        <v>67</v>
      </c>
      <c r="F9" s="4">
        <f>+F8-F7</f>
        <v>-227004</v>
      </c>
      <c r="G9" s="16">
        <f>+F9/F7</f>
        <v>-8.1950902527075806E-2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-1392248.5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4162248.5</v>
      </c>
      <c r="G12" s="14"/>
      <c r="H12" s="11">
        <f>COUNT(I23:I43)</f>
        <v>6</v>
      </c>
      <c r="I12" s="1" t="s">
        <v>31</v>
      </c>
      <c r="J12" s="4">
        <f>+F8*0.9</f>
        <v>2288696.4</v>
      </c>
      <c r="K12" s="1" t="s">
        <v>69</v>
      </c>
    </row>
    <row r="13" spans="1:16" x14ac:dyDescent="0.25">
      <c r="D13" s="2" t="s">
        <v>29</v>
      </c>
      <c r="F13" s="4">
        <f>MAX(I23:I43)-MIN(I23:I43)</f>
        <v>5325554</v>
      </c>
      <c r="G13" s="269">
        <f>MEDIAN(I23:I43)</f>
        <v>3608472.5</v>
      </c>
      <c r="H13" s="270"/>
      <c r="I13" s="1" t="s">
        <v>30</v>
      </c>
      <c r="J13" s="4">
        <f>+F12*1.1</f>
        <v>4578473.3500000006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1207</v>
      </c>
      <c r="E23" s="33"/>
      <c r="F23" t="s">
        <v>131</v>
      </c>
      <c r="G23" t="s">
        <v>25</v>
      </c>
      <c r="H23">
        <f t="shared" ref="H23:H28" si="0">RANK(I23,I$23:I$43,1)</f>
        <v>6</v>
      </c>
      <c r="I23" s="4">
        <v>7868550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968</v>
      </c>
      <c r="E24" s="33"/>
      <c r="F24" t="s">
        <v>203</v>
      </c>
      <c r="G24" t="s">
        <v>204</v>
      </c>
      <c r="H24">
        <f t="shared" si="0"/>
        <v>4</v>
      </c>
      <c r="I24" s="4">
        <v>3696685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487</v>
      </c>
      <c r="E25" s="33"/>
      <c r="F25" t="s">
        <v>113</v>
      </c>
      <c r="G25" t="s">
        <v>25</v>
      </c>
      <c r="H25">
        <f t="shared" si="0"/>
        <v>2</v>
      </c>
      <c r="I25" s="4">
        <v>3396000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1318</v>
      </c>
      <c r="E26" s="33"/>
      <c r="F26" t="s">
        <v>1319</v>
      </c>
      <c r="G26" t="s">
        <v>25</v>
      </c>
      <c r="H26">
        <f t="shared" si="0"/>
        <v>5</v>
      </c>
      <c r="I26" s="4">
        <v>3949000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1320</v>
      </c>
      <c r="E27" s="33"/>
      <c r="F27" t="s">
        <v>1321</v>
      </c>
      <c r="G27" t="s">
        <v>25</v>
      </c>
      <c r="H27">
        <f t="shared" si="0"/>
        <v>1</v>
      </c>
      <c r="I27" s="4">
        <v>2542996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1322</v>
      </c>
      <c r="E28" s="33"/>
      <c r="F28" t="s">
        <v>350</v>
      </c>
      <c r="G28" t="s">
        <v>93</v>
      </c>
      <c r="H28">
        <f t="shared" si="0"/>
        <v>3</v>
      </c>
      <c r="I28" s="4">
        <v>3520260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997" priority="18" operator="containsText" text="FAIL">
      <formula>NOT(ISERROR(SEARCH("FAIL",I9)))</formula>
    </cfRule>
  </conditionalFormatting>
  <conditionalFormatting sqref="I9">
    <cfRule type="containsText" dxfId="2996" priority="17" operator="containsText" text="GOOD">
      <formula>NOT(ISERROR(SEARCH("GOOD",I9)))</formula>
    </cfRule>
  </conditionalFormatting>
  <conditionalFormatting sqref="F11">
    <cfRule type="containsText" dxfId="2995" priority="16" operator="containsText" text="FAIL">
      <formula>NOT(ISERROR(SEARCH("FAIL",F11)))</formula>
    </cfRule>
  </conditionalFormatting>
  <conditionalFormatting sqref="F11">
    <cfRule type="containsText" dxfId="2994" priority="15" operator="containsText" text="GOOD">
      <formula>NOT(ISERROR(SEARCH("GOOD",F11)))</formula>
    </cfRule>
  </conditionalFormatting>
  <conditionalFormatting sqref="D23 D29:D43">
    <cfRule type="expression" dxfId="2993" priority="14">
      <formula>H23=1</formula>
    </cfRule>
  </conditionalFormatting>
  <conditionalFormatting sqref="C29:C43 C23:C26">
    <cfRule type="expression" dxfId="2992" priority="13">
      <formula>H23=1</formula>
    </cfRule>
  </conditionalFormatting>
  <conditionalFormatting sqref="E23 E29:E43">
    <cfRule type="expression" dxfId="2991" priority="12">
      <formula>H23=1</formula>
    </cfRule>
  </conditionalFormatting>
  <conditionalFormatting sqref="F11">
    <cfRule type="containsText" dxfId="2990" priority="11" operator="containsText" text="FAIL">
      <formula>NOT(ISERROR(SEARCH("FAIL",F11)))</formula>
    </cfRule>
  </conditionalFormatting>
  <conditionalFormatting sqref="F11">
    <cfRule type="containsText" dxfId="2989" priority="10" operator="containsText" text="GOOD">
      <formula>NOT(ISERROR(SEARCH("GOOD",F11)))</formula>
    </cfRule>
  </conditionalFormatting>
  <conditionalFormatting sqref="D28">
    <cfRule type="expression" dxfId="2988" priority="9">
      <formula>H28=1</formula>
    </cfRule>
  </conditionalFormatting>
  <conditionalFormatting sqref="C27:C28">
    <cfRule type="expression" dxfId="2987" priority="8">
      <formula>H27=1</formula>
    </cfRule>
  </conditionalFormatting>
  <conditionalFormatting sqref="E28">
    <cfRule type="expression" dxfId="2986" priority="7">
      <formula>H28=1</formula>
    </cfRule>
  </conditionalFormatting>
  <conditionalFormatting sqref="D24">
    <cfRule type="expression" dxfId="2985" priority="6">
      <formula>H24=1</formula>
    </cfRule>
  </conditionalFormatting>
  <conditionalFormatting sqref="E24">
    <cfRule type="expression" dxfId="2984" priority="5">
      <formula>H24=1</formula>
    </cfRule>
  </conditionalFormatting>
  <conditionalFormatting sqref="D26:D27">
    <cfRule type="expression" dxfId="2983" priority="4">
      <formula>H26=1</formula>
    </cfRule>
  </conditionalFormatting>
  <conditionalFormatting sqref="E26:E27">
    <cfRule type="expression" dxfId="2982" priority="3">
      <formula>H26=1</formula>
    </cfRule>
  </conditionalFormatting>
  <conditionalFormatting sqref="E25">
    <cfRule type="expression" dxfId="2981" priority="1">
      <formula>H25=1</formula>
    </cfRule>
  </conditionalFormatting>
  <conditionalFormatting sqref="D25">
    <cfRule type="expression" dxfId="2980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:P47"/>
  <sheetViews>
    <sheetView zoomScaleNormal="100" workbookViewId="0">
      <selection activeCell="J4" sqref="J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1311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1312</v>
      </c>
    </row>
    <row r="6" spans="1:16" x14ac:dyDescent="0.25">
      <c r="D6" s="2" t="s">
        <v>2</v>
      </c>
      <c r="F6" s="6">
        <v>43251</v>
      </c>
      <c r="H6" s="11"/>
    </row>
    <row r="7" spans="1:16" x14ac:dyDescent="0.25">
      <c r="D7" s="2" t="s">
        <v>3</v>
      </c>
      <c r="F7" s="5">
        <v>1567000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918315</v>
      </c>
      <c r="H8" s="11"/>
    </row>
    <row r="9" spans="1:16" x14ac:dyDescent="0.25">
      <c r="D9" s="2" t="s">
        <v>67</v>
      </c>
      <c r="F9" s="4">
        <f>+F8-F7</f>
        <v>-648685</v>
      </c>
      <c r="G9" s="16">
        <f>+F9/F7</f>
        <v>-0.41396617740906189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-1042788.3999999999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2609788.4</v>
      </c>
      <c r="G12" s="14"/>
      <c r="H12" s="11">
        <f>COUNT(I23:I43)</f>
        <v>5</v>
      </c>
      <c r="I12" s="1" t="s">
        <v>31</v>
      </c>
      <c r="J12" s="4">
        <f>+F8*0.9</f>
        <v>826483.5</v>
      </c>
      <c r="K12" s="1" t="s">
        <v>69</v>
      </c>
    </row>
    <row r="13" spans="1:16" x14ac:dyDescent="0.25">
      <c r="D13" s="2" t="s">
        <v>29</v>
      </c>
      <c r="F13" s="4">
        <f>MAX(I23:I43)-MIN(I23:I43)</f>
        <v>3011412</v>
      </c>
      <c r="G13" s="269">
        <f>MEDIAN(I23:I43)</f>
        <v>2687450</v>
      </c>
      <c r="H13" s="270"/>
      <c r="I13" s="1" t="s">
        <v>30</v>
      </c>
      <c r="J13" s="4">
        <f>+F12*1.1</f>
        <v>2870767.24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1313</v>
      </c>
      <c r="E23" s="33"/>
      <c r="F23" t="s">
        <v>1055</v>
      </c>
      <c r="G23" t="s">
        <v>93</v>
      </c>
      <c r="H23">
        <f>RANK(I23,I$23:I$43,1)</f>
        <v>2</v>
      </c>
      <c r="I23" s="4">
        <v>2147450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895</v>
      </c>
      <c r="E24" s="33"/>
      <c r="F24" t="s">
        <v>95</v>
      </c>
      <c r="G24" t="s">
        <v>93</v>
      </c>
      <c r="H24">
        <f>RANK(I24,I$23:I$43,1)</f>
        <v>5</v>
      </c>
      <c r="I24" s="4">
        <v>3929727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725</v>
      </c>
      <c r="E25" s="33"/>
      <c r="F25" t="s">
        <v>594</v>
      </c>
      <c r="G25" t="s">
        <v>25</v>
      </c>
      <c r="H25">
        <f>RANK(I25,I$23:I$43,1)</f>
        <v>3</v>
      </c>
      <c r="I25" s="4">
        <v>2687450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722</v>
      </c>
      <c r="E26" s="33"/>
      <c r="F26" t="s">
        <v>179</v>
      </c>
      <c r="G26" t="s">
        <v>25</v>
      </c>
      <c r="H26">
        <f>RANK(I26,I$23:I$43,1)</f>
        <v>1</v>
      </c>
      <c r="I26" s="4">
        <v>918315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882</v>
      </c>
      <c r="E27" s="33"/>
      <c r="F27" t="s">
        <v>95</v>
      </c>
      <c r="G27" t="s">
        <v>93</v>
      </c>
      <c r="H27">
        <f>RANK(I27,I$23:I$43,1)</f>
        <v>4</v>
      </c>
      <c r="I27" s="4">
        <v>3366000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979" priority="18" operator="containsText" text="FAIL">
      <formula>NOT(ISERROR(SEARCH("FAIL",I9)))</formula>
    </cfRule>
  </conditionalFormatting>
  <conditionalFormatting sqref="I9">
    <cfRule type="containsText" dxfId="2978" priority="17" operator="containsText" text="GOOD">
      <formula>NOT(ISERROR(SEARCH("GOOD",I9)))</formula>
    </cfRule>
  </conditionalFormatting>
  <conditionalFormatting sqref="F11">
    <cfRule type="containsText" dxfId="2977" priority="16" operator="containsText" text="FAIL">
      <formula>NOT(ISERROR(SEARCH("FAIL",F11)))</formula>
    </cfRule>
  </conditionalFormatting>
  <conditionalFormatting sqref="F11">
    <cfRule type="containsText" dxfId="2976" priority="15" operator="containsText" text="GOOD">
      <formula>NOT(ISERROR(SEARCH("GOOD",F11)))</formula>
    </cfRule>
  </conditionalFormatting>
  <conditionalFormatting sqref="D23 D29:D43">
    <cfRule type="expression" dxfId="2975" priority="14">
      <formula>H23=1</formula>
    </cfRule>
  </conditionalFormatting>
  <conditionalFormatting sqref="C29:C43 C23:C26">
    <cfRule type="expression" dxfId="2974" priority="13">
      <formula>H23=1</formula>
    </cfRule>
  </conditionalFormatting>
  <conditionalFormatting sqref="E23 E29:E43">
    <cfRule type="expression" dxfId="2973" priority="12">
      <formula>H23=1</formula>
    </cfRule>
  </conditionalFormatting>
  <conditionalFormatting sqref="F11">
    <cfRule type="containsText" dxfId="2972" priority="11" operator="containsText" text="FAIL">
      <formula>NOT(ISERROR(SEARCH("FAIL",F11)))</formula>
    </cfRule>
  </conditionalFormatting>
  <conditionalFormatting sqref="F11">
    <cfRule type="containsText" dxfId="2971" priority="10" operator="containsText" text="GOOD">
      <formula>NOT(ISERROR(SEARCH("GOOD",F11)))</formula>
    </cfRule>
  </conditionalFormatting>
  <conditionalFormatting sqref="D28">
    <cfRule type="expression" dxfId="2970" priority="9">
      <formula>H28=1</formula>
    </cfRule>
  </conditionalFormatting>
  <conditionalFormatting sqref="C27:C28">
    <cfRule type="expression" dxfId="2969" priority="8">
      <formula>H27=1</formula>
    </cfRule>
  </conditionalFormatting>
  <conditionalFormatting sqref="E28">
    <cfRule type="expression" dxfId="2968" priority="7">
      <formula>H28=1</formula>
    </cfRule>
  </conditionalFormatting>
  <conditionalFormatting sqref="D24">
    <cfRule type="expression" dxfId="2967" priority="6">
      <formula>H24=1</formula>
    </cfRule>
  </conditionalFormatting>
  <conditionalFormatting sqref="E24">
    <cfRule type="expression" dxfId="2966" priority="5">
      <formula>H24=1</formula>
    </cfRule>
  </conditionalFormatting>
  <conditionalFormatting sqref="D26:D27">
    <cfRule type="expression" dxfId="2965" priority="4">
      <formula>H26=1</formula>
    </cfRule>
  </conditionalFormatting>
  <conditionalFormatting sqref="E26:E27">
    <cfRule type="expression" dxfId="2964" priority="3">
      <formula>H26=1</formula>
    </cfRule>
  </conditionalFormatting>
  <conditionalFormatting sqref="E25">
    <cfRule type="expression" dxfId="2963" priority="1">
      <formula>H25=1</formula>
    </cfRule>
  </conditionalFormatting>
  <conditionalFormatting sqref="D25">
    <cfRule type="expression" dxfId="2962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:P47"/>
  <sheetViews>
    <sheetView topLeftCell="A4" zoomScaleNormal="100" workbookViewId="0">
      <selection activeCell="J13" sqref="J13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1305</v>
      </c>
      <c r="I4" s="2" t="s">
        <v>4</v>
      </c>
      <c r="J4" t="s">
        <v>784</v>
      </c>
    </row>
    <row r="5" spans="1:15" x14ac:dyDescent="0.25">
      <c r="D5" s="2" t="s">
        <v>1</v>
      </c>
      <c r="F5" t="s">
        <v>1310</v>
      </c>
    </row>
    <row r="6" spans="1:15" x14ac:dyDescent="0.25">
      <c r="D6" s="2" t="s">
        <v>2</v>
      </c>
      <c r="F6" s="6">
        <v>43250</v>
      </c>
      <c r="H6" s="11"/>
    </row>
    <row r="7" spans="1:15" x14ac:dyDescent="0.25">
      <c r="D7" s="2" t="s">
        <v>3</v>
      </c>
      <c r="F7" s="5">
        <f>+L7+K7+J7+I7+(M7*K7)</f>
        <v>153277500</v>
      </c>
      <c r="G7" s="2" t="s">
        <v>34</v>
      </c>
      <c r="H7" s="11"/>
      <c r="I7" s="19">
        <f>121350000</f>
        <v>121350000</v>
      </c>
      <c r="J7" s="19">
        <v>28420000</v>
      </c>
      <c r="K7" s="19">
        <v>2850000</v>
      </c>
      <c r="L7" s="19">
        <v>230000</v>
      </c>
      <c r="M7" s="20">
        <v>0.15</v>
      </c>
    </row>
    <row r="8" spans="1:15" x14ac:dyDescent="0.25">
      <c r="D8" s="2" t="s">
        <v>18</v>
      </c>
      <c r="F8" s="5">
        <f>MIN(M23:M43)</f>
        <v>118434757</v>
      </c>
      <c r="H8" s="11"/>
      <c r="I8" s="18" t="s">
        <v>43</v>
      </c>
      <c r="J8" s="18" t="s">
        <v>44</v>
      </c>
      <c r="K8" s="18" t="s">
        <v>49</v>
      </c>
      <c r="L8" s="18" t="s">
        <v>934</v>
      </c>
      <c r="M8" s="18" t="s">
        <v>50</v>
      </c>
    </row>
    <row r="9" spans="1:15" x14ac:dyDescent="0.25">
      <c r="D9" s="2" t="s">
        <v>19</v>
      </c>
      <c r="F9" s="4">
        <f>+F8-F7</f>
        <v>-34842743</v>
      </c>
      <c r="G9" s="16">
        <f>+F9/F7</f>
        <v>-0.22731805385656734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5" x14ac:dyDescent="0.25">
      <c r="D10" s="2" t="s">
        <v>68</v>
      </c>
      <c r="F10" s="4">
        <f>+F7-F12</f>
        <v>14796140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FAIL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138481360</v>
      </c>
      <c r="G12" s="14"/>
      <c r="H12" s="11">
        <f>COUNT(M23:M43)</f>
        <v>13</v>
      </c>
      <c r="I12" s="1" t="s">
        <v>31</v>
      </c>
      <c r="J12" s="4">
        <f>+F8*0.9</f>
        <v>106591281.3</v>
      </c>
      <c r="K12" s="1" t="s">
        <v>69</v>
      </c>
      <c r="L12" s="1"/>
      <c r="O12" t="str">
        <f>INDEX(D23:D43,MATCH(1,H23:H43,0))</f>
        <v>Conti Group</v>
      </c>
    </row>
    <row r="13" spans="1:15" x14ac:dyDescent="0.25">
      <c r="D13" s="2" t="s">
        <v>29</v>
      </c>
      <c r="F13" s="4">
        <f>MAX(M23:M43)-MIN(M23:M43)</f>
        <v>55310066</v>
      </c>
      <c r="G13" s="269">
        <f>MEDIAN(M23:M43)</f>
        <v>141236790</v>
      </c>
      <c r="H13" s="270"/>
      <c r="I13" s="1" t="s">
        <v>30</v>
      </c>
      <c r="J13" s="4">
        <f>+F12*1.1</f>
        <v>152329496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5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6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6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>IF(H23=1,"u","")</f>
        <v>u</v>
      </c>
      <c r="D23" s="11" t="s">
        <v>1306</v>
      </c>
      <c r="E23" s="33"/>
      <c r="F23" t="s">
        <v>215</v>
      </c>
      <c r="G23" t="s">
        <v>25</v>
      </c>
      <c r="H23">
        <f>RANK(M23,M$23:M$43,1)</f>
        <v>1</v>
      </c>
      <c r="I23" s="4">
        <v>20410950</v>
      </c>
      <c r="J23" s="4">
        <v>94800307</v>
      </c>
      <c r="K23" s="4">
        <v>288000</v>
      </c>
      <c r="L23" s="7">
        <v>0.03</v>
      </c>
      <c r="M23" s="4">
        <f>+K23+I23+J23+(L23*K$7)+$K$7</f>
        <v>118434757</v>
      </c>
      <c r="N23" s="22"/>
      <c r="O23" s="22">
        <f t="shared" ref="O23:O35" si="0">+L23*$K$7</f>
        <v>85500</v>
      </c>
      <c r="P23" s="22"/>
    </row>
    <row r="24" spans="3:16" x14ac:dyDescent="0.25">
      <c r="C24" s="33" t="str">
        <f>IF(H24=1,"u","")</f>
        <v/>
      </c>
      <c r="D24" s="11" t="s">
        <v>289</v>
      </c>
      <c r="E24" s="33"/>
      <c r="F24" t="s">
        <v>289</v>
      </c>
      <c r="G24" t="s">
        <v>93</v>
      </c>
      <c r="H24">
        <f>RANK(M24,M$23:M$43,1)</f>
        <v>2</v>
      </c>
      <c r="I24" s="4">
        <v>21364600</v>
      </c>
      <c r="J24" s="4">
        <v>98739689</v>
      </c>
      <c r="K24" s="4">
        <v>360000</v>
      </c>
      <c r="L24" s="7">
        <v>0.05</v>
      </c>
      <c r="M24" s="4">
        <f>+K24+I24+J24+(L24*K$7)+$K$7</f>
        <v>123456789</v>
      </c>
      <c r="N24" s="22"/>
      <c r="O24" s="22">
        <f t="shared" si="0"/>
        <v>142500</v>
      </c>
      <c r="P24" s="22"/>
    </row>
    <row r="25" spans="3:16" x14ac:dyDescent="0.25">
      <c r="C25" s="33" t="str">
        <f>IF(H25=1,"u","")</f>
        <v/>
      </c>
      <c r="D25" s="11" t="s">
        <v>1308</v>
      </c>
      <c r="E25" s="33"/>
      <c r="F25" t="s">
        <v>1277</v>
      </c>
      <c r="G25" t="s">
        <v>93</v>
      </c>
      <c r="H25">
        <f>RANK(M25,M$23:M$43,1)</f>
        <v>3</v>
      </c>
      <c r="I25" s="4">
        <v>20347750</v>
      </c>
      <c r="J25" s="4">
        <v>103500000</v>
      </c>
      <c r="K25" s="4">
        <v>120000</v>
      </c>
      <c r="L25" s="7">
        <v>0.05</v>
      </c>
      <c r="M25" s="4">
        <f>+K25+I25+J25+(L25*K$7)+$K$7</f>
        <v>126960250</v>
      </c>
      <c r="N25" s="22"/>
      <c r="O25" s="22">
        <f t="shared" si="0"/>
        <v>142500</v>
      </c>
      <c r="P25" s="22"/>
    </row>
    <row r="26" spans="3:16" x14ac:dyDescent="0.25">
      <c r="C26" s="33" t="str">
        <f t="shared" ref="C26:C43" si="1">IF(H26=1,"u","")</f>
        <v/>
      </c>
      <c r="D26" s="11" t="s">
        <v>491</v>
      </c>
      <c r="E26" s="33"/>
      <c r="F26" t="s">
        <v>203</v>
      </c>
      <c r="G26" t="s">
        <v>204</v>
      </c>
      <c r="H26">
        <f>RANK(M26,M$23:M$43,1)</f>
        <v>10</v>
      </c>
      <c r="I26" s="4">
        <v>29031448</v>
      </c>
      <c r="J26" s="4">
        <v>111777382</v>
      </c>
      <c r="K26" s="4">
        <v>285000</v>
      </c>
      <c r="L26" s="7">
        <v>0.2</v>
      </c>
      <c r="M26" s="4">
        <f>+K26+I26+J26+(L26*K$7)+$K$7</f>
        <v>144513830</v>
      </c>
      <c r="N26" s="22"/>
      <c r="O26" s="22">
        <f t="shared" si="0"/>
        <v>570000</v>
      </c>
      <c r="P26" s="22"/>
    </row>
    <row r="27" spans="3:16" x14ac:dyDescent="0.25">
      <c r="C27" s="33" t="str">
        <f t="shared" si="1"/>
        <v/>
      </c>
      <c r="D27" s="11" t="s">
        <v>554</v>
      </c>
      <c r="E27" s="33"/>
      <c r="F27" t="s">
        <v>397</v>
      </c>
      <c r="G27" t="s">
        <v>25</v>
      </c>
      <c r="H27">
        <f t="shared" ref="H27:H35" si="2">RANK(M27,M$23:M$43,1)</f>
        <v>4</v>
      </c>
      <c r="I27" s="4">
        <v>24721700</v>
      </c>
      <c r="J27" s="4">
        <v>99803988</v>
      </c>
      <c r="K27" s="4">
        <v>300000</v>
      </c>
      <c r="L27" s="7">
        <v>0.2</v>
      </c>
      <c r="M27" s="4">
        <f t="shared" ref="M27:M35" si="3">+K27+I27+J27+(L27*K$7)+$K$7</f>
        <v>128245688</v>
      </c>
      <c r="N27" s="22"/>
      <c r="O27" s="22">
        <f t="shared" si="0"/>
        <v>570000</v>
      </c>
      <c r="P27" s="22"/>
    </row>
    <row r="28" spans="3:16" x14ac:dyDescent="0.25">
      <c r="C28" s="33"/>
      <c r="D28" s="11" t="s">
        <v>1307</v>
      </c>
      <c r="E28" s="33"/>
      <c r="F28" t="s">
        <v>278</v>
      </c>
      <c r="G28" t="s">
        <v>25</v>
      </c>
      <c r="H28">
        <f t="shared" si="2"/>
        <v>13</v>
      </c>
      <c r="I28" s="4">
        <v>23860470</v>
      </c>
      <c r="J28" s="4">
        <v>146288253</v>
      </c>
      <c r="K28" s="4">
        <v>318600</v>
      </c>
      <c r="L28" s="7">
        <v>0.15</v>
      </c>
      <c r="M28" s="4">
        <f t="shared" si="3"/>
        <v>173744823</v>
      </c>
      <c r="N28" s="22"/>
      <c r="O28" s="22">
        <f t="shared" si="0"/>
        <v>427500</v>
      </c>
      <c r="P28" s="22"/>
    </row>
    <row r="29" spans="3:16" x14ac:dyDescent="0.25">
      <c r="C29" s="33"/>
      <c r="D29" s="11" t="s">
        <v>1309</v>
      </c>
      <c r="E29" s="33"/>
      <c r="F29" t="s">
        <v>563</v>
      </c>
      <c r="G29" t="s">
        <v>25</v>
      </c>
      <c r="H29">
        <f t="shared" si="2"/>
        <v>5</v>
      </c>
      <c r="I29" s="4">
        <v>24362800</v>
      </c>
      <c r="J29" s="4">
        <v>102965828</v>
      </c>
      <c r="K29" s="4">
        <v>246600</v>
      </c>
      <c r="L29" s="7">
        <v>0.2</v>
      </c>
      <c r="M29" s="4">
        <f t="shared" si="3"/>
        <v>130995228</v>
      </c>
      <c r="N29" s="22"/>
      <c r="O29" s="22">
        <f t="shared" si="0"/>
        <v>570000</v>
      </c>
      <c r="P29" s="22"/>
    </row>
    <row r="30" spans="3:16" x14ac:dyDescent="0.25">
      <c r="C30" s="33" t="str">
        <f t="shared" si="1"/>
        <v/>
      </c>
      <c r="D30" s="11" t="s">
        <v>1200</v>
      </c>
      <c r="E30" s="33" t="str">
        <f t="shared" ref="E30:E43" si="4">IF(H30=1,"t","")</f>
        <v/>
      </c>
      <c r="F30" t="s">
        <v>100</v>
      </c>
      <c r="G30" t="s">
        <v>93</v>
      </c>
      <c r="H30">
        <f t="shared" si="2"/>
        <v>6</v>
      </c>
      <c r="I30" s="4">
        <v>23974000</v>
      </c>
      <c r="J30" s="4">
        <v>109160000</v>
      </c>
      <c r="K30" s="4">
        <v>246000</v>
      </c>
      <c r="L30" s="7">
        <v>0.2</v>
      </c>
      <c r="M30" s="4">
        <f t="shared" si="3"/>
        <v>136800000</v>
      </c>
      <c r="N30" s="22"/>
      <c r="O30" s="22">
        <f t="shared" si="0"/>
        <v>570000</v>
      </c>
      <c r="P30" s="22"/>
    </row>
    <row r="31" spans="3:16" x14ac:dyDescent="0.25">
      <c r="C31" s="33" t="str">
        <f t="shared" si="1"/>
        <v/>
      </c>
      <c r="D31" s="11" t="s">
        <v>993</v>
      </c>
      <c r="E31" s="33" t="str">
        <f t="shared" si="4"/>
        <v/>
      </c>
      <c r="F31" t="s">
        <v>131</v>
      </c>
      <c r="G31" t="s">
        <v>25</v>
      </c>
      <c r="H31">
        <f t="shared" si="2"/>
        <v>12</v>
      </c>
      <c r="I31" s="4">
        <v>24243800</v>
      </c>
      <c r="J31" s="4">
        <v>119686200</v>
      </c>
      <c r="K31" s="4">
        <v>240000</v>
      </c>
      <c r="L31" s="7">
        <v>0.15</v>
      </c>
      <c r="M31" s="4">
        <f t="shared" si="3"/>
        <v>147447500</v>
      </c>
      <c r="N31" s="22"/>
      <c r="O31" s="22">
        <f t="shared" si="0"/>
        <v>427500</v>
      </c>
      <c r="P31" s="22"/>
    </row>
    <row r="32" spans="3:16" x14ac:dyDescent="0.25">
      <c r="C32" s="33" t="str">
        <f t="shared" si="1"/>
        <v/>
      </c>
      <c r="D32" s="11" t="s">
        <v>507</v>
      </c>
      <c r="E32" s="33" t="str">
        <f t="shared" si="4"/>
        <v/>
      </c>
      <c r="F32" t="s">
        <v>193</v>
      </c>
      <c r="G32" t="s">
        <v>25</v>
      </c>
      <c r="H32">
        <f t="shared" si="2"/>
        <v>9</v>
      </c>
      <c r="I32" s="4">
        <v>27308950</v>
      </c>
      <c r="J32" s="4">
        <v>110864090</v>
      </c>
      <c r="K32" s="4">
        <v>264000</v>
      </c>
      <c r="L32" s="7">
        <v>0.2</v>
      </c>
      <c r="M32" s="4">
        <f t="shared" si="3"/>
        <v>141857040</v>
      </c>
      <c r="N32" s="22"/>
      <c r="O32" s="22">
        <f t="shared" si="0"/>
        <v>570000</v>
      </c>
      <c r="P32" s="22"/>
    </row>
    <row r="33" spans="3:16" x14ac:dyDescent="0.25">
      <c r="C33" s="33" t="str">
        <f t="shared" si="1"/>
        <v/>
      </c>
      <c r="D33" s="11" t="s">
        <v>515</v>
      </c>
      <c r="E33" s="33" t="str">
        <f t="shared" si="4"/>
        <v/>
      </c>
      <c r="F33" t="s">
        <v>92</v>
      </c>
      <c r="G33" t="s">
        <v>93</v>
      </c>
      <c r="H33">
        <f t="shared" si="2"/>
        <v>11</v>
      </c>
      <c r="I33" s="4">
        <v>23526400</v>
      </c>
      <c r="J33" s="4">
        <v>117466435</v>
      </c>
      <c r="K33" s="4">
        <v>390000</v>
      </c>
      <c r="L33" s="7">
        <v>0.2</v>
      </c>
      <c r="M33" s="4">
        <f t="shared" si="3"/>
        <v>144802835</v>
      </c>
      <c r="N33" s="21"/>
      <c r="O33" s="168">
        <f t="shared" si="0"/>
        <v>570000</v>
      </c>
      <c r="P33" s="21"/>
    </row>
    <row r="34" spans="3:16" x14ac:dyDescent="0.25">
      <c r="C34" s="33" t="str">
        <f t="shared" si="1"/>
        <v/>
      </c>
      <c r="D34" s="11" t="s">
        <v>508</v>
      </c>
      <c r="E34" s="33" t="str">
        <f t="shared" si="4"/>
        <v/>
      </c>
      <c r="F34" t="s">
        <v>181</v>
      </c>
      <c r="G34" t="s">
        <v>93</v>
      </c>
      <c r="H34">
        <f t="shared" si="2"/>
        <v>8</v>
      </c>
      <c r="I34" s="4">
        <v>23944150</v>
      </c>
      <c r="J34" s="4">
        <v>114500000</v>
      </c>
      <c r="K34" s="4">
        <v>240000</v>
      </c>
      <c r="L34" s="7">
        <v>0.08</v>
      </c>
      <c r="M34" s="4">
        <f t="shared" si="3"/>
        <v>141762150</v>
      </c>
      <c r="N34" s="21"/>
      <c r="O34" s="168">
        <f t="shared" si="0"/>
        <v>228000</v>
      </c>
      <c r="P34" s="21"/>
    </row>
    <row r="35" spans="3:16" x14ac:dyDescent="0.25">
      <c r="C35" s="33" t="str">
        <f t="shared" si="1"/>
        <v/>
      </c>
      <c r="D35" s="11" t="s">
        <v>559</v>
      </c>
      <c r="E35" s="33" t="str">
        <f t="shared" si="4"/>
        <v/>
      </c>
      <c r="F35" t="s">
        <v>393</v>
      </c>
      <c r="G35" t="s">
        <v>25</v>
      </c>
      <c r="H35">
        <f t="shared" si="2"/>
        <v>7</v>
      </c>
      <c r="I35" s="4">
        <v>25899900</v>
      </c>
      <c r="J35" s="4">
        <v>111853890</v>
      </c>
      <c r="K35" s="4">
        <v>348000</v>
      </c>
      <c r="L35" s="7">
        <v>0.1</v>
      </c>
      <c r="M35" s="4">
        <f t="shared" si="3"/>
        <v>141236790</v>
      </c>
      <c r="N35" s="21"/>
      <c r="O35" s="168">
        <f t="shared" si="0"/>
        <v>285000</v>
      </c>
      <c r="P35" s="21"/>
    </row>
    <row r="36" spans="3:16" x14ac:dyDescent="0.25">
      <c r="C36" s="33" t="str">
        <f t="shared" si="1"/>
        <v/>
      </c>
      <c r="D36" s="11"/>
      <c r="E36" s="33" t="str">
        <f t="shared" si="4"/>
        <v/>
      </c>
      <c r="K36" s="7"/>
      <c r="L36" s="7"/>
      <c r="N36" s="21"/>
      <c r="O36" s="21"/>
      <c r="P36" s="21"/>
    </row>
    <row r="37" spans="3:16" x14ac:dyDescent="0.25">
      <c r="C37" s="33" t="str">
        <f t="shared" si="1"/>
        <v/>
      </c>
      <c r="D37" s="11"/>
      <c r="E37" s="33" t="str">
        <f t="shared" si="4"/>
        <v/>
      </c>
      <c r="K37" s="7"/>
      <c r="L37" s="7"/>
      <c r="N37" s="21"/>
      <c r="O37" s="21"/>
      <c r="P37" s="21"/>
    </row>
    <row r="38" spans="3:16" x14ac:dyDescent="0.25">
      <c r="C38" s="33" t="str">
        <f t="shared" si="1"/>
        <v/>
      </c>
      <c r="D38" s="11"/>
      <c r="E38" s="33" t="str">
        <f t="shared" si="4"/>
        <v/>
      </c>
      <c r="K38" s="7"/>
      <c r="L38" s="7"/>
      <c r="N38" s="21"/>
      <c r="O38" s="21"/>
      <c r="P38" s="21"/>
    </row>
    <row r="39" spans="3:16" x14ac:dyDescent="0.25">
      <c r="C39" s="33" t="str">
        <f t="shared" si="1"/>
        <v/>
      </c>
      <c r="D39" s="11"/>
      <c r="E39" s="33" t="str">
        <f t="shared" si="4"/>
        <v/>
      </c>
      <c r="K39" s="7"/>
      <c r="L39" s="7"/>
      <c r="N39" s="21"/>
      <c r="O39" s="21"/>
      <c r="P39" s="21"/>
    </row>
    <row r="40" spans="3:16" x14ac:dyDescent="0.25">
      <c r="C40" s="33" t="str">
        <f t="shared" si="1"/>
        <v/>
      </c>
      <c r="D40" s="11"/>
      <c r="E40" s="33" t="str">
        <f t="shared" si="4"/>
        <v/>
      </c>
      <c r="K40" s="7"/>
      <c r="L40" s="7"/>
      <c r="N40" s="21"/>
      <c r="O40" s="21"/>
      <c r="P40" s="21"/>
    </row>
    <row r="41" spans="3:16" x14ac:dyDescent="0.25">
      <c r="C41" s="33" t="str">
        <f t="shared" si="1"/>
        <v/>
      </c>
      <c r="D41" s="11"/>
      <c r="E41" s="33" t="str">
        <f t="shared" si="4"/>
        <v/>
      </c>
      <c r="K41" s="7"/>
      <c r="L41" s="7"/>
      <c r="N41" s="21"/>
      <c r="O41" s="21"/>
      <c r="P41" s="21"/>
    </row>
    <row r="42" spans="3:16" x14ac:dyDescent="0.25">
      <c r="C42" s="33" t="str">
        <f t="shared" si="1"/>
        <v/>
      </c>
      <c r="D42" s="11"/>
      <c r="E42" s="33" t="str">
        <f t="shared" si="4"/>
        <v/>
      </c>
      <c r="K42" s="7"/>
      <c r="L42" s="7"/>
      <c r="N42" s="21"/>
      <c r="O42" s="21"/>
      <c r="P42" s="21"/>
    </row>
    <row r="43" spans="3:16" x14ac:dyDescent="0.25">
      <c r="C43" s="33" t="str">
        <f t="shared" si="1"/>
        <v/>
      </c>
      <c r="D43" s="11"/>
      <c r="E43" s="33" t="str">
        <f t="shared" si="4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2961" priority="8" operator="containsText" text="FAIL">
      <formula>NOT(ISERROR(SEARCH("FAIL",F9)))</formula>
    </cfRule>
  </conditionalFormatting>
  <conditionalFormatting sqref="I9 F11">
    <cfRule type="containsText" dxfId="2960" priority="7" operator="containsText" text="GOOD">
      <formula>NOT(ISERROR(SEARCH("GOOD",F9)))</formula>
    </cfRule>
  </conditionalFormatting>
  <conditionalFormatting sqref="I9">
    <cfRule type="containsText" dxfId="2959" priority="6" operator="containsText" text="FAIL">
      <formula>NOT(ISERROR(SEARCH("FAIL",I9)))</formula>
    </cfRule>
  </conditionalFormatting>
  <conditionalFormatting sqref="I9">
    <cfRule type="containsText" dxfId="2958" priority="5" operator="containsText" text="GOOD">
      <formula>NOT(ISERROR(SEARCH("GOOD",I9)))</formula>
    </cfRule>
  </conditionalFormatting>
  <conditionalFormatting sqref="D25">
    <cfRule type="expression" dxfId="2957" priority="4" stopIfTrue="1">
      <formula>IF($H$25=1,0)</formula>
    </cfRule>
  </conditionalFormatting>
  <conditionalFormatting sqref="D23:D43">
    <cfRule type="expression" dxfId="2956" priority="3">
      <formula>H23=1</formula>
    </cfRule>
  </conditionalFormatting>
  <conditionalFormatting sqref="C23:C43">
    <cfRule type="expression" dxfId="2955" priority="2">
      <formula>H23=1</formula>
    </cfRule>
  </conditionalFormatting>
  <conditionalFormatting sqref="E23:E43">
    <cfRule type="expression" dxfId="2954" priority="1">
      <formula>H23=1</formula>
    </cfRule>
  </conditionalFormatting>
  <pageMargins left="0.7" right="0.7" top="0.75" bottom="0.75" header="0.3" footer="0.3"/>
  <pageSetup scale="77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FF0000"/>
  </sheetPr>
  <dimension ref="A2:P47"/>
  <sheetViews>
    <sheetView zoomScaleNormal="100" workbookViewId="0">
      <selection activeCell="G7" sqref="G7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1314</v>
      </c>
      <c r="I4" s="2" t="s">
        <v>4</v>
      </c>
      <c r="J4" t="s">
        <v>1251</v>
      </c>
    </row>
    <row r="5" spans="1:15" x14ac:dyDescent="0.25">
      <c r="D5" s="2" t="s">
        <v>1</v>
      </c>
      <c r="F5" t="s">
        <v>1315</v>
      </c>
    </row>
    <row r="6" spans="1:15" x14ac:dyDescent="0.25">
      <c r="D6" s="2" t="s">
        <v>2</v>
      </c>
      <c r="F6" s="6">
        <v>43242</v>
      </c>
      <c r="H6" s="11"/>
    </row>
    <row r="7" spans="1:15" x14ac:dyDescent="0.25">
      <c r="D7" s="2" t="s">
        <v>3</v>
      </c>
      <c r="F7" s="5">
        <f>+L7+K7+J7+I7+(M7*K7)</f>
        <v>58736250</v>
      </c>
      <c r="G7" s="2" t="s">
        <v>190</v>
      </c>
      <c r="H7" s="11"/>
      <c r="I7" s="19">
        <v>3601300</v>
      </c>
      <c r="J7" s="19">
        <v>46308700</v>
      </c>
      <c r="K7" s="19">
        <v>7675000</v>
      </c>
      <c r="L7" s="19">
        <v>0</v>
      </c>
      <c r="M7" s="20">
        <v>0.15</v>
      </c>
    </row>
    <row r="8" spans="1:15" x14ac:dyDescent="0.25">
      <c r="D8" s="2" t="s">
        <v>18</v>
      </c>
      <c r="F8" s="5">
        <f>MIN(M23:M43)</f>
        <v>85250926</v>
      </c>
      <c r="G8" t="s">
        <v>1329</v>
      </c>
      <c r="H8" s="11"/>
      <c r="I8" s="18" t="s">
        <v>43</v>
      </c>
      <c r="J8" s="18" t="s">
        <v>44</v>
      </c>
      <c r="K8" s="18" t="s">
        <v>49</v>
      </c>
      <c r="L8" s="18" t="s">
        <v>934</v>
      </c>
      <c r="M8" s="18" t="s">
        <v>50</v>
      </c>
    </row>
    <row r="9" spans="1:15" x14ac:dyDescent="0.25">
      <c r="D9" s="2" t="s">
        <v>19</v>
      </c>
      <c r="F9" s="4">
        <f>+F8-F7</f>
        <v>26514676</v>
      </c>
      <c r="G9" s="16">
        <f>+F9/F7</f>
        <v>0.45141928536465981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5" x14ac:dyDescent="0.25">
      <c r="D10" s="2" t="s">
        <v>68</v>
      </c>
      <c r="F10" s="4">
        <f>+F7-F12</f>
        <v>-27452088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FAIL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86188338</v>
      </c>
      <c r="G12" s="14"/>
      <c r="H12" s="11">
        <f>COUNT(M23:M43)</f>
        <v>2</v>
      </c>
      <c r="I12" s="1" t="s">
        <v>31</v>
      </c>
      <c r="J12" s="4">
        <f>+F8*0.9</f>
        <v>76725833.400000006</v>
      </c>
      <c r="K12" s="1" t="s">
        <v>69</v>
      </c>
      <c r="L12" s="1"/>
      <c r="O12" t="str">
        <f>INDEX(D23:D43,MATCH(1,H23:H43,0))</f>
        <v>Judlau</v>
      </c>
    </row>
    <row r="13" spans="1:15" x14ac:dyDescent="0.25">
      <c r="D13" s="2" t="s">
        <v>29</v>
      </c>
      <c r="F13" s="4">
        <f>MAX(M23:M43)-MIN(M23:M43)</f>
        <v>1874824</v>
      </c>
      <c r="G13" s="269">
        <f>MEDIAN(M23:M43)</f>
        <v>86188338</v>
      </c>
      <c r="H13" s="270"/>
      <c r="I13" s="1" t="s">
        <v>30</v>
      </c>
      <c r="J13" s="4">
        <f>+F12*1.1</f>
        <v>94807171.800000012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5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6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6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>IF(H23=1,"u","")</f>
        <v>u</v>
      </c>
      <c r="D23" s="11" t="s">
        <v>515</v>
      </c>
      <c r="E23" s="33" t="str">
        <f>IF(H23=1,"t","")</f>
        <v>t</v>
      </c>
      <c r="F23" t="s">
        <v>92</v>
      </c>
      <c r="G23" t="s">
        <v>93</v>
      </c>
      <c r="H23">
        <f>RANK(M23,M$23:M$43,1)</f>
        <v>1</v>
      </c>
      <c r="I23" s="4">
        <v>5876500</v>
      </c>
      <c r="J23" s="4">
        <v>71545926</v>
      </c>
      <c r="K23" s="4">
        <v>0</v>
      </c>
      <c r="L23" s="7">
        <v>0.02</v>
      </c>
      <c r="M23" s="4">
        <f>+K23+I23+J23+(L23*K$7)+$K$7</f>
        <v>85250926</v>
      </c>
      <c r="N23" s="22"/>
      <c r="O23" s="22">
        <f>+L23*$K$7</f>
        <v>153500</v>
      </c>
      <c r="P23" s="22"/>
    </row>
    <row r="24" spans="3:16" x14ac:dyDescent="0.25">
      <c r="C24" s="33" t="str">
        <f>IF(H24=1,"u","")</f>
        <v/>
      </c>
      <c r="D24" s="11" t="s">
        <v>680</v>
      </c>
      <c r="E24" s="33"/>
      <c r="F24" t="s">
        <v>532</v>
      </c>
      <c r="G24" t="s">
        <v>93</v>
      </c>
      <c r="H24">
        <f>RANK(M24,M$23:M$43,1)</f>
        <v>2</v>
      </c>
      <c r="I24" s="4">
        <v>6371750</v>
      </c>
      <c r="J24" s="4">
        <v>71544000</v>
      </c>
      <c r="K24" s="4">
        <v>0</v>
      </c>
      <c r="L24" s="7">
        <v>0.2</v>
      </c>
      <c r="M24" s="4">
        <f>+K24+I24+J24+(L24*K$7)+$K$7</f>
        <v>87125750</v>
      </c>
      <c r="N24" s="22"/>
      <c r="O24" s="22">
        <f>+L24*$K$7</f>
        <v>1535000</v>
      </c>
      <c r="P24" s="22"/>
    </row>
    <row r="25" spans="3:16" x14ac:dyDescent="0.25">
      <c r="C25" s="33" t="str">
        <f>IF(H25=1,"u","")</f>
        <v/>
      </c>
      <c r="D25" s="11"/>
      <c r="E25" s="33"/>
      <c r="I25" s="4"/>
      <c r="J25" s="4"/>
      <c r="K25" s="4"/>
      <c r="L25" s="7"/>
      <c r="M25" s="4"/>
      <c r="N25" s="22"/>
      <c r="O25" s="22"/>
      <c r="P25" s="22"/>
    </row>
    <row r="26" spans="3:16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7"/>
      <c r="M26" s="4"/>
      <c r="N26" s="22"/>
      <c r="O26" s="22"/>
      <c r="P26" s="22"/>
    </row>
    <row r="27" spans="3:16" x14ac:dyDescent="0.25">
      <c r="C27" s="33" t="str">
        <f t="shared" si="0"/>
        <v/>
      </c>
      <c r="D27" s="11"/>
      <c r="E27" s="33"/>
      <c r="I27" s="4"/>
      <c r="J27" s="4"/>
      <c r="K27" s="4"/>
      <c r="L27" s="7"/>
      <c r="M27" s="4"/>
      <c r="N27" s="22"/>
      <c r="O27" s="22"/>
      <c r="P27" s="22"/>
    </row>
    <row r="28" spans="3:16" x14ac:dyDescent="0.25">
      <c r="C28" s="33"/>
      <c r="D28" s="11"/>
      <c r="E28" s="33"/>
      <c r="I28" s="4"/>
      <c r="J28" s="4"/>
      <c r="K28" s="4"/>
      <c r="L28" s="7"/>
      <c r="M28" s="4"/>
      <c r="N28" s="22"/>
      <c r="O28" s="22"/>
      <c r="P28" s="22"/>
    </row>
    <row r="29" spans="3:16" x14ac:dyDescent="0.25">
      <c r="C29" s="33"/>
      <c r="D29" s="11"/>
      <c r="E29" s="33"/>
      <c r="I29" s="4"/>
      <c r="J29" s="4"/>
      <c r="K29" s="4"/>
      <c r="L29" s="7"/>
      <c r="M29" s="4"/>
      <c r="N29" s="22"/>
      <c r="O29" s="22"/>
      <c r="P29" s="22"/>
    </row>
    <row r="30" spans="3:16" x14ac:dyDescent="0.25">
      <c r="C30" s="33" t="str">
        <f t="shared" si="0"/>
        <v/>
      </c>
      <c r="D30" s="11"/>
      <c r="E30" s="33"/>
      <c r="I30" s="4"/>
      <c r="J30" s="4"/>
      <c r="K30" s="4"/>
      <c r="L30" s="7"/>
      <c r="M30" s="4"/>
      <c r="N30" s="22"/>
      <c r="O30" s="22"/>
      <c r="P30" s="22"/>
    </row>
    <row r="31" spans="3:16" x14ac:dyDescent="0.25">
      <c r="C31" s="33" t="str">
        <f t="shared" si="0"/>
        <v/>
      </c>
      <c r="D31" s="11"/>
      <c r="E31" s="33"/>
      <c r="I31" s="4"/>
      <c r="J31" s="4"/>
      <c r="K31" s="4"/>
      <c r="L31" s="7"/>
      <c r="M31" s="4"/>
      <c r="N31" s="22"/>
      <c r="O31" s="22"/>
      <c r="P31" s="22"/>
    </row>
    <row r="32" spans="3:16" x14ac:dyDescent="0.25">
      <c r="C32" s="33" t="str">
        <f t="shared" si="0"/>
        <v/>
      </c>
      <c r="D32" s="11"/>
      <c r="E32" s="33"/>
      <c r="I32" s="4"/>
      <c r="J32" s="4"/>
      <c r="K32" s="4"/>
      <c r="L32" s="7"/>
      <c r="M32" s="4"/>
      <c r="N32" s="22"/>
      <c r="O32" s="22"/>
      <c r="P32" s="22"/>
    </row>
    <row r="33" spans="3:16" x14ac:dyDescent="0.25">
      <c r="C33" s="33" t="str">
        <f t="shared" si="0"/>
        <v/>
      </c>
      <c r="D33" s="11"/>
      <c r="E33" s="33"/>
      <c r="I33" s="4"/>
      <c r="J33" s="4"/>
      <c r="K33" s="4"/>
      <c r="L33" s="7"/>
      <c r="M33" s="4"/>
      <c r="N33" s="21"/>
      <c r="O33" s="168"/>
      <c r="P33" s="21"/>
    </row>
    <row r="34" spans="3:16" x14ac:dyDescent="0.25">
      <c r="C34" s="33" t="str">
        <f t="shared" si="0"/>
        <v/>
      </c>
      <c r="D34" s="11"/>
      <c r="E34" s="33"/>
      <c r="I34" s="4"/>
      <c r="J34" s="4"/>
      <c r="K34" s="4"/>
      <c r="L34" s="7"/>
      <c r="M34" s="4"/>
      <c r="N34" s="21"/>
      <c r="O34" s="168"/>
      <c r="P34" s="21"/>
    </row>
    <row r="35" spans="3:16" x14ac:dyDescent="0.25">
      <c r="C35" s="33" t="str">
        <f t="shared" si="0"/>
        <v/>
      </c>
      <c r="D35" s="11"/>
      <c r="E35" s="33"/>
      <c r="I35" s="4"/>
      <c r="J35" s="4"/>
      <c r="K35" s="4"/>
      <c r="L35" s="7"/>
      <c r="M35" s="4"/>
      <c r="N35" s="21"/>
      <c r="O35" s="168"/>
      <c r="P35" s="21"/>
    </row>
    <row r="36" spans="3:16" x14ac:dyDescent="0.25">
      <c r="C36" s="33" t="str">
        <f t="shared" si="0"/>
        <v/>
      </c>
      <c r="D36" s="11"/>
      <c r="E36" s="33" t="str">
        <f t="shared" ref="E36:E43" si="1">IF(H36=1,"t","")</f>
        <v/>
      </c>
      <c r="K36" s="7"/>
      <c r="L36" s="7"/>
      <c r="N36" s="21"/>
      <c r="O36" s="21"/>
      <c r="P36" s="21"/>
    </row>
    <row r="37" spans="3:16" x14ac:dyDescent="0.25">
      <c r="C37" s="33" t="str">
        <f t="shared" si="0"/>
        <v/>
      </c>
      <c r="D37" s="11"/>
      <c r="E37" s="33" t="str">
        <f t="shared" si="1"/>
        <v/>
      </c>
      <c r="K37" s="7"/>
      <c r="L37" s="7"/>
      <c r="N37" s="21"/>
      <c r="O37" s="21"/>
      <c r="P37" s="21"/>
    </row>
    <row r="38" spans="3:16" x14ac:dyDescent="0.25">
      <c r="C38" s="33" t="str">
        <f t="shared" si="0"/>
        <v/>
      </c>
      <c r="D38" s="11"/>
      <c r="E38" s="33" t="str">
        <f t="shared" si="1"/>
        <v/>
      </c>
      <c r="K38" s="7"/>
      <c r="L38" s="7"/>
      <c r="N38" s="21"/>
      <c r="O38" s="21"/>
      <c r="P38" s="21"/>
    </row>
    <row r="39" spans="3:16" x14ac:dyDescent="0.25">
      <c r="C39" s="33" t="str">
        <f t="shared" si="0"/>
        <v/>
      </c>
      <c r="D39" s="11"/>
      <c r="E39" s="33" t="str">
        <f t="shared" si="1"/>
        <v/>
      </c>
      <c r="K39" s="7"/>
      <c r="L39" s="7"/>
      <c r="N39" s="21"/>
      <c r="O39" s="21"/>
      <c r="P39" s="21"/>
    </row>
    <row r="40" spans="3:16" x14ac:dyDescent="0.25">
      <c r="C40" s="33" t="str">
        <f t="shared" si="0"/>
        <v/>
      </c>
      <c r="D40" s="11"/>
      <c r="E40" s="33" t="str">
        <f t="shared" si="1"/>
        <v/>
      </c>
      <c r="K40" s="7"/>
      <c r="L40" s="7"/>
      <c r="N40" s="21"/>
      <c r="O40" s="21"/>
      <c r="P40" s="21"/>
    </row>
    <row r="41" spans="3:16" x14ac:dyDescent="0.25">
      <c r="C41" s="33" t="str">
        <f t="shared" si="0"/>
        <v/>
      </c>
      <c r="D41" s="11"/>
      <c r="E41" s="33" t="str">
        <f t="shared" si="1"/>
        <v/>
      </c>
      <c r="K41" s="7"/>
      <c r="L41" s="7"/>
      <c r="N41" s="21"/>
      <c r="O41" s="21"/>
      <c r="P41" s="21"/>
    </row>
    <row r="42" spans="3:16" x14ac:dyDescent="0.25">
      <c r="C42" s="33" t="str">
        <f t="shared" si="0"/>
        <v/>
      </c>
      <c r="D42" s="11"/>
      <c r="E42" s="33" t="str">
        <f t="shared" si="1"/>
        <v/>
      </c>
      <c r="K42" s="7"/>
      <c r="L42" s="7"/>
      <c r="N42" s="21"/>
      <c r="O42" s="21"/>
      <c r="P42" s="21"/>
    </row>
    <row r="43" spans="3:16" x14ac:dyDescent="0.25">
      <c r="C43" s="33" t="str">
        <f t="shared" si="0"/>
        <v/>
      </c>
      <c r="D43" s="11"/>
      <c r="E43" s="33" t="str">
        <f t="shared" si="1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2953" priority="10" operator="containsText" text="FAIL">
      <formula>NOT(ISERROR(SEARCH("FAIL",F9)))</formula>
    </cfRule>
  </conditionalFormatting>
  <conditionalFormatting sqref="I9 F11">
    <cfRule type="containsText" dxfId="2952" priority="9" operator="containsText" text="GOOD">
      <formula>NOT(ISERROR(SEARCH("GOOD",F9)))</formula>
    </cfRule>
  </conditionalFormatting>
  <conditionalFormatting sqref="I9">
    <cfRule type="containsText" dxfId="2951" priority="8" operator="containsText" text="FAIL">
      <formula>NOT(ISERROR(SEARCH("FAIL",I9)))</formula>
    </cfRule>
  </conditionalFormatting>
  <conditionalFormatting sqref="I9">
    <cfRule type="containsText" dxfId="2950" priority="7" operator="containsText" text="GOOD">
      <formula>NOT(ISERROR(SEARCH("GOOD",I9)))</formula>
    </cfRule>
  </conditionalFormatting>
  <conditionalFormatting sqref="D25">
    <cfRule type="expression" dxfId="2949" priority="6" stopIfTrue="1">
      <formula>IF($H$25=1,0)</formula>
    </cfRule>
  </conditionalFormatting>
  <conditionalFormatting sqref="D24:D43">
    <cfRule type="expression" dxfId="2948" priority="5">
      <formula>H24=1</formula>
    </cfRule>
  </conditionalFormatting>
  <conditionalFormatting sqref="C23:C43">
    <cfRule type="expression" dxfId="2947" priority="4">
      <formula>H23=1</formula>
    </cfRule>
  </conditionalFormatting>
  <conditionalFormatting sqref="E24:E43">
    <cfRule type="expression" dxfId="2946" priority="3">
      <formula>H24=1</formula>
    </cfRule>
  </conditionalFormatting>
  <conditionalFormatting sqref="D23">
    <cfRule type="expression" dxfId="2945" priority="2">
      <formula>H23=1</formula>
    </cfRule>
  </conditionalFormatting>
  <conditionalFormatting sqref="E23">
    <cfRule type="expression" dxfId="2944" priority="1">
      <formula>H23=1</formula>
    </cfRule>
  </conditionalFormatting>
  <pageMargins left="0.7" right="0.7" top="0.75" bottom="0.75" header="0.3" footer="0.3"/>
  <pageSetup scale="77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:P47"/>
  <sheetViews>
    <sheetView zoomScaleNormal="100" workbookViewId="0">
      <selection activeCell="L25" sqref="L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1303</v>
      </c>
      <c r="I4" s="2" t="s">
        <v>4</v>
      </c>
      <c r="J4" t="s">
        <v>816</v>
      </c>
    </row>
    <row r="5" spans="1:16" x14ac:dyDescent="0.25">
      <c r="D5" s="2" t="s">
        <v>1</v>
      </c>
      <c r="F5" t="s">
        <v>1304</v>
      </c>
    </row>
    <row r="6" spans="1:16" x14ac:dyDescent="0.25">
      <c r="D6" s="2" t="s">
        <v>2</v>
      </c>
      <c r="F6" s="6">
        <v>43230</v>
      </c>
      <c r="H6" s="11"/>
    </row>
    <row r="7" spans="1:16" x14ac:dyDescent="0.25">
      <c r="D7" s="2" t="s">
        <v>3</v>
      </c>
      <c r="F7" s="5">
        <v>4390000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4220000</v>
      </c>
      <c r="H8" s="11"/>
    </row>
    <row r="9" spans="1:16" x14ac:dyDescent="0.25">
      <c r="D9" s="2" t="s">
        <v>67</v>
      </c>
      <c r="F9" s="4">
        <f>+F8-F7</f>
        <v>-170000</v>
      </c>
      <c r="G9" s="16">
        <f>+F9/F7</f>
        <v>-3.8724373576309798E-2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-1691225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6081225</v>
      </c>
      <c r="G12" s="14"/>
      <c r="H12" s="11">
        <f>COUNT(I23:I43)</f>
        <v>4</v>
      </c>
      <c r="I12" s="1" t="s">
        <v>31</v>
      </c>
      <c r="J12" s="4">
        <f>+F8*0.9</f>
        <v>3798000</v>
      </c>
      <c r="K12" s="1" t="s">
        <v>69</v>
      </c>
    </row>
    <row r="13" spans="1:16" x14ac:dyDescent="0.25">
      <c r="D13" s="2" t="s">
        <v>29</v>
      </c>
      <c r="F13" s="4">
        <f>MAX(I23:I43)-MIN(I23:I43)</f>
        <v>3585500</v>
      </c>
      <c r="G13" s="269">
        <f>MEDIAN(I23:I43)</f>
        <v>6149700</v>
      </c>
      <c r="H13" s="270"/>
      <c r="I13" s="1" t="s">
        <v>30</v>
      </c>
      <c r="J13" s="4">
        <f>+F12*1.1</f>
        <v>6689347.5000000009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576</v>
      </c>
      <c r="E23" s="33"/>
      <c r="F23" t="s">
        <v>577</v>
      </c>
      <c r="G23" t="s">
        <v>355</v>
      </c>
      <c r="H23">
        <f>RANK(I23,I$23:I$43,1)</f>
        <v>4</v>
      </c>
      <c r="I23" s="4">
        <v>7805500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571</v>
      </c>
      <c r="E24" s="33"/>
      <c r="F24" t="s">
        <v>572</v>
      </c>
      <c r="G24" t="s">
        <v>321</v>
      </c>
      <c r="H24">
        <f>RANK(I24,I$23:I$43,1)</f>
        <v>2</v>
      </c>
      <c r="I24" s="4">
        <v>5305000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568</v>
      </c>
      <c r="E25" s="33"/>
      <c r="F25" t="s">
        <v>569</v>
      </c>
      <c r="G25" t="s">
        <v>570</v>
      </c>
      <c r="H25">
        <f>RANK(I25,I$23:I$43,1)</f>
        <v>3</v>
      </c>
      <c r="I25" s="4">
        <v>6994400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573</v>
      </c>
      <c r="E26" s="33"/>
      <c r="F26" t="s">
        <v>490</v>
      </c>
      <c r="G26" t="s">
        <v>25</v>
      </c>
      <c r="H26">
        <f>RANK(I26,I$23:I$43,1)</f>
        <v>1</v>
      </c>
      <c r="I26" s="4">
        <v>4220000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943" priority="18" operator="containsText" text="FAIL">
      <formula>NOT(ISERROR(SEARCH("FAIL",I9)))</formula>
    </cfRule>
  </conditionalFormatting>
  <conditionalFormatting sqref="I9">
    <cfRule type="containsText" dxfId="2942" priority="17" operator="containsText" text="GOOD">
      <formula>NOT(ISERROR(SEARCH("GOOD",I9)))</formula>
    </cfRule>
  </conditionalFormatting>
  <conditionalFormatting sqref="F11">
    <cfRule type="containsText" dxfId="2941" priority="16" operator="containsText" text="FAIL">
      <formula>NOT(ISERROR(SEARCH("FAIL",F11)))</formula>
    </cfRule>
  </conditionalFormatting>
  <conditionalFormatting sqref="F11">
    <cfRule type="containsText" dxfId="2940" priority="15" operator="containsText" text="GOOD">
      <formula>NOT(ISERROR(SEARCH("GOOD",F11)))</formula>
    </cfRule>
  </conditionalFormatting>
  <conditionalFormatting sqref="D23 D29:D43">
    <cfRule type="expression" dxfId="2939" priority="14">
      <formula>H23=1</formula>
    </cfRule>
  </conditionalFormatting>
  <conditionalFormatting sqref="C29:C43 C23:C26">
    <cfRule type="expression" dxfId="2938" priority="13">
      <formula>H23=1</formula>
    </cfRule>
  </conditionalFormatting>
  <conditionalFormatting sqref="E23 E29:E43">
    <cfRule type="expression" dxfId="2937" priority="12">
      <formula>H23=1</formula>
    </cfRule>
  </conditionalFormatting>
  <conditionalFormatting sqref="F11">
    <cfRule type="containsText" dxfId="2936" priority="11" operator="containsText" text="FAIL">
      <formula>NOT(ISERROR(SEARCH("FAIL",F11)))</formula>
    </cfRule>
  </conditionalFormatting>
  <conditionalFormatting sqref="F11">
    <cfRule type="containsText" dxfId="2935" priority="10" operator="containsText" text="GOOD">
      <formula>NOT(ISERROR(SEARCH("GOOD",F11)))</formula>
    </cfRule>
  </conditionalFormatting>
  <conditionalFormatting sqref="D28">
    <cfRule type="expression" dxfId="2934" priority="9">
      <formula>H28=1</formula>
    </cfRule>
  </conditionalFormatting>
  <conditionalFormatting sqref="C27:C28">
    <cfRule type="expression" dxfId="2933" priority="8">
      <formula>H27=1</formula>
    </cfRule>
  </conditionalFormatting>
  <conditionalFormatting sqref="E28">
    <cfRule type="expression" dxfId="2932" priority="7">
      <formula>H28=1</formula>
    </cfRule>
  </conditionalFormatting>
  <conditionalFormatting sqref="D24">
    <cfRule type="expression" dxfId="2931" priority="6">
      <formula>H24=1</formula>
    </cfRule>
  </conditionalFormatting>
  <conditionalFormatting sqref="E24">
    <cfRule type="expression" dxfId="2930" priority="5">
      <formula>H24=1</formula>
    </cfRule>
  </conditionalFormatting>
  <conditionalFormatting sqref="D26:D27">
    <cfRule type="expression" dxfId="2929" priority="4">
      <formula>H26=1</formula>
    </cfRule>
  </conditionalFormatting>
  <conditionalFormatting sqref="E26:E27">
    <cfRule type="expression" dxfId="2928" priority="3">
      <formula>H26=1</formula>
    </cfRule>
  </conditionalFormatting>
  <conditionalFormatting sqref="E25">
    <cfRule type="expression" dxfId="2927" priority="1">
      <formula>H25=1</formula>
    </cfRule>
  </conditionalFormatting>
  <conditionalFormatting sqref="D25">
    <cfRule type="expression" dxfId="2926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:P47"/>
  <sheetViews>
    <sheetView zoomScaleNormal="100" workbookViewId="0">
      <selection activeCell="G8" sqref="G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1294</v>
      </c>
      <c r="I4" s="2" t="s">
        <v>4</v>
      </c>
      <c r="J4" t="s">
        <v>816</v>
      </c>
    </row>
    <row r="5" spans="1:16" x14ac:dyDescent="0.25">
      <c r="D5" s="2" t="s">
        <v>1</v>
      </c>
      <c r="F5" t="s">
        <v>1295</v>
      </c>
    </row>
    <row r="6" spans="1:16" x14ac:dyDescent="0.25">
      <c r="D6" s="2" t="s">
        <v>2</v>
      </c>
      <c r="F6" s="6">
        <v>43221</v>
      </c>
      <c r="H6" s="11"/>
    </row>
    <row r="7" spans="1:16" x14ac:dyDescent="0.25">
      <c r="D7" s="2" t="s">
        <v>3</v>
      </c>
      <c r="F7" s="5">
        <v>960000</v>
      </c>
      <c r="G7" s="2" t="s">
        <v>1341</v>
      </c>
      <c r="H7" s="11"/>
    </row>
    <row r="8" spans="1:16" x14ac:dyDescent="0.25">
      <c r="D8" s="2" t="s">
        <v>18</v>
      </c>
      <c r="F8" s="5">
        <f>MIN(I23:I43)</f>
        <v>413834</v>
      </c>
      <c r="H8" s="11"/>
    </row>
    <row r="9" spans="1:16" x14ac:dyDescent="0.25">
      <c r="D9" s="2" t="s">
        <v>67</v>
      </c>
      <c r="F9" s="4">
        <f>+F8-F7</f>
        <v>-546166</v>
      </c>
      <c r="G9" s="16">
        <f>+F9/F7</f>
        <v>-0.56892291666666661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249386.19999999995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710613.8</v>
      </c>
      <c r="G12" s="14"/>
      <c r="H12" s="11">
        <f>COUNT(I23:I43)</f>
        <v>5</v>
      </c>
      <c r="I12" s="1" t="s">
        <v>31</v>
      </c>
      <c r="J12" s="4">
        <f>+F8*0.9</f>
        <v>372450.60000000003</v>
      </c>
      <c r="K12" s="1" t="s">
        <v>69</v>
      </c>
    </row>
    <row r="13" spans="1:16" x14ac:dyDescent="0.25">
      <c r="D13" s="2" t="s">
        <v>29</v>
      </c>
      <c r="F13" s="4">
        <f>MAX(I23:I43)-MIN(I23:I43)</f>
        <v>786166</v>
      </c>
      <c r="G13" s="269">
        <f>MEDIAN(I23:I43)</f>
        <v>661050</v>
      </c>
      <c r="H13" s="270"/>
      <c r="I13" s="1" t="s">
        <v>30</v>
      </c>
      <c r="J13" s="4">
        <f>+F12*1.1</f>
        <v>781675.18000000017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722</v>
      </c>
      <c r="E23" s="33"/>
      <c r="F23" t="s">
        <v>179</v>
      </c>
      <c r="G23" t="s">
        <v>25</v>
      </c>
      <c r="H23">
        <f>RANK(I23,I$23:I$43,1)</f>
        <v>2</v>
      </c>
      <c r="I23" s="4">
        <v>615185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631</v>
      </c>
      <c r="E24" s="33"/>
      <c r="F24" t="s">
        <v>131</v>
      </c>
      <c r="G24" t="s">
        <v>25</v>
      </c>
      <c r="H24">
        <f>RANK(I24,I$23:I$43,1)</f>
        <v>5</v>
      </c>
      <c r="I24" s="4">
        <v>1200000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1296</v>
      </c>
      <c r="E25" s="33"/>
      <c r="F25" t="s">
        <v>100</v>
      </c>
      <c r="G25" t="s">
        <v>93</v>
      </c>
      <c r="H25">
        <f>RANK(I25,I$23:I$43,1)</f>
        <v>1</v>
      </c>
      <c r="I25" s="4">
        <v>413834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824</v>
      </c>
      <c r="E26" s="33"/>
      <c r="F26" t="s">
        <v>186</v>
      </c>
      <c r="G26" t="s">
        <v>25</v>
      </c>
      <c r="H26">
        <f>RANK(I26,I$23:I$43,1)</f>
        <v>4</v>
      </c>
      <c r="I26" s="4">
        <v>663000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676</v>
      </c>
      <c r="E27" s="33"/>
      <c r="F27" t="s">
        <v>85</v>
      </c>
      <c r="G27" t="s">
        <v>25</v>
      </c>
      <c r="H27">
        <f>RANK(I27,I$23:I$43,1)</f>
        <v>3</v>
      </c>
      <c r="I27" s="4">
        <v>661050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925" priority="18" operator="containsText" text="FAIL">
      <formula>NOT(ISERROR(SEARCH("FAIL",I9)))</formula>
    </cfRule>
  </conditionalFormatting>
  <conditionalFormatting sqref="I9">
    <cfRule type="containsText" dxfId="2924" priority="17" operator="containsText" text="GOOD">
      <formula>NOT(ISERROR(SEARCH("GOOD",I9)))</formula>
    </cfRule>
  </conditionalFormatting>
  <conditionalFormatting sqref="F11">
    <cfRule type="containsText" dxfId="2923" priority="16" operator="containsText" text="FAIL">
      <formula>NOT(ISERROR(SEARCH("FAIL",F11)))</formula>
    </cfRule>
  </conditionalFormatting>
  <conditionalFormatting sqref="F11">
    <cfRule type="containsText" dxfId="2922" priority="15" operator="containsText" text="GOOD">
      <formula>NOT(ISERROR(SEARCH("GOOD",F11)))</formula>
    </cfRule>
  </conditionalFormatting>
  <conditionalFormatting sqref="D23 D29:D43">
    <cfRule type="expression" dxfId="2921" priority="14">
      <formula>H23=1</formula>
    </cfRule>
  </conditionalFormatting>
  <conditionalFormatting sqref="C29:C43 C23:C26">
    <cfRule type="expression" dxfId="2920" priority="13">
      <formula>H23=1</formula>
    </cfRule>
  </conditionalFormatting>
  <conditionalFormatting sqref="E23 E29:E43">
    <cfRule type="expression" dxfId="2919" priority="12">
      <formula>H23=1</formula>
    </cfRule>
  </conditionalFormatting>
  <conditionalFormatting sqref="F11">
    <cfRule type="containsText" dxfId="2918" priority="11" operator="containsText" text="FAIL">
      <formula>NOT(ISERROR(SEARCH("FAIL",F11)))</formula>
    </cfRule>
  </conditionalFormatting>
  <conditionalFormatting sqref="F11">
    <cfRule type="containsText" dxfId="2917" priority="10" operator="containsText" text="GOOD">
      <formula>NOT(ISERROR(SEARCH("GOOD",F11)))</formula>
    </cfRule>
  </conditionalFormatting>
  <conditionalFormatting sqref="D28">
    <cfRule type="expression" dxfId="2916" priority="9">
      <formula>H28=1</formula>
    </cfRule>
  </conditionalFormatting>
  <conditionalFormatting sqref="C27:C28">
    <cfRule type="expression" dxfId="2915" priority="8">
      <formula>H27=1</formula>
    </cfRule>
  </conditionalFormatting>
  <conditionalFormatting sqref="E28">
    <cfRule type="expression" dxfId="2914" priority="7">
      <formula>H28=1</formula>
    </cfRule>
  </conditionalFormatting>
  <conditionalFormatting sqref="D24">
    <cfRule type="expression" dxfId="2913" priority="6">
      <formula>H24=1</formula>
    </cfRule>
  </conditionalFormatting>
  <conditionalFormatting sqref="E24">
    <cfRule type="expression" dxfId="2912" priority="5">
      <formula>H24=1</formula>
    </cfRule>
  </conditionalFormatting>
  <conditionalFormatting sqref="D26:D27">
    <cfRule type="expression" dxfId="2911" priority="4">
      <formula>H26=1</formula>
    </cfRule>
  </conditionalFormatting>
  <conditionalFormatting sqref="E26:E27">
    <cfRule type="expression" dxfId="2910" priority="3">
      <formula>H26=1</formula>
    </cfRule>
  </conditionalFormatting>
  <conditionalFormatting sqref="E25">
    <cfRule type="expression" dxfId="2909" priority="1">
      <formula>H25=1</formula>
    </cfRule>
  </conditionalFormatting>
  <conditionalFormatting sqref="D25">
    <cfRule type="expression" dxfId="2908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FF0000"/>
  </sheetPr>
  <dimension ref="A2:O56"/>
  <sheetViews>
    <sheetView zoomScaleNormal="100" workbookViewId="0">
      <selection activeCell="N7" sqref="N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3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3" ht="18.75" x14ac:dyDescent="0.3">
      <c r="C3" s="3" t="s">
        <v>26</v>
      </c>
      <c r="J3" s="8" t="s">
        <v>47</v>
      </c>
    </row>
    <row r="4" spans="1:13" x14ac:dyDescent="0.25">
      <c r="D4" s="2" t="s">
        <v>0</v>
      </c>
      <c r="E4" s="1"/>
      <c r="F4" t="s">
        <v>1291</v>
      </c>
      <c r="I4" s="2" t="s">
        <v>4</v>
      </c>
      <c r="J4" t="s">
        <v>784</v>
      </c>
    </row>
    <row r="5" spans="1:13" x14ac:dyDescent="0.25">
      <c r="D5" s="2" t="s">
        <v>1</v>
      </c>
      <c r="F5" t="s">
        <v>1292</v>
      </c>
    </row>
    <row r="6" spans="1:13" x14ac:dyDescent="0.25">
      <c r="D6" s="2" t="s">
        <v>2</v>
      </c>
      <c r="F6" s="6">
        <v>43207</v>
      </c>
      <c r="H6" s="11"/>
    </row>
    <row r="7" spans="1:13" x14ac:dyDescent="0.25">
      <c r="D7" s="2" t="s">
        <v>3</v>
      </c>
      <c r="F7" s="5">
        <f>+I7+J7</f>
        <v>3730000</v>
      </c>
      <c r="G7" s="2" t="s">
        <v>190</v>
      </c>
      <c r="H7" s="11"/>
      <c r="I7" s="19">
        <v>1596000</v>
      </c>
      <c r="J7" s="19">
        <v>2134000</v>
      </c>
    </row>
    <row r="8" spans="1:13" x14ac:dyDescent="0.25">
      <c r="D8" s="2" t="s">
        <v>18</v>
      </c>
      <c r="F8" s="5">
        <f>MIN(K23:K43)</f>
        <v>5533954</v>
      </c>
      <c r="H8" s="11"/>
      <c r="I8" s="18" t="s">
        <v>43</v>
      </c>
      <c r="J8" s="18" t="s">
        <v>44</v>
      </c>
    </row>
    <row r="9" spans="1:13" x14ac:dyDescent="0.25">
      <c r="D9" s="2" t="s">
        <v>19</v>
      </c>
      <c r="F9" s="4">
        <f>+F8-F7</f>
        <v>1803954</v>
      </c>
      <c r="G9" s="16">
        <f>+F9/F7</f>
        <v>0.4836337801608579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3" x14ac:dyDescent="0.25">
      <c r="D10" s="2" t="s">
        <v>68</v>
      </c>
      <c r="F10" s="4">
        <f>+F7-F12</f>
        <v>-2101811.333333333</v>
      </c>
      <c r="H10" s="11"/>
    </row>
    <row r="11" spans="1:13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3" x14ac:dyDescent="0.25">
      <c r="D12" s="2" t="s">
        <v>28</v>
      </c>
      <c r="F12" s="4">
        <f>SUM(K23:K43)/H12</f>
        <v>5831811.333333333</v>
      </c>
      <c r="G12" s="14"/>
      <c r="H12" s="11">
        <f>COUNT(K23:K43)</f>
        <v>3</v>
      </c>
      <c r="I12" s="1" t="s">
        <v>31</v>
      </c>
      <c r="J12" s="4">
        <f>+F8*0.9</f>
        <v>4980558.6000000006</v>
      </c>
      <c r="K12" s="1" t="s">
        <v>69</v>
      </c>
    </row>
    <row r="13" spans="1:13" x14ac:dyDescent="0.25">
      <c r="D13" s="2" t="s">
        <v>29</v>
      </c>
      <c r="F13" s="4">
        <f>MAX(K23:K43)-MIN(K23:K43)</f>
        <v>479046</v>
      </c>
      <c r="G13" s="269">
        <f>MEDIAN(K23:K43)</f>
        <v>5948480</v>
      </c>
      <c r="H13" s="270"/>
      <c r="I13" s="1" t="s">
        <v>30</v>
      </c>
      <c r="J13" s="4">
        <f>+F12*1.1</f>
        <v>6414992.4666666668</v>
      </c>
      <c r="K13" s="1" t="s">
        <v>70</v>
      </c>
    </row>
    <row r="14" spans="1:13" x14ac:dyDescent="0.25">
      <c r="H14" s="11"/>
    </row>
    <row r="15" spans="1:13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3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0.1264406779661017</v>
      </c>
    </row>
    <row r="18" spans="3:15" x14ac:dyDescent="0.25">
      <c r="F18" s="4">
        <f>+F7</f>
        <v>3730000</v>
      </c>
      <c r="G18" s="1" t="s">
        <v>12</v>
      </c>
      <c r="H18" s="11"/>
      <c r="I18" t="s">
        <v>16</v>
      </c>
      <c r="J18" s="7">
        <f>+F8/F18</f>
        <v>1.4836337801608579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0.18446513333333334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440</v>
      </c>
      <c r="E23" s="33"/>
      <c r="F23" t="s">
        <v>193</v>
      </c>
      <c r="G23" t="s">
        <v>25</v>
      </c>
      <c r="H23">
        <f>RANK(K23,K$23:K$43,1)</f>
        <v>2</v>
      </c>
      <c r="I23" s="4">
        <v>1517300</v>
      </c>
      <c r="J23" s="4">
        <v>4431180</v>
      </c>
      <c r="K23" s="4">
        <f>+J23+I23</f>
        <v>5948480</v>
      </c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540</v>
      </c>
      <c r="E24" s="33"/>
      <c r="F24" t="s">
        <v>222</v>
      </c>
      <c r="G24" t="s">
        <v>25</v>
      </c>
      <c r="H24">
        <f>RANK(K24,K$23:K$43,1)</f>
        <v>1</v>
      </c>
      <c r="I24" s="4">
        <v>1243700</v>
      </c>
      <c r="J24" s="4">
        <v>4290254</v>
      </c>
      <c r="K24" s="4">
        <f>+J24+I24</f>
        <v>5533954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1270</v>
      </c>
      <c r="E25" s="33"/>
      <c r="F25" t="s">
        <v>192</v>
      </c>
      <c r="G25" t="s">
        <v>25</v>
      </c>
      <c r="H25">
        <f>RANK(K25,K$23:K$43,1)</f>
        <v>3</v>
      </c>
      <c r="I25" s="4">
        <v>998940</v>
      </c>
      <c r="J25" s="4">
        <v>5014060</v>
      </c>
      <c r="K25" s="4">
        <f>+J25+I25</f>
        <v>6013000</v>
      </c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>IF(H28=1,"u","")</f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2907" priority="35" operator="containsText" text="FAIL">
      <formula>NOT(ISERROR(SEARCH("FAIL",I9)))</formula>
    </cfRule>
  </conditionalFormatting>
  <conditionalFormatting sqref="I9">
    <cfRule type="containsText" dxfId="2906" priority="34" operator="containsText" text="GOOD">
      <formula>NOT(ISERROR(SEARCH("GOOD",I9)))</formula>
    </cfRule>
  </conditionalFormatting>
  <conditionalFormatting sqref="I9">
    <cfRule type="containsText" dxfId="2905" priority="33" operator="containsText" text="FAIL">
      <formula>NOT(ISERROR(SEARCH("FAIL",I9)))</formula>
    </cfRule>
  </conditionalFormatting>
  <conditionalFormatting sqref="I9">
    <cfRule type="containsText" dxfId="2904" priority="32" operator="containsText" text="GOOD">
      <formula>NOT(ISERROR(SEARCH("GOOD",I9)))</formula>
    </cfRule>
  </conditionalFormatting>
  <conditionalFormatting sqref="I9">
    <cfRule type="containsText" dxfId="2903" priority="31" operator="containsText" text="FAIL">
      <formula>NOT(ISERROR(SEARCH("FAIL",I9)))</formula>
    </cfRule>
  </conditionalFormatting>
  <conditionalFormatting sqref="I9">
    <cfRule type="containsText" dxfId="2902" priority="30" operator="containsText" text="GOOD">
      <formula>NOT(ISERROR(SEARCH("GOOD",I9)))</formula>
    </cfRule>
  </conditionalFormatting>
  <conditionalFormatting sqref="F11">
    <cfRule type="containsText" dxfId="2901" priority="29" operator="containsText" text="FAIL">
      <formula>NOT(ISERROR(SEARCH("FAIL",F11)))</formula>
    </cfRule>
  </conditionalFormatting>
  <conditionalFormatting sqref="F11">
    <cfRule type="containsText" dxfId="2900" priority="28" operator="containsText" text="GOOD">
      <formula>NOT(ISERROR(SEARCH("GOOD",F11)))</formula>
    </cfRule>
  </conditionalFormatting>
  <conditionalFormatting sqref="I9">
    <cfRule type="containsText" dxfId="2899" priority="27" operator="containsText" text="FAIL">
      <formula>NOT(ISERROR(SEARCH("FAIL",I9)))</formula>
    </cfRule>
  </conditionalFormatting>
  <conditionalFormatting sqref="I9">
    <cfRule type="containsText" dxfId="2898" priority="26" operator="containsText" text="GOOD">
      <formula>NOT(ISERROR(SEARCH("GOOD",I9)))</formula>
    </cfRule>
  </conditionalFormatting>
  <conditionalFormatting sqref="F11">
    <cfRule type="containsText" dxfId="2897" priority="25" operator="containsText" text="FAIL">
      <formula>NOT(ISERROR(SEARCH("FAIL",F11)))</formula>
    </cfRule>
  </conditionalFormatting>
  <conditionalFormatting sqref="F11">
    <cfRule type="containsText" dxfId="2896" priority="24" operator="containsText" text="GOOD">
      <formula>NOT(ISERROR(SEARCH("GOOD",F11)))</formula>
    </cfRule>
  </conditionalFormatting>
  <conditionalFormatting sqref="D25">
    <cfRule type="expression" dxfId="2895" priority="23" stopIfTrue="1">
      <formula>IF($H$25=1,0)</formula>
    </cfRule>
  </conditionalFormatting>
  <conditionalFormatting sqref="D39:D43 D25:D33">
    <cfRule type="expression" dxfId="2894" priority="22">
      <formula>H25=1</formula>
    </cfRule>
  </conditionalFormatting>
  <conditionalFormatting sqref="C23 C39:C43 C25:C33">
    <cfRule type="expression" dxfId="2893" priority="21">
      <formula>H23=1</formula>
    </cfRule>
  </conditionalFormatting>
  <conditionalFormatting sqref="E39:E43 E25:E33">
    <cfRule type="expression" dxfId="2892" priority="20">
      <formula>H25=1</formula>
    </cfRule>
  </conditionalFormatting>
  <conditionalFormatting sqref="E39:E43 E25:E33">
    <cfRule type="expression" dxfId="2891" priority="19">
      <formula>H25=1</formula>
    </cfRule>
  </conditionalFormatting>
  <conditionalFormatting sqref="F11">
    <cfRule type="containsText" dxfId="2890" priority="18" operator="containsText" text="FAIL">
      <formula>NOT(ISERROR(SEARCH("FAIL",F11)))</formula>
    </cfRule>
  </conditionalFormatting>
  <conditionalFormatting sqref="F11">
    <cfRule type="containsText" dxfId="2889" priority="17" operator="containsText" text="GOOD">
      <formula>NOT(ISERROR(SEARCH("GOOD",F11)))</formula>
    </cfRule>
  </conditionalFormatting>
  <conditionalFormatting sqref="D34:D37">
    <cfRule type="expression" dxfId="2888" priority="16">
      <formula>H34=1</formula>
    </cfRule>
  </conditionalFormatting>
  <conditionalFormatting sqref="C34:C37">
    <cfRule type="expression" dxfId="2887" priority="15">
      <formula>H34=1</formula>
    </cfRule>
  </conditionalFormatting>
  <conditionalFormatting sqref="E34:E37">
    <cfRule type="expression" dxfId="2886" priority="14">
      <formula>H34=1</formula>
    </cfRule>
  </conditionalFormatting>
  <conditionalFormatting sqref="E34:E37">
    <cfRule type="expression" dxfId="2885" priority="13">
      <formula>H34=1</formula>
    </cfRule>
  </conditionalFormatting>
  <conditionalFormatting sqref="D38">
    <cfRule type="expression" dxfId="2884" priority="12">
      <formula>H38=1</formula>
    </cfRule>
  </conditionalFormatting>
  <conditionalFormatting sqref="C38">
    <cfRule type="expression" dxfId="2883" priority="11">
      <formula>H38=1</formula>
    </cfRule>
  </conditionalFormatting>
  <conditionalFormatting sqref="E38">
    <cfRule type="expression" dxfId="2882" priority="10">
      <formula>H38=1</formula>
    </cfRule>
  </conditionalFormatting>
  <conditionalFormatting sqref="E38">
    <cfRule type="expression" dxfId="2881" priority="9">
      <formula>H38=1</formula>
    </cfRule>
  </conditionalFormatting>
  <conditionalFormatting sqref="E24">
    <cfRule type="expression" dxfId="2880" priority="4">
      <formula>H24=1</formula>
    </cfRule>
  </conditionalFormatting>
  <conditionalFormatting sqref="D24">
    <cfRule type="expression" dxfId="2879" priority="8" stopIfTrue="1">
      <formula>IF($H$25=1,0)</formula>
    </cfRule>
  </conditionalFormatting>
  <conditionalFormatting sqref="D24">
    <cfRule type="expression" dxfId="2878" priority="7">
      <formula>H24=1</formula>
    </cfRule>
  </conditionalFormatting>
  <conditionalFormatting sqref="C24">
    <cfRule type="expression" dxfId="2877" priority="6">
      <formula>H24=1</formula>
    </cfRule>
  </conditionalFormatting>
  <conditionalFormatting sqref="E24">
    <cfRule type="expression" dxfId="2876" priority="5">
      <formula>H24=1</formula>
    </cfRule>
  </conditionalFormatting>
  <conditionalFormatting sqref="D23">
    <cfRule type="expression" dxfId="2875" priority="3">
      <formula>H23=1</formula>
    </cfRule>
  </conditionalFormatting>
  <conditionalFormatting sqref="E23">
    <cfRule type="expression" dxfId="2874" priority="2">
      <formula>H23=1</formula>
    </cfRule>
  </conditionalFormatting>
  <conditionalFormatting sqref="E23">
    <cfRule type="expression" dxfId="2873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:P47"/>
  <sheetViews>
    <sheetView zoomScaleNormal="100" workbookViewId="0">
      <selection activeCell="J13" sqref="J1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1273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1274</v>
      </c>
    </row>
    <row r="6" spans="1:16" x14ac:dyDescent="0.25">
      <c r="D6" s="2" t="s">
        <v>2</v>
      </c>
      <c r="F6" s="6">
        <v>43195</v>
      </c>
      <c r="H6" s="11"/>
    </row>
    <row r="7" spans="1:16" x14ac:dyDescent="0.25">
      <c r="D7" s="2" t="s">
        <v>3</v>
      </c>
      <c r="F7" s="5">
        <v>1520000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856934</v>
      </c>
      <c r="H8" s="11"/>
    </row>
    <row r="9" spans="1:16" x14ac:dyDescent="0.25">
      <c r="D9" s="2" t="s">
        <v>67</v>
      </c>
      <c r="F9" s="4">
        <f>+F8-F7</f>
        <v>-663066</v>
      </c>
      <c r="G9" s="16">
        <f>+F9/F7</f>
        <v>-0.43622763157894739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-386983.5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1906983.5</v>
      </c>
      <c r="G12" s="14"/>
      <c r="H12" s="11">
        <f>COUNT(I23:I43)</f>
        <v>4</v>
      </c>
      <c r="I12" s="1" t="s">
        <v>31</v>
      </c>
      <c r="J12" s="4">
        <f>+F8*0.9</f>
        <v>771240.6</v>
      </c>
      <c r="K12" s="1" t="s">
        <v>69</v>
      </c>
    </row>
    <row r="13" spans="1:16" x14ac:dyDescent="0.25">
      <c r="D13" s="2" t="s">
        <v>29</v>
      </c>
      <c r="F13" s="4">
        <f>MAX(I23:I43)-MIN(I23:I43)</f>
        <v>2334066</v>
      </c>
      <c r="G13" s="269">
        <f>MEDIAN(I23:I43)</f>
        <v>1790000</v>
      </c>
      <c r="H13" s="270"/>
      <c r="I13" s="1" t="s">
        <v>30</v>
      </c>
      <c r="J13" s="4">
        <f>+F12*1.1</f>
        <v>2097681.85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3</v>
      </c>
      <c r="H19" s="11" t="s">
        <v>1275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1276</v>
      </c>
      <c r="E23" s="33"/>
      <c r="F23" t="s">
        <v>1277</v>
      </c>
      <c r="G23" t="s">
        <v>93</v>
      </c>
      <c r="H23">
        <f>RANK(I23,I$23:I$43,1)</f>
        <v>4</v>
      </c>
      <c r="I23" s="4">
        <v>3191000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1255</v>
      </c>
      <c r="E24" s="33"/>
      <c r="F24" t="s">
        <v>95</v>
      </c>
      <c r="G24" t="s">
        <v>93</v>
      </c>
      <c r="H24">
        <f>RANK(I24,I$23:I$43,1)</f>
        <v>3</v>
      </c>
      <c r="I24" s="4">
        <v>1987000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1278</v>
      </c>
      <c r="E25" s="33"/>
      <c r="F25" t="s">
        <v>1279</v>
      </c>
      <c r="G25" t="s">
        <v>25</v>
      </c>
      <c r="H25">
        <f>RANK(I25,I$23:I$43,1)</f>
        <v>1</v>
      </c>
      <c r="I25" s="4">
        <v>856934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1243</v>
      </c>
      <c r="E26" s="33"/>
      <c r="F26" t="s">
        <v>292</v>
      </c>
      <c r="G26" t="s">
        <v>25</v>
      </c>
      <c r="H26">
        <f>RANK(I26,I$23:I$43,1)</f>
        <v>2</v>
      </c>
      <c r="I26" s="4">
        <v>1593000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872" priority="18" operator="containsText" text="FAIL">
      <formula>NOT(ISERROR(SEARCH("FAIL",I9)))</formula>
    </cfRule>
  </conditionalFormatting>
  <conditionalFormatting sqref="I9">
    <cfRule type="containsText" dxfId="2871" priority="17" operator="containsText" text="GOOD">
      <formula>NOT(ISERROR(SEARCH("GOOD",I9)))</formula>
    </cfRule>
  </conditionalFormatting>
  <conditionalFormatting sqref="F11">
    <cfRule type="containsText" dxfId="2870" priority="16" operator="containsText" text="FAIL">
      <formula>NOT(ISERROR(SEARCH("FAIL",F11)))</formula>
    </cfRule>
  </conditionalFormatting>
  <conditionalFormatting sqref="F11">
    <cfRule type="containsText" dxfId="2869" priority="15" operator="containsText" text="GOOD">
      <formula>NOT(ISERROR(SEARCH("GOOD",F11)))</formula>
    </cfRule>
  </conditionalFormatting>
  <conditionalFormatting sqref="D23 D29:D43">
    <cfRule type="expression" dxfId="2868" priority="14">
      <formula>H23=1</formula>
    </cfRule>
  </conditionalFormatting>
  <conditionalFormatting sqref="C29:C43 C23:C26">
    <cfRule type="expression" dxfId="2867" priority="13">
      <formula>H23=1</formula>
    </cfRule>
  </conditionalFormatting>
  <conditionalFormatting sqref="E23 E29:E43">
    <cfRule type="expression" dxfId="2866" priority="12">
      <formula>H23=1</formula>
    </cfRule>
  </conditionalFormatting>
  <conditionalFormatting sqref="F11">
    <cfRule type="containsText" dxfId="2865" priority="11" operator="containsText" text="FAIL">
      <formula>NOT(ISERROR(SEARCH("FAIL",F11)))</formula>
    </cfRule>
  </conditionalFormatting>
  <conditionalFormatting sqref="F11">
    <cfRule type="containsText" dxfId="2864" priority="10" operator="containsText" text="GOOD">
      <formula>NOT(ISERROR(SEARCH("GOOD",F11)))</formula>
    </cfRule>
  </conditionalFormatting>
  <conditionalFormatting sqref="D28">
    <cfRule type="expression" dxfId="2863" priority="9">
      <formula>H28=1</formula>
    </cfRule>
  </conditionalFormatting>
  <conditionalFormatting sqref="C27:C28">
    <cfRule type="expression" dxfId="2862" priority="8">
      <formula>H27=1</formula>
    </cfRule>
  </conditionalFormatting>
  <conditionalFormatting sqref="E28">
    <cfRule type="expression" dxfId="2861" priority="7">
      <formula>H28=1</formula>
    </cfRule>
  </conditionalFormatting>
  <conditionalFormatting sqref="D24">
    <cfRule type="expression" dxfId="2860" priority="6">
      <formula>H24=1</formula>
    </cfRule>
  </conditionalFormatting>
  <conditionalFormatting sqref="E24">
    <cfRule type="expression" dxfId="2859" priority="5">
      <formula>H24=1</formula>
    </cfRule>
  </conditionalFormatting>
  <conditionalFormatting sqref="D26:D27">
    <cfRule type="expression" dxfId="2858" priority="4">
      <formula>H26=1</formula>
    </cfRule>
  </conditionalFormatting>
  <conditionalFormatting sqref="E26:E27">
    <cfRule type="expression" dxfId="2857" priority="3">
      <formula>H26=1</formula>
    </cfRule>
  </conditionalFormatting>
  <conditionalFormatting sqref="E25">
    <cfRule type="expression" dxfId="2856" priority="1">
      <formula>H25=1</formula>
    </cfRule>
  </conditionalFormatting>
  <conditionalFormatting sqref="D25">
    <cfRule type="expression" dxfId="2855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:P47"/>
  <sheetViews>
    <sheetView zoomScaleNormal="100" workbookViewId="0">
      <selection activeCell="F5" sqref="F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1271</v>
      </c>
      <c r="I4" s="2" t="s">
        <v>4</v>
      </c>
      <c r="J4" t="s">
        <v>816</v>
      </c>
    </row>
    <row r="5" spans="1:16" x14ac:dyDescent="0.25">
      <c r="D5" s="2" t="s">
        <v>1</v>
      </c>
      <c r="F5" t="s">
        <v>1272</v>
      </c>
    </row>
    <row r="6" spans="1:16" x14ac:dyDescent="0.25">
      <c r="D6" s="2" t="s">
        <v>2</v>
      </c>
      <c r="F6" s="6">
        <v>43193</v>
      </c>
      <c r="H6" s="11"/>
    </row>
    <row r="7" spans="1:16" x14ac:dyDescent="0.25">
      <c r="D7" s="2" t="s">
        <v>3</v>
      </c>
      <c r="F7" s="5">
        <v>9140000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4659626</v>
      </c>
      <c r="H8" s="11"/>
    </row>
    <row r="9" spans="1:16" x14ac:dyDescent="0.25">
      <c r="D9" s="2" t="s">
        <v>67</v>
      </c>
      <c r="F9" s="4">
        <f>+F8-F7</f>
        <v>-4480374</v>
      </c>
      <c r="G9" s="16">
        <f>+F9/F7</f>
        <v>-0.49019409190371993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-955414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10095414</v>
      </c>
      <c r="G12" s="14"/>
      <c r="H12" s="11">
        <f>COUNT(I23:I43)</f>
        <v>5</v>
      </c>
      <c r="I12" s="1" t="s">
        <v>31</v>
      </c>
      <c r="J12" s="4">
        <f>+F8*0.9</f>
        <v>4193663.4</v>
      </c>
      <c r="K12" s="1" t="s">
        <v>69</v>
      </c>
    </row>
    <row r="13" spans="1:16" x14ac:dyDescent="0.25">
      <c r="D13" s="2" t="s">
        <v>29</v>
      </c>
      <c r="F13" s="4">
        <f>MAX(I23:I43)-MIN(I23:I43)</f>
        <v>9614146</v>
      </c>
      <c r="G13" s="269">
        <f>MEDIAN(I23:I43)</f>
        <v>10418410</v>
      </c>
      <c r="H13" s="270"/>
      <c r="I13" s="1" t="s">
        <v>30</v>
      </c>
      <c r="J13" s="4">
        <f>+F12*1.1</f>
        <v>11104955.4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7500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1098</v>
      </c>
      <c r="E23" s="33"/>
      <c r="F23" t="s">
        <v>95</v>
      </c>
      <c r="G23" t="s">
        <v>93</v>
      </c>
      <c r="H23">
        <f>RANK(I23,I$23:I$43,1)</f>
        <v>5</v>
      </c>
      <c r="I23" s="4">
        <v>14273772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997</v>
      </c>
      <c r="E24" s="33"/>
      <c r="F24" t="s">
        <v>998</v>
      </c>
      <c r="G24" t="s">
        <v>25</v>
      </c>
      <c r="H24">
        <f>RANK(I24,I$23:I$43,1)</f>
        <v>1</v>
      </c>
      <c r="I24" s="4">
        <v>4659626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653</v>
      </c>
      <c r="E25" s="33"/>
      <c r="F25" t="s">
        <v>391</v>
      </c>
      <c r="G25" t="s">
        <v>93</v>
      </c>
      <c r="H25">
        <f>RANK(I25,I$23:I$43,1)</f>
        <v>2</v>
      </c>
      <c r="I25" s="4">
        <v>9983390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626</v>
      </c>
      <c r="E26" s="33"/>
      <c r="F26" t="s">
        <v>308</v>
      </c>
      <c r="G26" t="s">
        <v>25</v>
      </c>
      <c r="H26">
        <f>RANK(I26,I$23:I$43,1)</f>
        <v>4</v>
      </c>
      <c r="I26" s="4">
        <v>11141872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1262</v>
      </c>
      <c r="E27" s="33"/>
      <c r="F27" t="s">
        <v>159</v>
      </c>
      <c r="G27" t="s">
        <v>93</v>
      </c>
      <c r="H27">
        <f>RANK(I27,I$23:I$43,1)</f>
        <v>3</v>
      </c>
      <c r="I27" s="4">
        <v>10418410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854" priority="23" operator="containsText" text="FAIL">
      <formula>NOT(ISERROR(SEARCH("FAIL",I9)))</formula>
    </cfRule>
  </conditionalFormatting>
  <conditionalFormatting sqref="I9">
    <cfRule type="containsText" dxfId="2853" priority="22" operator="containsText" text="GOOD">
      <formula>NOT(ISERROR(SEARCH("GOOD",I9)))</formula>
    </cfRule>
  </conditionalFormatting>
  <conditionalFormatting sqref="F11">
    <cfRule type="containsText" dxfId="2852" priority="21" operator="containsText" text="FAIL">
      <formula>NOT(ISERROR(SEARCH("FAIL",F11)))</formula>
    </cfRule>
  </conditionalFormatting>
  <conditionalFormatting sqref="F11">
    <cfRule type="containsText" dxfId="2851" priority="20" operator="containsText" text="GOOD">
      <formula>NOT(ISERROR(SEARCH("GOOD",F11)))</formula>
    </cfRule>
  </conditionalFormatting>
  <conditionalFormatting sqref="D23 D29:D43">
    <cfRule type="expression" dxfId="2850" priority="19">
      <formula>H23=1</formula>
    </cfRule>
  </conditionalFormatting>
  <conditionalFormatting sqref="C29:C43 C23:C26">
    <cfRule type="expression" dxfId="2849" priority="18">
      <formula>H23=1</formula>
    </cfRule>
  </conditionalFormatting>
  <conditionalFormatting sqref="E23 E29:E43">
    <cfRule type="expression" dxfId="2848" priority="17">
      <formula>H23=1</formula>
    </cfRule>
  </conditionalFormatting>
  <conditionalFormatting sqref="F11">
    <cfRule type="containsText" dxfId="2847" priority="16" operator="containsText" text="FAIL">
      <formula>NOT(ISERROR(SEARCH("FAIL",F11)))</formula>
    </cfRule>
  </conditionalFormatting>
  <conditionalFormatting sqref="F11">
    <cfRule type="containsText" dxfId="2846" priority="15" operator="containsText" text="GOOD">
      <formula>NOT(ISERROR(SEARCH("GOOD",F11)))</formula>
    </cfRule>
  </conditionalFormatting>
  <conditionalFormatting sqref="D28">
    <cfRule type="expression" dxfId="2845" priority="14">
      <formula>H28=1</formula>
    </cfRule>
  </conditionalFormatting>
  <conditionalFormatting sqref="C27:C28">
    <cfRule type="expression" dxfId="2844" priority="13">
      <formula>H27=1</formula>
    </cfRule>
  </conditionalFormatting>
  <conditionalFormatting sqref="E28">
    <cfRule type="expression" dxfId="2843" priority="12">
      <formula>H28=1</formula>
    </cfRule>
  </conditionalFormatting>
  <conditionalFormatting sqref="D24">
    <cfRule type="expression" dxfId="2842" priority="6">
      <formula>H24=1</formula>
    </cfRule>
  </conditionalFormatting>
  <conditionalFormatting sqref="E24">
    <cfRule type="expression" dxfId="2841" priority="5">
      <formula>H24=1</formula>
    </cfRule>
  </conditionalFormatting>
  <conditionalFormatting sqref="D26:D27">
    <cfRule type="expression" dxfId="2840" priority="4">
      <formula>H26=1</formula>
    </cfRule>
  </conditionalFormatting>
  <conditionalFormatting sqref="E26:E27">
    <cfRule type="expression" dxfId="2839" priority="3">
      <formula>H26=1</formula>
    </cfRule>
  </conditionalFormatting>
  <conditionalFormatting sqref="E25">
    <cfRule type="expression" dxfId="2838" priority="1">
      <formula>H25=1</formula>
    </cfRule>
  </conditionalFormatting>
  <conditionalFormatting sqref="D25">
    <cfRule type="expression" dxfId="2837" priority="2">
      <formula>H25=1</formula>
    </cfRule>
  </conditionalFormatting>
  <pageMargins left="0.7" right="0.7" top="0.75" bottom="0.75" header="0.3" footer="0.3"/>
  <pageSetup scale="68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:O56"/>
  <sheetViews>
    <sheetView zoomScaleNormal="100" workbookViewId="0">
      <selection activeCell="F12" sqref="F12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3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3" ht="18.75" x14ac:dyDescent="0.3">
      <c r="C3" s="3" t="s">
        <v>26</v>
      </c>
      <c r="J3" s="8" t="s">
        <v>47</v>
      </c>
    </row>
    <row r="4" spans="1:13" x14ac:dyDescent="0.25">
      <c r="D4" s="2" t="s">
        <v>0</v>
      </c>
      <c r="E4" s="1"/>
      <c r="F4" t="s">
        <v>1268</v>
      </c>
      <c r="I4" s="2" t="s">
        <v>4</v>
      </c>
      <c r="J4" t="s">
        <v>784</v>
      </c>
    </row>
    <row r="5" spans="1:13" x14ac:dyDescent="0.25">
      <c r="D5" s="2" t="s">
        <v>1</v>
      </c>
      <c r="F5" t="s">
        <v>1269</v>
      </c>
    </row>
    <row r="6" spans="1:13" x14ac:dyDescent="0.25">
      <c r="D6" s="2" t="s">
        <v>2</v>
      </c>
      <c r="F6" s="6">
        <v>43193</v>
      </c>
      <c r="H6" s="11"/>
    </row>
    <row r="7" spans="1:13" x14ac:dyDescent="0.25">
      <c r="D7" s="2" t="s">
        <v>3</v>
      </c>
      <c r="F7" s="5">
        <f>+I7+J7</f>
        <v>3441000</v>
      </c>
      <c r="G7" s="2" t="s">
        <v>34</v>
      </c>
      <c r="H7" s="11"/>
      <c r="I7" s="19">
        <v>739850</v>
      </c>
      <c r="J7" s="19">
        <v>2701150</v>
      </c>
    </row>
    <row r="8" spans="1:13" x14ac:dyDescent="0.25">
      <c r="D8" s="2" t="s">
        <v>18</v>
      </c>
      <c r="F8" s="5">
        <f>MIN(K23:K43)</f>
        <v>2993080</v>
      </c>
      <c r="H8" s="11"/>
      <c r="I8" s="18" t="s">
        <v>43</v>
      </c>
      <c r="J8" s="18" t="s">
        <v>44</v>
      </c>
    </row>
    <row r="9" spans="1:13" x14ac:dyDescent="0.25">
      <c r="D9" s="2" t="s">
        <v>19</v>
      </c>
      <c r="F9" s="4">
        <f>+F8-F7</f>
        <v>-447920</v>
      </c>
      <c r="G9" s="16">
        <f>+F9/F7</f>
        <v>-0.13017146178436501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3" x14ac:dyDescent="0.25">
      <c r="D10" s="2" t="s">
        <v>68</v>
      </c>
      <c r="F10" s="4">
        <f>+F7-F12</f>
        <v>-93026.666666666511</v>
      </c>
      <c r="H10" s="11"/>
    </row>
    <row r="11" spans="1:13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3" x14ac:dyDescent="0.25">
      <c r="D12" s="2" t="s">
        <v>28</v>
      </c>
      <c r="F12" s="4">
        <f>SUM(K23:K43)/H12</f>
        <v>3534026.6666666665</v>
      </c>
      <c r="G12" s="14"/>
      <c r="H12" s="11">
        <f>COUNT(K23:K43)</f>
        <v>3</v>
      </c>
      <c r="I12" s="1" t="s">
        <v>31</v>
      </c>
      <c r="J12" s="4">
        <f>+F8*0.9</f>
        <v>2693772</v>
      </c>
      <c r="K12" s="1" t="s">
        <v>69</v>
      </c>
    </row>
    <row r="13" spans="1:13" x14ac:dyDescent="0.25">
      <c r="D13" s="2" t="s">
        <v>29</v>
      </c>
      <c r="F13" s="4">
        <f>MAX(K23:K43)-MIN(K23:K43)</f>
        <v>846920</v>
      </c>
      <c r="G13" s="269">
        <f>MEDIAN(K23:K43)</f>
        <v>3769000</v>
      </c>
      <c r="H13" s="270"/>
      <c r="I13" s="1" t="s">
        <v>30</v>
      </c>
      <c r="J13" s="4">
        <f>+F12*1.1</f>
        <v>3887429.3333333335</v>
      </c>
      <c r="K13" s="1" t="s">
        <v>70</v>
      </c>
    </row>
    <row r="14" spans="1:13" x14ac:dyDescent="0.25">
      <c r="H14" s="11"/>
    </row>
    <row r="15" spans="1:13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3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0.11664406779661017</v>
      </c>
    </row>
    <row r="18" spans="3:15" x14ac:dyDescent="0.25">
      <c r="F18" s="4">
        <f>+F7</f>
        <v>3441000</v>
      </c>
      <c r="G18" s="1" t="s">
        <v>12</v>
      </c>
      <c r="H18" s="11"/>
      <c r="I18" t="s">
        <v>16</v>
      </c>
      <c r="J18" s="7">
        <f>+F8/F18</f>
        <v>0.86982853821563499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9.9769333333333335E-2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440</v>
      </c>
      <c r="E23" s="33"/>
      <c r="F23" t="s">
        <v>193</v>
      </c>
      <c r="G23" t="s">
        <v>25</v>
      </c>
      <c r="H23">
        <f>RANK(K23,K$23:K$43,1)</f>
        <v>2</v>
      </c>
      <c r="I23" s="4">
        <v>848655</v>
      </c>
      <c r="J23" s="4">
        <v>2920345</v>
      </c>
      <c r="K23" s="4">
        <f>+J23+I23</f>
        <v>3769000</v>
      </c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540</v>
      </c>
      <c r="E24" s="33"/>
      <c r="F24" t="s">
        <v>222</v>
      </c>
      <c r="G24" t="s">
        <v>25</v>
      </c>
      <c r="H24">
        <f>RANK(K24,K$23:K$43,1)</f>
        <v>1</v>
      </c>
      <c r="I24" s="4">
        <v>753350</v>
      </c>
      <c r="J24" s="4">
        <v>2239730</v>
      </c>
      <c r="K24" s="4">
        <f>+J24+I24</f>
        <v>2993080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1270</v>
      </c>
      <c r="E25" s="33"/>
      <c r="F25" t="s">
        <v>192</v>
      </c>
      <c r="G25" t="s">
        <v>25</v>
      </c>
      <c r="H25">
        <f>RANK(K25,K$23:K$43,1)</f>
        <v>3</v>
      </c>
      <c r="I25" s="4">
        <v>925475</v>
      </c>
      <c r="J25" s="4">
        <v>2914525</v>
      </c>
      <c r="K25" s="4">
        <f>+J25+I25</f>
        <v>3840000</v>
      </c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>IF(H28=1,"u","")</f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2836" priority="35" operator="containsText" text="FAIL">
      <formula>NOT(ISERROR(SEARCH("FAIL",I9)))</formula>
    </cfRule>
  </conditionalFormatting>
  <conditionalFormatting sqref="I9">
    <cfRule type="containsText" dxfId="2835" priority="34" operator="containsText" text="GOOD">
      <formula>NOT(ISERROR(SEARCH("GOOD",I9)))</formula>
    </cfRule>
  </conditionalFormatting>
  <conditionalFormatting sqref="I9">
    <cfRule type="containsText" dxfId="2834" priority="33" operator="containsText" text="FAIL">
      <formula>NOT(ISERROR(SEARCH("FAIL",I9)))</formula>
    </cfRule>
  </conditionalFormatting>
  <conditionalFormatting sqref="I9">
    <cfRule type="containsText" dxfId="2833" priority="32" operator="containsText" text="GOOD">
      <formula>NOT(ISERROR(SEARCH("GOOD",I9)))</formula>
    </cfRule>
  </conditionalFormatting>
  <conditionalFormatting sqref="I9">
    <cfRule type="containsText" dxfId="2832" priority="31" operator="containsText" text="FAIL">
      <formula>NOT(ISERROR(SEARCH("FAIL",I9)))</formula>
    </cfRule>
  </conditionalFormatting>
  <conditionalFormatting sqref="I9">
    <cfRule type="containsText" dxfId="2831" priority="30" operator="containsText" text="GOOD">
      <formula>NOT(ISERROR(SEARCH("GOOD",I9)))</formula>
    </cfRule>
  </conditionalFormatting>
  <conditionalFormatting sqref="F11">
    <cfRule type="containsText" dxfId="2830" priority="29" operator="containsText" text="FAIL">
      <formula>NOT(ISERROR(SEARCH("FAIL",F11)))</formula>
    </cfRule>
  </conditionalFormatting>
  <conditionalFormatting sqref="F11">
    <cfRule type="containsText" dxfId="2829" priority="28" operator="containsText" text="GOOD">
      <formula>NOT(ISERROR(SEARCH("GOOD",F11)))</formula>
    </cfRule>
  </conditionalFormatting>
  <conditionalFormatting sqref="I9">
    <cfRule type="containsText" dxfId="2828" priority="27" operator="containsText" text="FAIL">
      <formula>NOT(ISERROR(SEARCH("FAIL",I9)))</formula>
    </cfRule>
  </conditionalFormatting>
  <conditionalFormatting sqref="I9">
    <cfRule type="containsText" dxfId="2827" priority="26" operator="containsText" text="GOOD">
      <formula>NOT(ISERROR(SEARCH("GOOD",I9)))</formula>
    </cfRule>
  </conditionalFormatting>
  <conditionalFormatting sqref="F11">
    <cfRule type="containsText" dxfId="2826" priority="25" operator="containsText" text="FAIL">
      <formula>NOT(ISERROR(SEARCH("FAIL",F11)))</formula>
    </cfRule>
  </conditionalFormatting>
  <conditionalFormatting sqref="F11">
    <cfRule type="containsText" dxfId="2825" priority="24" operator="containsText" text="GOOD">
      <formula>NOT(ISERROR(SEARCH("GOOD",F11)))</formula>
    </cfRule>
  </conditionalFormatting>
  <conditionalFormatting sqref="D25">
    <cfRule type="expression" dxfId="2824" priority="23" stopIfTrue="1">
      <formula>IF($H$25=1,0)</formula>
    </cfRule>
  </conditionalFormatting>
  <conditionalFormatting sqref="D39:D43 D25:D33">
    <cfRule type="expression" dxfId="2823" priority="22">
      <formula>H25=1</formula>
    </cfRule>
  </conditionalFormatting>
  <conditionalFormatting sqref="C23 C39:C43 C25:C33">
    <cfRule type="expression" dxfId="2822" priority="21">
      <formula>H23=1</formula>
    </cfRule>
  </conditionalFormatting>
  <conditionalFormatting sqref="E39:E43 E25:E33">
    <cfRule type="expression" dxfId="2821" priority="20">
      <formula>H25=1</formula>
    </cfRule>
  </conditionalFormatting>
  <conditionalFormatting sqref="E39:E43 E25:E33">
    <cfRule type="expression" dxfId="2820" priority="19">
      <formula>H25=1</formula>
    </cfRule>
  </conditionalFormatting>
  <conditionalFormatting sqref="F11">
    <cfRule type="containsText" dxfId="2819" priority="18" operator="containsText" text="FAIL">
      <formula>NOT(ISERROR(SEARCH("FAIL",F11)))</formula>
    </cfRule>
  </conditionalFormatting>
  <conditionalFormatting sqref="F11">
    <cfRule type="containsText" dxfId="2818" priority="17" operator="containsText" text="GOOD">
      <formula>NOT(ISERROR(SEARCH("GOOD",F11)))</formula>
    </cfRule>
  </conditionalFormatting>
  <conditionalFormatting sqref="D34:D37">
    <cfRule type="expression" dxfId="2817" priority="16">
      <formula>H34=1</formula>
    </cfRule>
  </conditionalFormatting>
  <conditionalFormatting sqref="C34:C37">
    <cfRule type="expression" dxfId="2816" priority="15">
      <formula>H34=1</formula>
    </cfRule>
  </conditionalFormatting>
  <conditionalFormatting sqref="E34:E37">
    <cfRule type="expression" dxfId="2815" priority="14">
      <formula>H34=1</formula>
    </cfRule>
  </conditionalFormatting>
  <conditionalFormatting sqref="E34:E37">
    <cfRule type="expression" dxfId="2814" priority="13">
      <formula>H34=1</formula>
    </cfRule>
  </conditionalFormatting>
  <conditionalFormatting sqref="D38">
    <cfRule type="expression" dxfId="2813" priority="12">
      <formula>H38=1</formula>
    </cfRule>
  </conditionalFormatting>
  <conditionalFormatting sqref="C38">
    <cfRule type="expression" dxfId="2812" priority="11">
      <formula>H38=1</formula>
    </cfRule>
  </conditionalFormatting>
  <conditionalFormatting sqref="E38">
    <cfRule type="expression" dxfId="2811" priority="10">
      <formula>H38=1</formula>
    </cfRule>
  </conditionalFormatting>
  <conditionalFormatting sqref="E38">
    <cfRule type="expression" dxfId="2810" priority="9">
      <formula>H38=1</formula>
    </cfRule>
  </conditionalFormatting>
  <conditionalFormatting sqref="E24">
    <cfRule type="expression" dxfId="2809" priority="4">
      <formula>H24=1</formula>
    </cfRule>
  </conditionalFormatting>
  <conditionalFormatting sqref="D24">
    <cfRule type="expression" dxfId="2808" priority="8" stopIfTrue="1">
      <formula>IF($H$25=1,0)</formula>
    </cfRule>
  </conditionalFormatting>
  <conditionalFormatting sqref="D24">
    <cfRule type="expression" dxfId="2807" priority="7">
      <formula>H24=1</formula>
    </cfRule>
  </conditionalFormatting>
  <conditionalFormatting sqref="C24">
    <cfRule type="expression" dxfId="2806" priority="6">
      <formula>H24=1</formula>
    </cfRule>
  </conditionalFormatting>
  <conditionalFormatting sqref="E24">
    <cfRule type="expression" dxfId="2805" priority="5">
      <formula>H24=1</formula>
    </cfRule>
  </conditionalFormatting>
  <conditionalFormatting sqref="D23">
    <cfRule type="expression" dxfId="2804" priority="3">
      <formula>H23=1</formula>
    </cfRule>
  </conditionalFormatting>
  <conditionalFormatting sqref="E23">
    <cfRule type="expression" dxfId="2803" priority="2">
      <formula>H23=1</formula>
    </cfRule>
  </conditionalFormatting>
  <conditionalFormatting sqref="E23">
    <cfRule type="expression" dxfId="2802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:O56"/>
  <sheetViews>
    <sheetView zoomScaleNormal="100" workbookViewId="0">
      <selection activeCell="F7" sqref="F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3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3" ht="18.75" x14ac:dyDescent="0.3">
      <c r="C3" s="3" t="s">
        <v>26</v>
      </c>
      <c r="J3" s="8" t="s">
        <v>47</v>
      </c>
    </row>
    <row r="4" spans="1:13" x14ac:dyDescent="0.25">
      <c r="D4" s="2" t="s">
        <v>0</v>
      </c>
      <c r="E4" s="1"/>
      <c r="F4" t="s">
        <v>1263</v>
      </c>
      <c r="I4" s="2" t="s">
        <v>4</v>
      </c>
      <c r="J4" t="s">
        <v>784</v>
      </c>
    </row>
    <row r="5" spans="1:13" x14ac:dyDescent="0.25">
      <c r="D5" s="2" t="s">
        <v>1</v>
      </c>
      <c r="F5" t="s">
        <v>1264</v>
      </c>
    </row>
    <row r="6" spans="1:13" x14ac:dyDescent="0.25">
      <c r="D6" s="2" t="s">
        <v>2</v>
      </c>
      <c r="F6" s="6">
        <v>43179</v>
      </c>
      <c r="H6" s="11"/>
    </row>
    <row r="7" spans="1:13" x14ac:dyDescent="0.25">
      <c r="D7" s="2" t="s">
        <v>3</v>
      </c>
      <c r="F7" s="5">
        <f>+I7+J7</f>
        <v>1440000</v>
      </c>
      <c r="G7" s="2" t="s">
        <v>34</v>
      </c>
      <c r="H7" s="11"/>
      <c r="I7" s="19">
        <v>75000</v>
      </c>
      <c r="J7" s="19">
        <v>1365000</v>
      </c>
    </row>
    <row r="8" spans="1:13" x14ac:dyDescent="0.25">
      <c r="D8" s="2" t="s">
        <v>18</v>
      </c>
      <c r="F8" s="5">
        <f>MIN(K23:K43)</f>
        <v>1928000</v>
      </c>
      <c r="H8" s="11"/>
      <c r="I8" s="18" t="s">
        <v>43</v>
      </c>
      <c r="J8" s="18" t="s">
        <v>44</v>
      </c>
    </row>
    <row r="9" spans="1:13" x14ac:dyDescent="0.25">
      <c r="D9" s="2" t="s">
        <v>19</v>
      </c>
      <c r="F9" s="4">
        <f>+F8-F7</f>
        <v>488000</v>
      </c>
      <c r="G9" s="16">
        <f>+F9/F7</f>
        <v>0.33888888888888891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3" x14ac:dyDescent="0.25">
      <c r="D10" s="2" t="s">
        <v>68</v>
      </c>
      <c r="F10" s="4">
        <f>+F7-F12</f>
        <v>-953861.85714285728</v>
      </c>
      <c r="H10" s="11"/>
    </row>
    <row r="11" spans="1:13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3" x14ac:dyDescent="0.25">
      <c r="D12" s="2" t="s">
        <v>28</v>
      </c>
      <c r="F12" s="4">
        <f>SUM(K23:K43)/H12</f>
        <v>2393861.8571428573</v>
      </c>
      <c r="G12" s="14"/>
      <c r="H12" s="11">
        <f>COUNT(K23:K43)</f>
        <v>7</v>
      </c>
      <c r="I12" s="1" t="s">
        <v>31</v>
      </c>
      <c r="J12" s="4">
        <f>+F8*0.9</f>
        <v>1735200</v>
      </c>
      <c r="K12" s="1" t="s">
        <v>69</v>
      </c>
    </row>
    <row r="13" spans="1:13" x14ac:dyDescent="0.25">
      <c r="D13" s="2" t="s">
        <v>29</v>
      </c>
      <c r="F13" s="4">
        <f>MAX(K23:K43)-MIN(K23:K43)</f>
        <v>1430363</v>
      </c>
      <c r="G13" s="269">
        <f>MEDIAN(K23:K43)</f>
        <v>2185000</v>
      </c>
      <c r="H13" s="270"/>
      <c r="I13" s="1" t="s">
        <v>30</v>
      </c>
      <c r="J13" s="4">
        <f>+F12*1.1</f>
        <v>2633248.0428571431</v>
      </c>
      <c r="K13" s="1" t="s">
        <v>70</v>
      </c>
    </row>
    <row r="14" spans="1:13" x14ac:dyDescent="0.25">
      <c r="H14" s="11"/>
    </row>
    <row r="15" spans="1:13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3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4.8813559322033899E-2</v>
      </c>
    </row>
    <row r="18" spans="3:15" x14ac:dyDescent="0.25">
      <c r="F18" s="4">
        <f>+F7</f>
        <v>1440000</v>
      </c>
      <c r="G18" s="1" t="s">
        <v>12</v>
      </c>
      <c r="H18" s="11"/>
      <c r="I18" t="s">
        <v>16</v>
      </c>
      <c r="J18" s="7">
        <f>+F8/F18</f>
        <v>1.3388888888888888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6.4266666666666666E-2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1265</v>
      </c>
      <c r="E23" s="33"/>
      <c r="F23" t="s">
        <v>871</v>
      </c>
      <c r="G23" t="s">
        <v>93</v>
      </c>
      <c r="H23">
        <f t="shared" ref="H23:H29" si="0">RANK(K23,K$23:K$43,1)</f>
        <v>2</v>
      </c>
      <c r="I23" s="4">
        <v>122125</v>
      </c>
      <c r="J23" s="4">
        <v>2038000</v>
      </c>
      <c r="K23" s="4">
        <f>+J23+I23</f>
        <v>2160125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665</v>
      </c>
      <c r="E24" s="33"/>
      <c r="F24" t="s">
        <v>413</v>
      </c>
      <c r="G24" t="s">
        <v>93</v>
      </c>
      <c r="H24">
        <f t="shared" si="0"/>
        <v>3</v>
      </c>
      <c r="I24" s="4">
        <v>184130</v>
      </c>
      <c r="J24" s="4">
        <v>1981865</v>
      </c>
      <c r="K24" s="4">
        <f t="shared" ref="K24:K29" si="1">+J24+I24</f>
        <v>2165995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606</v>
      </c>
      <c r="E25" s="33"/>
      <c r="F25" t="s">
        <v>100</v>
      </c>
      <c r="G25" t="s">
        <v>93</v>
      </c>
      <c r="H25">
        <f t="shared" si="0"/>
        <v>7</v>
      </c>
      <c r="I25" s="4">
        <v>276925</v>
      </c>
      <c r="J25" s="4">
        <v>3081438</v>
      </c>
      <c r="K25" s="4">
        <f t="shared" si="1"/>
        <v>3358363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11" t="s">
        <v>541</v>
      </c>
      <c r="E26" s="33"/>
      <c r="F26" t="s">
        <v>159</v>
      </c>
      <c r="G26" t="s">
        <v>93</v>
      </c>
      <c r="H26">
        <f t="shared" si="0"/>
        <v>6</v>
      </c>
      <c r="I26" s="4">
        <v>122550</v>
      </c>
      <c r="J26" s="4">
        <v>2600000</v>
      </c>
      <c r="K26" s="4">
        <f t="shared" si="1"/>
        <v>2722550</v>
      </c>
      <c r="L26" s="4"/>
      <c r="M26" s="22"/>
      <c r="N26" s="22"/>
      <c r="O26" s="22"/>
    </row>
    <row r="27" spans="3:15" x14ac:dyDescent="0.25">
      <c r="C27" s="33" t="str">
        <f t="shared" si="2"/>
        <v>u</v>
      </c>
      <c r="D27" s="11" t="s">
        <v>738</v>
      </c>
      <c r="E27" s="33"/>
      <c r="F27" t="s">
        <v>739</v>
      </c>
      <c r="G27" t="s">
        <v>93</v>
      </c>
      <c r="H27">
        <f t="shared" si="0"/>
        <v>1</v>
      </c>
      <c r="I27" s="4">
        <v>169910</v>
      </c>
      <c r="J27" s="4">
        <v>1758090</v>
      </c>
      <c r="K27" s="4">
        <f t="shared" si="1"/>
        <v>1928000</v>
      </c>
      <c r="L27" s="4"/>
      <c r="M27" s="22"/>
      <c r="N27" s="22"/>
      <c r="O27" s="22"/>
    </row>
    <row r="28" spans="3:15" x14ac:dyDescent="0.25">
      <c r="C28" s="33" t="str">
        <f>IF(H28=1,"u","")</f>
        <v/>
      </c>
      <c r="D28" s="11" t="s">
        <v>1266</v>
      </c>
      <c r="E28" s="33"/>
      <c r="F28" t="s">
        <v>319</v>
      </c>
      <c r="G28" t="s">
        <v>93</v>
      </c>
      <c r="H28">
        <f t="shared" si="0"/>
        <v>4</v>
      </c>
      <c r="I28" s="4">
        <v>190565</v>
      </c>
      <c r="J28" s="4">
        <v>1994435</v>
      </c>
      <c r="K28" s="4">
        <f t="shared" si="1"/>
        <v>2185000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11" t="s">
        <v>1267</v>
      </c>
      <c r="E29" s="33"/>
      <c r="F29" t="s">
        <v>157</v>
      </c>
      <c r="G29" t="s">
        <v>93</v>
      </c>
      <c r="H29">
        <f t="shared" si="0"/>
        <v>5</v>
      </c>
      <c r="I29" s="4">
        <v>98541</v>
      </c>
      <c r="J29" s="4">
        <v>2138459</v>
      </c>
      <c r="K29" s="4">
        <f t="shared" si="1"/>
        <v>2237000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2801" priority="35" operator="containsText" text="FAIL">
      <formula>NOT(ISERROR(SEARCH("FAIL",I9)))</formula>
    </cfRule>
  </conditionalFormatting>
  <conditionalFormatting sqref="I9">
    <cfRule type="containsText" dxfId="2800" priority="34" operator="containsText" text="GOOD">
      <formula>NOT(ISERROR(SEARCH("GOOD",I9)))</formula>
    </cfRule>
  </conditionalFormatting>
  <conditionalFormatting sqref="I9">
    <cfRule type="containsText" dxfId="2799" priority="33" operator="containsText" text="FAIL">
      <formula>NOT(ISERROR(SEARCH("FAIL",I9)))</formula>
    </cfRule>
  </conditionalFormatting>
  <conditionalFormatting sqref="I9">
    <cfRule type="containsText" dxfId="2798" priority="32" operator="containsText" text="GOOD">
      <formula>NOT(ISERROR(SEARCH("GOOD",I9)))</formula>
    </cfRule>
  </conditionalFormatting>
  <conditionalFormatting sqref="I9">
    <cfRule type="containsText" dxfId="2797" priority="31" operator="containsText" text="FAIL">
      <formula>NOT(ISERROR(SEARCH("FAIL",I9)))</formula>
    </cfRule>
  </conditionalFormatting>
  <conditionalFormatting sqref="I9">
    <cfRule type="containsText" dxfId="2796" priority="30" operator="containsText" text="GOOD">
      <formula>NOT(ISERROR(SEARCH("GOOD",I9)))</formula>
    </cfRule>
  </conditionalFormatting>
  <conditionalFormatting sqref="F11">
    <cfRule type="containsText" dxfId="2795" priority="29" operator="containsText" text="FAIL">
      <formula>NOT(ISERROR(SEARCH("FAIL",F11)))</formula>
    </cfRule>
  </conditionalFormatting>
  <conditionalFormatting sqref="F11">
    <cfRule type="containsText" dxfId="2794" priority="28" operator="containsText" text="GOOD">
      <formula>NOT(ISERROR(SEARCH("GOOD",F11)))</formula>
    </cfRule>
  </conditionalFormatting>
  <conditionalFormatting sqref="I9">
    <cfRule type="containsText" dxfId="2793" priority="27" operator="containsText" text="FAIL">
      <formula>NOT(ISERROR(SEARCH("FAIL",I9)))</formula>
    </cfRule>
  </conditionalFormatting>
  <conditionalFormatting sqref="I9">
    <cfRule type="containsText" dxfId="2792" priority="26" operator="containsText" text="GOOD">
      <formula>NOT(ISERROR(SEARCH("GOOD",I9)))</formula>
    </cfRule>
  </conditionalFormatting>
  <conditionalFormatting sqref="F11">
    <cfRule type="containsText" dxfId="2791" priority="25" operator="containsText" text="FAIL">
      <formula>NOT(ISERROR(SEARCH("FAIL",F11)))</formula>
    </cfRule>
  </conditionalFormatting>
  <conditionalFormatting sqref="F11">
    <cfRule type="containsText" dxfId="2790" priority="24" operator="containsText" text="GOOD">
      <formula>NOT(ISERROR(SEARCH("GOOD",F11)))</formula>
    </cfRule>
  </conditionalFormatting>
  <conditionalFormatting sqref="D25">
    <cfRule type="expression" dxfId="2789" priority="23" stopIfTrue="1">
      <formula>IF($H$25=1,0)</formula>
    </cfRule>
  </conditionalFormatting>
  <conditionalFormatting sqref="D39:D43 D25:D33">
    <cfRule type="expression" dxfId="2788" priority="22">
      <formula>H25=1</formula>
    </cfRule>
  </conditionalFormatting>
  <conditionalFormatting sqref="C23 C39:C43 C25:C33">
    <cfRule type="expression" dxfId="2787" priority="21">
      <formula>H23=1</formula>
    </cfRule>
  </conditionalFormatting>
  <conditionalFormatting sqref="E39:E43 E25:E33">
    <cfRule type="expression" dxfId="2786" priority="20">
      <formula>H25=1</formula>
    </cfRule>
  </conditionalFormatting>
  <conditionalFormatting sqref="E39:E43 E25:E33">
    <cfRule type="expression" dxfId="2785" priority="19">
      <formula>H25=1</formula>
    </cfRule>
  </conditionalFormatting>
  <conditionalFormatting sqref="F11">
    <cfRule type="containsText" dxfId="2784" priority="18" operator="containsText" text="FAIL">
      <formula>NOT(ISERROR(SEARCH("FAIL",F11)))</formula>
    </cfRule>
  </conditionalFormatting>
  <conditionalFormatting sqref="F11">
    <cfRule type="containsText" dxfId="2783" priority="17" operator="containsText" text="GOOD">
      <formula>NOT(ISERROR(SEARCH("GOOD",F11)))</formula>
    </cfRule>
  </conditionalFormatting>
  <conditionalFormatting sqref="D34:D37">
    <cfRule type="expression" dxfId="2782" priority="16">
      <formula>H34=1</formula>
    </cfRule>
  </conditionalFormatting>
  <conditionalFormatting sqref="C34:C37">
    <cfRule type="expression" dxfId="2781" priority="15">
      <formula>H34=1</formula>
    </cfRule>
  </conditionalFormatting>
  <conditionalFormatting sqref="E34:E37">
    <cfRule type="expression" dxfId="2780" priority="14">
      <formula>H34=1</formula>
    </cfRule>
  </conditionalFormatting>
  <conditionalFormatting sqref="E34:E37">
    <cfRule type="expression" dxfId="2779" priority="13">
      <formula>H34=1</formula>
    </cfRule>
  </conditionalFormatting>
  <conditionalFormatting sqref="D38">
    <cfRule type="expression" dxfId="2778" priority="12">
      <formula>H38=1</formula>
    </cfRule>
  </conditionalFormatting>
  <conditionalFormatting sqref="C38">
    <cfRule type="expression" dxfId="2777" priority="11">
      <formula>H38=1</formula>
    </cfRule>
  </conditionalFormatting>
  <conditionalFormatting sqref="E38">
    <cfRule type="expression" dxfId="2776" priority="10">
      <formula>H38=1</formula>
    </cfRule>
  </conditionalFormatting>
  <conditionalFormatting sqref="E38">
    <cfRule type="expression" dxfId="2775" priority="9">
      <formula>H38=1</formula>
    </cfRule>
  </conditionalFormatting>
  <conditionalFormatting sqref="E24">
    <cfRule type="expression" dxfId="2774" priority="4">
      <formula>H24=1</formula>
    </cfRule>
  </conditionalFormatting>
  <conditionalFormatting sqref="D24">
    <cfRule type="expression" dxfId="2773" priority="8" stopIfTrue="1">
      <formula>IF($H$25=1,0)</formula>
    </cfRule>
  </conditionalFormatting>
  <conditionalFormatting sqref="D24">
    <cfRule type="expression" dxfId="2772" priority="7">
      <formula>H24=1</formula>
    </cfRule>
  </conditionalFormatting>
  <conditionalFormatting sqref="C24">
    <cfRule type="expression" dxfId="2771" priority="6">
      <formula>H24=1</formula>
    </cfRule>
  </conditionalFormatting>
  <conditionalFormatting sqref="E24">
    <cfRule type="expression" dxfId="2770" priority="5">
      <formula>H24=1</formula>
    </cfRule>
  </conditionalFormatting>
  <conditionalFormatting sqref="D23">
    <cfRule type="expression" dxfId="2769" priority="3">
      <formula>H23=1</formula>
    </cfRule>
  </conditionalFormatting>
  <conditionalFormatting sqref="E23">
    <cfRule type="expression" dxfId="2768" priority="2">
      <formula>H23=1</formula>
    </cfRule>
  </conditionalFormatting>
  <conditionalFormatting sqref="E23">
    <cfRule type="expression" dxfId="2767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:P47"/>
  <sheetViews>
    <sheetView zoomScaleNormal="100" workbookViewId="0">
      <selection activeCell="K26" sqref="K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1258</v>
      </c>
      <c r="I4" s="2" t="s">
        <v>4</v>
      </c>
      <c r="J4" t="s">
        <v>816</v>
      </c>
    </row>
    <row r="5" spans="1:16" x14ac:dyDescent="0.25">
      <c r="D5" s="2" t="s">
        <v>1</v>
      </c>
      <c r="F5" t="s">
        <v>1259</v>
      </c>
    </row>
    <row r="6" spans="1:16" x14ac:dyDescent="0.25">
      <c r="D6" s="2" t="s">
        <v>2</v>
      </c>
      <c r="F6" s="6">
        <v>43179</v>
      </c>
      <c r="H6" s="11"/>
    </row>
    <row r="7" spans="1:16" x14ac:dyDescent="0.25">
      <c r="D7" s="2" t="s">
        <v>3</v>
      </c>
      <c r="F7" s="5">
        <v>27125000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22964560</v>
      </c>
      <c r="H8" s="11"/>
    </row>
    <row r="9" spans="1:16" x14ac:dyDescent="0.25">
      <c r="D9" s="2" t="s">
        <v>67</v>
      </c>
      <c r="F9" s="4">
        <f>+F8-F7</f>
        <v>-4160440</v>
      </c>
      <c r="G9" s="16">
        <f>+F9/F7</f>
        <v>-0.15338027649769584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-4507465.3999999985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31632465.399999999</v>
      </c>
      <c r="G12" s="14"/>
      <c r="H12" s="11">
        <f>COUNT(I23:I43)</f>
        <v>10</v>
      </c>
      <c r="I12" s="1" t="s">
        <v>31</v>
      </c>
      <c r="J12" s="4">
        <f>+F8*0.9</f>
        <v>20668104</v>
      </c>
      <c r="K12" s="1" t="s">
        <v>69</v>
      </c>
    </row>
    <row r="13" spans="1:16" x14ac:dyDescent="0.25">
      <c r="D13" s="2" t="s">
        <v>29</v>
      </c>
      <c r="F13" s="4">
        <f>MAX(I23:I43)-MIN(I23:I43)</f>
        <v>21235440</v>
      </c>
      <c r="G13" s="269">
        <f>MEDIAN(I23:I43)</f>
        <v>30197519.5</v>
      </c>
      <c r="H13" s="270"/>
      <c r="I13" s="1" t="s">
        <v>30</v>
      </c>
      <c r="J13" s="4">
        <f>+F12*1.1</f>
        <v>34795711.939999998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7500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1067</v>
      </c>
      <c r="E23" s="33"/>
      <c r="F23" t="s">
        <v>302</v>
      </c>
      <c r="G23" t="s">
        <v>25</v>
      </c>
      <c r="H23">
        <f t="shared" ref="H23:H32" si="0">RANK(I23,I$23:I$43,1)</f>
        <v>8</v>
      </c>
      <c r="I23" s="4">
        <v>37588900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568</v>
      </c>
      <c r="E24" s="33"/>
      <c r="F24" t="s">
        <v>292</v>
      </c>
      <c r="G24" t="s">
        <v>25</v>
      </c>
      <c r="H24">
        <f t="shared" si="0"/>
        <v>2</v>
      </c>
      <c r="I24" s="4">
        <v>25742285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657</v>
      </c>
      <c r="E25" s="33"/>
      <c r="F25" t="s">
        <v>658</v>
      </c>
      <c r="G25" t="s">
        <v>93</v>
      </c>
      <c r="H25">
        <f t="shared" si="0"/>
        <v>5</v>
      </c>
      <c r="I25" s="4">
        <v>29980333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571</v>
      </c>
      <c r="E26" s="33"/>
      <c r="F26" t="s">
        <v>572</v>
      </c>
      <c r="G26" t="s">
        <v>321</v>
      </c>
      <c r="H26">
        <f t="shared" si="0"/>
        <v>10</v>
      </c>
      <c r="I26" s="4">
        <v>44200000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1260</v>
      </c>
      <c r="E27" s="33"/>
      <c r="F27" t="s">
        <v>1261</v>
      </c>
      <c r="G27" t="s">
        <v>25</v>
      </c>
      <c r="H27">
        <f t="shared" si="0"/>
        <v>9</v>
      </c>
      <c r="I27" s="4">
        <v>41448207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653</v>
      </c>
      <c r="E28" s="33"/>
      <c r="F28" t="s">
        <v>391</v>
      </c>
      <c r="G28" t="s">
        <v>93</v>
      </c>
      <c r="H28">
        <f t="shared" si="0"/>
        <v>3</v>
      </c>
      <c r="I28" s="4">
        <v>26071703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>u</v>
      </c>
      <c r="D29" s="11" t="s">
        <v>626</v>
      </c>
      <c r="E29" s="33"/>
      <c r="F29" t="s">
        <v>308</v>
      </c>
      <c r="G29" t="s">
        <v>25</v>
      </c>
      <c r="H29">
        <f t="shared" si="0"/>
        <v>1</v>
      </c>
      <c r="I29" s="4">
        <v>22964560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 t="s">
        <v>1262</v>
      </c>
      <c r="E30" s="33"/>
      <c r="F30" t="s">
        <v>159</v>
      </c>
      <c r="G30" t="s">
        <v>93</v>
      </c>
      <c r="H30">
        <f t="shared" si="0"/>
        <v>4</v>
      </c>
      <c r="I30" s="4">
        <v>26750000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 t="s">
        <v>907</v>
      </c>
      <c r="E31" s="33"/>
      <c r="F31" t="s">
        <v>312</v>
      </c>
      <c r="G31" t="s">
        <v>25</v>
      </c>
      <c r="H31">
        <f t="shared" si="0"/>
        <v>6</v>
      </c>
      <c r="I31" s="4">
        <v>30414706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 t="s">
        <v>997</v>
      </c>
      <c r="E32" s="33"/>
      <c r="F32" t="s">
        <v>998</v>
      </c>
      <c r="G32" t="s">
        <v>25</v>
      </c>
      <c r="H32">
        <f t="shared" si="0"/>
        <v>7</v>
      </c>
      <c r="I32" s="4">
        <v>31163960</v>
      </c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766" priority="17" operator="containsText" text="FAIL">
      <formula>NOT(ISERROR(SEARCH("FAIL",I9)))</formula>
    </cfRule>
  </conditionalFormatting>
  <conditionalFormatting sqref="I9">
    <cfRule type="containsText" dxfId="2765" priority="16" operator="containsText" text="GOOD">
      <formula>NOT(ISERROR(SEARCH("GOOD",I9)))</formula>
    </cfRule>
  </conditionalFormatting>
  <conditionalFormatting sqref="F11">
    <cfRule type="containsText" dxfId="2764" priority="15" operator="containsText" text="FAIL">
      <formula>NOT(ISERROR(SEARCH("FAIL",F11)))</formula>
    </cfRule>
  </conditionalFormatting>
  <conditionalFormatting sqref="F11">
    <cfRule type="containsText" dxfId="2763" priority="14" operator="containsText" text="GOOD">
      <formula>NOT(ISERROR(SEARCH("GOOD",F11)))</formula>
    </cfRule>
  </conditionalFormatting>
  <conditionalFormatting sqref="D23 D29:D43">
    <cfRule type="expression" dxfId="2762" priority="13">
      <formula>H23=1</formula>
    </cfRule>
  </conditionalFormatting>
  <conditionalFormatting sqref="C29:C43 C23:C26">
    <cfRule type="expression" dxfId="2761" priority="12">
      <formula>H23=1</formula>
    </cfRule>
  </conditionalFormatting>
  <conditionalFormatting sqref="E23 E29:E43">
    <cfRule type="expression" dxfId="2760" priority="11">
      <formula>H23=1</formula>
    </cfRule>
  </conditionalFormatting>
  <conditionalFormatting sqref="F11">
    <cfRule type="containsText" dxfId="2759" priority="10" operator="containsText" text="FAIL">
      <formula>NOT(ISERROR(SEARCH("FAIL",F11)))</formula>
    </cfRule>
  </conditionalFormatting>
  <conditionalFormatting sqref="F11">
    <cfRule type="containsText" dxfId="2758" priority="9" operator="containsText" text="GOOD">
      <formula>NOT(ISERROR(SEARCH("GOOD",F11)))</formula>
    </cfRule>
  </conditionalFormatting>
  <conditionalFormatting sqref="D27:D28">
    <cfRule type="expression" dxfId="2757" priority="8">
      <formula>H27=1</formula>
    </cfRule>
  </conditionalFormatting>
  <conditionalFormatting sqref="C27:C28">
    <cfRule type="expression" dxfId="2756" priority="7">
      <formula>H27=1</formula>
    </cfRule>
  </conditionalFormatting>
  <conditionalFormatting sqref="E27:E28">
    <cfRule type="expression" dxfId="2755" priority="6">
      <formula>H27=1</formula>
    </cfRule>
  </conditionalFormatting>
  <conditionalFormatting sqref="D24:D25">
    <cfRule type="expression" dxfId="2754" priority="5" stopIfTrue="1">
      <formula>IF($H$25=1,0)</formula>
    </cfRule>
  </conditionalFormatting>
  <conditionalFormatting sqref="D24:D25">
    <cfRule type="expression" dxfId="2753" priority="4">
      <formula>H24=1</formula>
    </cfRule>
  </conditionalFormatting>
  <conditionalFormatting sqref="E24:E25">
    <cfRule type="expression" dxfId="2752" priority="3">
      <formula>H24=1</formula>
    </cfRule>
  </conditionalFormatting>
  <conditionalFormatting sqref="D26">
    <cfRule type="expression" dxfId="2751" priority="2">
      <formula>H26=1</formula>
    </cfRule>
  </conditionalFormatting>
  <conditionalFormatting sqref="E26">
    <cfRule type="expression" dxfId="2750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:P47"/>
  <sheetViews>
    <sheetView topLeftCell="A5" zoomScaleNormal="100" workbookViewId="0">
      <selection activeCell="K17" sqref="K1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1252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1253</v>
      </c>
    </row>
    <row r="6" spans="1:16" x14ac:dyDescent="0.25">
      <c r="D6" s="2" t="s">
        <v>2</v>
      </c>
      <c r="F6" s="6">
        <v>43174</v>
      </c>
      <c r="H6" s="11"/>
    </row>
    <row r="7" spans="1:16" x14ac:dyDescent="0.25">
      <c r="D7" s="2" t="s">
        <v>3</v>
      </c>
      <c r="F7" s="5">
        <v>1150000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1253317</v>
      </c>
      <c r="H8" s="11"/>
    </row>
    <row r="9" spans="1:16" x14ac:dyDescent="0.25">
      <c r="D9" s="2" t="s">
        <v>67</v>
      </c>
      <c r="F9" s="4">
        <f>+F8-F7</f>
        <v>103317</v>
      </c>
      <c r="G9" s="16">
        <f>+F9/F7</f>
        <v>8.9840869565217391E-2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-750429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1900429</v>
      </c>
      <c r="G12" s="14"/>
      <c r="H12" s="11">
        <f>COUNT(I23:I43)</f>
        <v>6</v>
      </c>
      <c r="I12" s="1" t="s">
        <v>31</v>
      </c>
      <c r="J12" s="4">
        <f>+F8*0.9</f>
        <v>1127985.3</v>
      </c>
      <c r="K12" s="1" t="s">
        <v>69</v>
      </c>
    </row>
    <row r="13" spans="1:16" x14ac:dyDescent="0.25">
      <c r="D13" s="2" t="s">
        <v>29</v>
      </c>
      <c r="F13" s="4">
        <f>MAX(I23:I43)-MIN(I23:I43)</f>
        <v>1711253</v>
      </c>
      <c r="G13" s="269">
        <f>MEDIAN(I23:I43)</f>
        <v>1510009.5</v>
      </c>
      <c r="H13" s="270"/>
      <c r="I13" s="1" t="s">
        <v>30</v>
      </c>
      <c r="J13" s="4">
        <f>+F12*1.1</f>
        <v>2090471.9000000001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7500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722</v>
      </c>
      <c r="E23" s="33"/>
      <c r="F23" t="s">
        <v>179</v>
      </c>
      <c r="G23" t="s">
        <v>25</v>
      </c>
      <c r="H23">
        <f t="shared" ref="H23:H28" si="0">RANK(I23,I$23:I$43,1)</f>
        <v>2</v>
      </c>
      <c r="I23" s="4">
        <v>1415318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1254</v>
      </c>
      <c r="E24" s="33"/>
      <c r="F24" t="s">
        <v>891</v>
      </c>
      <c r="G24" t="s">
        <v>25</v>
      </c>
      <c r="H24">
        <f t="shared" si="0"/>
        <v>3</v>
      </c>
      <c r="I24" s="4">
        <v>1446019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1255</v>
      </c>
      <c r="E25" s="33"/>
      <c r="F25" t="s">
        <v>95</v>
      </c>
      <c r="G25" t="s">
        <v>93</v>
      </c>
      <c r="H25">
        <f t="shared" si="0"/>
        <v>5</v>
      </c>
      <c r="I25" s="4">
        <v>2749350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1256</v>
      </c>
      <c r="E26" s="33"/>
      <c r="F26" t="s">
        <v>147</v>
      </c>
      <c r="G26" t="s">
        <v>93</v>
      </c>
      <c r="H26">
        <f t="shared" si="0"/>
        <v>6</v>
      </c>
      <c r="I26" s="4">
        <v>2964570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1149</v>
      </c>
      <c r="E27" s="33"/>
      <c r="F27" t="s">
        <v>161</v>
      </c>
      <c r="G27" t="s">
        <v>93</v>
      </c>
      <c r="H27">
        <f t="shared" si="0"/>
        <v>1</v>
      </c>
      <c r="I27" s="4">
        <v>1253317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1257</v>
      </c>
      <c r="E28" s="33"/>
      <c r="F28" t="s">
        <v>549</v>
      </c>
      <c r="G28" t="s">
        <v>25</v>
      </c>
      <c r="H28">
        <f t="shared" si="0"/>
        <v>4</v>
      </c>
      <c r="I28" s="4">
        <v>1574000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749" priority="17" operator="containsText" text="FAIL">
      <formula>NOT(ISERROR(SEARCH("FAIL",I9)))</formula>
    </cfRule>
  </conditionalFormatting>
  <conditionalFormatting sqref="I9">
    <cfRule type="containsText" dxfId="2748" priority="16" operator="containsText" text="GOOD">
      <formula>NOT(ISERROR(SEARCH("GOOD",I9)))</formula>
    </cfRule>
  </conditionalFormatting>
  <conditionalFormatting sqref="F11">
    <cfRule type="containsText" dxfId="2747" priority="15" operator="containsText" text="FAIL">
      <formula>NOT(ISERROR(SEARCH("FAIL",F11)))</formula>
    </cfRule>
  </conditionalFormatting>
  <conditionalFormatting sqref="F11">
    <cfRule type="containsText" dxfId="2746" priority="14" operator="containsText" text="GOOD">
      <formula>NOT(ISERROR(SEARCH("GOOD",F11)))</formula>
    </cfRule>
  </conditionalFormatting>
  <conditionalFormatting sqref="D23 D29:D43">
    <cfRule type="expression" dxfId="2745" priority="13">
      <formula>H23=1</formula>
    </cfRule>
  </conditionalFormatting>
  <conditionalFormatting sqref="C29:C43 C23:C26">
    <cfRule type="expression" dxfId="2744" priority="12">
      <formula>H23=1</formula>
    </cfRule>
  </conditionalFormatting>
  <conditionalFormatting sqref="E23 E29:E43">
    <cfRule type="expression" dxfId="2743" priority="11">
      <formula>H23=1</formula>
    </cfRule>
  </conditionalFormatting>
  <conditionalFormatting sqref="F11">
    <cfRule type="containsText" dxfId="2742" priority="10" operator="containsText" text="FAIL">
      <formula>NOT(ISERROR(SEARCH("FAIL",F11)))</formula>
    </cfRule>
  </conditionalFormatting>
  <conditionalFormatting sqref="F11">
    <cfRule type="containsText" dxfId="2741" priority="9" operator="containsText" text="GOOD">
      <formula>NOT(ISERROR(SEARCH("GOOD",F11)))</formula>
    </cfRule>
  </conditionalFormatting>
  <conditionalFormatting sqref="D27:D28">
    <cfRule type="expression" dxfId="2740" priority="8">
      <formula>H27=1</formula>
    </cfRule>
  </conditionalFormatting>
  <conditionalFormatting sqref="C27:C28">
    <cfRule type="expression" dxfId="2739" priority="7">
      <formula>H27=1</formula>
    </cfRule>
  </conditionalFormatting>
  <conditionalFormatting sqref="E27:E28">
    <cfRule type="expression" dxfId="2738" priority="6">
      <formula>H27=1</formula>
    </cfRule>
  </conditionalFormatting>
  <conditionalFormatting sqref="D24:D25">
    <cfRule type="expression" dxfId="2737" priority="5" stopIfTrue="1">
      <formula>IF($H$25=1,0)</formula>
    </cfRule>
  </conditionalFormatting>
  <conditionalFormatting sqref="D24:D25">
    <cfRule type="expression" dxfId="2736" priority="4">
      <formula>H24=1</formula>
    </cfRule>
  </conditionalFormatting>
  <conditionalFormatting sqref="E24:E25">
    <cfRule type="expression" dxfId="2735" priority="3">
      <formula>H24=1</formula>
    </cfRule>
  </conditionalFormatting>
  <conditionalFormatting sqref="D26">
    <cfRule type="expression" dxfId="2734" priority="2">
      <formula>H26=1</formula>
    </cfRule>
  </conditionalFormatting>
  <conditionalFormatting sqref="E26">
    <cfRule type="expression" dxfId="2733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:P47"/>
  <sheetViews>
    <sheetView zoomScaleNormal="100" workbookViewId="0">
      <selection activeCell="F28" sqref="F2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1249</v>
      </c>
      <c r="I4" s="2" t="s">
        <v>4</v>
      </c>
      <c r="J4" t="s">
        <v>1251</v>
      </c>
    </row>
    <row r="5" spans="1:16" x14ac:dyDescent="0.25">
      <c r="D5" s="2" t="s">
        <v>1</v>
      </c>
      <c r="F5" t="s">
        <v>1250</v>
      </c>
    </row>
    <row r="6" spans="1:16" x14ac:dyDescent="0.25">
      <c r="D6" s="2" t="s">
        <v>2</v>
      </c>
      <c r="F6" s="6">
        <v>43173</v>
      </c>
      <c r="H6" s="11"/>
    </row>
    <row r="7" spans="1:16" x14ac:dyDescent="0.25">
      <c r="D7" s="2" t="s">
        <v>3</v>
      </c>
      <c r="F7" s="5">
        <v>600000</v>
      </c>
      <c r="G7" s="2" t="s">
        <v>693</v>
      </c>
      <c r="H7" s="11"/>
    </row>
    <row r="8" spans="1:16" x14ac:dyDescent="0.25">
      <c r="D8" s="2" t="s">
        <v>18</v>
      </c>
      <c r="F8" s="5">
        <f>MIN(I23:I43)</f>
        <v>749000</v>
      </c>
      <c r="H8" s="11"/>
    </row>
    <row r="9" spans="1:16" x14ac:dyDescent="0.25">
      <c r="D9" s="2" t="s">
        <v>67</v>
      </c>
      <c r="F9" s="4">
        <f>+F8-F7</f>
        <v>149000</v>
      </c>
      <c r="G9" s="16">
        <f>+F9/F7</f>
        <v>0.24833333333333332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-394735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994735</v>
      </c>
      <c r="G12" s="14"/>
      <c r="H12" s="11">
        <f>COUNT(I23:I43)</f>
        <v>3</v>
      </c>
      <c r="I12" s="1" t="s">
        <v>31</v>
      </c>
      <c r="J12" s="4">
        <f>+F8*0.9</f>
        <v>674100</v>
      </c>
      <c r="K12" s="1" t="s">
        <v>69</v>
      </c>
    </row>
    <row r="13" spans="1:16" x14ac:dyDescent="0.25">
      <c r="D13" s="2" t="s">
        <v>29</v>
      </c>
      <c r="F13" s="4">
        <f>MAX(I23:I43)-MIN(I23:I43)</f>
        <v>598205</v>
      </c>
      <c r="G13" s="269">
        <f>MEDIAN(I23:I43)</f>
        <v>888000</v>
      </c>
      <c r="H13" s="270"/>
      <c r="I13" s="1" t="s">
        <v>30</v>
      </c>
      <c r="J13" s="4">
        <f>+F12*1.1</f>
        <v>1094208.5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1221</v>
      </c>
      <c r="E23" s="33"/>
      <c r="F23" t="s">
        <v>1222</v>
      </c>
      <c r="G23" t="s">
        <v>93</v>
      </c>
      <c r="H23">
        <f>RANK(I23,I$23:I$43,1)</f>
        <v>3</v>
      </c>
      <c r="I23" s="4">
        <v>1347205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676</v>
      </c>
      <c r="E24" s="33"/>
      <c r="F24" t="s">
        <v>85</v>
      </c>
      <c r="G24" t="s">
        <v>25</v>
      </c>
      <c r="H24">
        <f>RANK(I24,I$23:I$43,1)</f>
        <v>1</v>
      </c>
      <c r="I24" s="4">
        <v>749000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631</v>
      </c>
      <c r="E25" s="33"/>
      <c r="F25" t="s">
        <v>131</v>
      </c>
      <c r="G25" t="s">
        <v>25</v>
      </c>
      <c r="H25">
        <f>RANK(I25,I$23:I$43,1)</f>
        <v>2</v>
      </c>
      <c r="I25" s="4">
        <v>888000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732" priority="18" operator="containsText" text="FAIL">
      <formula>NOT(ISERROR(SEARCH("FAIL",I9)))</formula>
    </cfRule>
  </conditionalFormatting>
  <conditionalFormatting sqref="I9">
    <cfRule type="containsText" dxfId="2731" priority="17" operator="containsText" text="GOOD">
      <formula>NOT(ISERROR(SEARCH("GOOD",I9)))</formula>
    </cfRule>
  </conditionalFormatting>
  <conditionalFormatting sqref="F11">
    <cfRule type="containsText" dxfId="2730" priority="16" operator="containsText" text="FAIL">
      <formula>NOT(ISERROR(SEARCH("FAIL",F11)))</formula>
    </cfRule>
  </conditionalFormatting>
  <conditionalFormatting sqref="F11">
    <cfRule type="containsText" dxfId="2729" priority="15" operator="containsText" text="GOOD">
      <formula>NOT(ISERROR(SEARCH("GOOD",F11)))</formula>
    </cfRule>
  </conditionalFormatting>
  <conditionalFormatting sqref="D23 D29:D43">
    <cfRule type="expression" dxfId="2728" priority="13">
      <formula>H23=1</formula>
    </cfRule>
  </conditionalFormatting>
  <conditionalFormatting sqref="C29:C43 C23:C26">
    <cfRule type="expression" dxfId="2727" priority="12">
      <formula>H23=1</formula>
    </cfRule>
  </conditionalFormatting>
  <conditionalFormatting sqref="E23 E29:E43">
    <cfRule type="expression" dxfId="2726" priority="11">
      <formula>H23=1</formula>
    </cfRule>
  </conditionalFormatting>
  <conditionalFormatting sqref="F11">
    <cfRule type="containsText" dxfId="2725" priority="10" operator="containsText" text="FAIL">
      <formula>NOT(ISERROR(SEARCH("FAIL",F11)))</formula>
    </cfRule>
  </conditionalFormatting>
  <conditionalFormatting sqref="F11">
    <cfRule type="containsText" dxfId="2724" priority="9" operator="containsText" text="GOOD">
      <formula>NOT(ISERROR(SEARCH("GOOD",F11)))</formula>
    </cfRule>
  </conditionalFormatting>
  <conditionalFormatting sqref="D27:D28">
    <cfRule type="expression" dxfId="2723" priority="8">
      <formula>H27=1</formula>
    </cfRule>
  </conditionalFormatting>
  <conditionalFormatting sqref="C27:C28">
    <cfRule type="expression" dxfId="2722" priority="7">
      <formula>H27=1</formula>
    </cfRule>
  </conditionalFormatting>
  <conditionalFormatting sqref="E27:E28">
    <cfRule type="expression" dxfId="2721" priority="6">
      <formula>H27=1</formula>
    </cfRule>
  </conditionalFormatting>
  <conditionalFormatting sqref="D24:D25">
    <cfRule type="expression" dxfId="2720" priority="5" stopIfTrue="1">
      <formula>IF($H$25=1,0)</formula>
    </cfRule>
  </conditionalFormatting>
  <conditionalFormatting sqref="D24:D25">
    <cfRule type="expression" dxfId="2719" priority="4">
      <formula>H24=1</formula>
    </cfRule>
  </conditionalFormatting>
  <conditionalFormatting sqref="E24:E25">
    <cfRule type="expression" dxfId="2718" priority="3">
      <formula>H24=1</formula>
    </cfRule>
  </conditionalFormatting>
  <conditionalFormatting sqref="D26">
    <cfRule type="expression" dxfId="2717" priority="2">
      <formula>H26=1</formula>
    </cfRule>
  </conditionalFormatting>
  <conditionalFormatting sqref="E26">
    <cfRule type="expression" dxfId="2716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:O56"/>
  <sheetViews>
    <sheetView topLeftCell="A4" zoomScaleNormal="100" workbookViewId="0">
      <selection activeCell="J4" sqref="J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3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3" ht="18.75" x14ac:dyDescent="0.3">
      <c r="C3" s="3" t="s">
        <v>26</v>
      </c>
      <c r="J3" s="8" t="s">
        <v>47</v>
      </c>
    </row>
    <row r="4" spans="1:13" x14ac:dyDescent="0.25">
      <c r="D4" s="2" t="s">
        <v>0</v>
      </c>
      <c r="E4" s="1"/>
      <c r="F4" t="s">
        <v>1245</v>
      </c>
      <c r="I4" s="2" t="s">
        <v>4</v>
      </c>
      <c r="J4" t="s">
        <v>784</v>
      </c>
    </row>
    <row r="5" spans="1:13" x14ac:dyDescent="0.25">
      <c r="D5" s="2" t="s">
        <v>1</v>
      </c>
      <c r="F5" t="s">
        <v>1248</v>
      </c>
    </row>
    <row r="6" spans="1:13" x14ac:dyDescent="0.25">
      <c r="D6" s="2" t="s">
        <v>2</v>
      </c>
      <c r="F6" s="6">
        <v>43168</v>
      </c>
      <c r="H6" s="11"/>
    </row>
    <row r="7" spans="1:13" x14ac:dyDescent="0.25">
      <c r="D7" s="2" t="s">
        <v>3</v>
      </c>
      <c r="F7" s="5">
        <f>+I7+J7</f>
        <v>10900000</v>
      </c>
      <c r="G7" s="2" t="s">
        <v>34</v>
      </c>
      <c r="H7" s="11"/>
      <c r="I7" s="19">
        <v>1805181</v>
      </c>
      <c r="J7" s="19">
        <v>9094819</v>
      </c>
    </row>
    <row r="8" spans="1:13" x14ac:dyDescent="0.25">
      <c r="D8" s="2" t="s">
        <v>18</v>
      </c>
      <c r="F8" s="5">
        <f>MIN(K23:K43)</f>
        <v>10417536</v>
      </c>
      <c r="H8" s="11"/>
      <c r="I8" s="18" t="s">
        <v>43</v>
      </c>
      <c r="J8" s="18" t="s">
        <v>44</v>
      </c>
    </row>
    <row r="9" spans="1:13" x14ac:dyDescent="0.25">
      <c r="D9" s="2" t="s">
        <v>19</v>
      </c>
      <c r="F9" s="4">
        <f>+F8-F7</f>
        <v>-482464</v>
      </c>
      <c r="G9" s="16">
        <f>+F9/F7</f>
        <v>-4.4262752293577984E-2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3" x14ac:dyDescent="0.25">
      <c r="D10" s="2" t="s">
        <v>68</v>
      </c>
      <c r="F10" s="4">
        <f>+F7-F12</f>
        <v>-1159792.4545454551</v>
      </c>
      <c r="H10" s="11"/>
    </row>
    <row r="11" spans="1:13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3" x14ac:dyDescent="0.25">
      <c r="D12" s="2" t="s">
        <v>28</v>
      </c>
      <c r="F12" s="4">
        <f>SUM(K23:K43)/H12</f>
        <v>12059792.454545455</v>
      </c>
      <c r="G12" s="14"/>
      <c r="H12" s="11">
        <f>COUNT(K23:K43)</f>
        <v>11</v>
      </c>
      <c r="I12" s="1" t="s">
        <v>31</v>
      </c>
      <c r="J12" s="4">
        <f>+F8*0.9</f>
        <v>9375782.4000000004</v>
      </c>
      <c r="K12" s="1" t="s">
        <v>69</v>
      </c>
    </row>
    <row r="13" spans="1:13" x14ac:dyDescent="0.25">
      <c r="D13" s="2" t="s">
        <v>29</v>
      </c>
      <c r="F13" s="4">
        <f>MAX(K23:K43)-MIN(K23:K43)</f>
        <v>4053935</v>
      </c>
      <c r="G13" s="269">
        <f>MEDIAN(K23:K43)</f>
        <v>11378133</v>
      </c>
      <c r="H13" s="270"/>
      <c r="I13" s="1" t="s">
        <v>30</v>
      </c>
      <c r="J13" s="4">
        <f>+F12*1.1</f>
        <v>13265771.700000001</v>
      </c>
      <c r="K13" s="1" t="s">
        <v>70</v>
      </c>
    </row>
    <row r="14" spans="1:13" x14ac:dyDescent="0.25">
      <c r="H14" s="11"/>
    </row>
    <row r="15" spans="1:13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3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0.36949152542372882</v>
      </c>
    </row>
    <row r="18" spans="3:15" x14ac:dyDescent="0.25">
      <c r="F18" s="4">
        <f>+F7</f>
        <v>10900000</v>
      </c>
      <c r="G18" s="1" t="s">
        <v>12</v>
      </c>
      <c r="H18" s="11"/>
      <c r="I18" t="s">
        <v>16</v>
      </c>
      <c r="J18" s="7">
        <f>+F8/F18</f>
        <v>0.95573724770642199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0.34725119999999998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1237</v>
      </c>
      <c r="E23" s="33"/>
      <c r="F23" t="s">
        <v>749</v>
      </c>
      <c r="G23" t="s">
        <v>25</v>
      </c>
      <c r="H23">
        <f t="shared" ref="H23:H33" si="0">RANK(K23,K$23:K$43,1)</f>
        <v>8</v>
      </c>
      <c r="I23" s="4">
        <v>2308460</v>
      </c>
      <c r="J23" s="4">
        <v>11077633</v>
      </c>
      <c r="K23" s="4">
        <f>+J23+I23</f>
        <v>13386093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1211</v>
      </c>
      <c r="E24" s="33"/>
      <c r="F24" t="s">
        <v>558</v>
      </c>
      <c r="G24" t="s">
        <v>25</v>
      </c>
      <c r="H24">
        <f t="shared" si="0"/>
        <v>11</v>
      </c>
      <c r="I24" s="4">
        <v>1797900</v>
      </c>
      <c r="J24" s="4">
        <v>12673571</v>
      </c>
      <c r="K24" s="4">
        <f t="shared" ref="K24:K31" si="1">+J24+I24</f>
        <v>14471471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561</v>
      </c>
      <c r="E25" s="33"/>
      <c r="F25" t="s">
        <v>215</v>
      </c>
      <c r="G25" t="s">
        <v>25</v>
      </c>
      <c r="H25">
        <f t="shared" si="0"/>
        <v>3</v>
      </c>
      <c r="I25" s="4">
        <v>1777875</v>
      </c>
      <c r="J25" s="4">
        <v>8945882</v>
      </c>
      <c r="K25" s="4">
        <f t="shared" si="1"/>
        <v>10723757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11" t="s">
        <v>740</v>
      </c>
      <c r="E26" s="33"/>
      <c r="F26" t="s">
        <v>149</v>
      </c>
      <c r="G26" t="s">
        <v>25</v>
      </c>
      <c r="H26">
        <f t="shared" si="0"/>
        <v>9</v>
      </c>
      <c r="I26" s="4">
        <v>1880440</v>
      </c>
      <c r="J26" s="4">
        <v>12052239</v>
      </c>
      <c r="K26" s="4">
        <f t="shared" si="1"/>
        <v>13932679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11" t="s">
        <v>679</v>
      </c>
      <c r="E27" s="33"/>
      <c r="F27" t="s">
        <v>193</v>
      </c>
      <c r="G27" t="s">
        <v>25</v>
      </c>
      <c r="H27">
        <f t="shared" si="0"/>
        <v>2</v>
      </c>
      <c r="I27" s="4">
        <v>2053200</v>
      </c>
      <c r="J27" s="4">
        <v>8370800</v>
      </c>
      <c r="K27" s="4">
        <f t="shared" si="1"/>
        <v>10424000</v>
      </c>
      <c r="L27" s="4"/>
      <c r="M27" s="22"/>
      <c r="N27" s="22"/>
      <c r="O27" s="22"/>
    </row>
    <row r="28" spans="3:15" x14ac:dyDescent="0.25">
      <c r="C28" s="33" t="str">
        <f>IF(H28=1,"u","")</f>
        <v/>
      </c>
      <c r="D28" s="11" t="s">
        <v>968</v>
      </c>
      <c r="E28" s="33"/>
      <c r="F28" t="s">
        <v>203</v>
      </c>
      <c r="G28" t="s">
        <v>204</v>
      </c>
      <c r="H28">
        <f t="shared" si="0"/>
        <v>7</v>
      </c>
      <c r="I28" s="4">
        <v>1840780</v>
      </c>
      <c r="J28" s="4">
        <v>9992885</v>
      </c>
      <c r="K28" s="4">
        <f t="shared" si="1"/>
        <v>11833665</v>
      </c>
      <c r="L28" s="4"/>
      <c r="M28" s="22"/>
      <c r="N28" s="22"/>
      <c r="O28" s="22"/>
    </row>
    <row r="29" spans="3:15" x14ac:dyDescent="0.25">
      <c r="C29" s="33" t="str">
        <f t="shared" si="2"/>
        <v>u</v>
      </c>
      <c r="D29" s="11" t="s">
        <v>554</v>
      </c>
      <c r="E29" s="33"/>
      <c r="F29" t="s">
        <v>397</v>
      </c>
      <c r="G29" t="s">
        <v>25</v>
      </c>
      <c r="H29">
        <f t="shared" si="0"/>
        <v>1</v>
      </c>
      <c r="I29" s="4">
        <v>1962500</v>
      </c>
      <c r="J29" s="4">
        <v>8455036</v>
      </c>
      <c r="K29" s="4">
        <f t="shared" si="1"/>
        <v>10417536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11" t="s">
        <v>1246</v>
      </c>
      <c r="E30" s="33"/>
      <c r="F30" t="s">
        <v>558</v>
      </c>
      <c r="G30" t="s">
        <v>25</v>
      </c>
      <c r="H30">
        <f t="shared" si="0"/>
        <v>4</v>
      </c>
      <c r="I30" s="4">
        <v>2301150</v>
      </c>
      <c r="J30" s="4">
        <v>8429375</v>
      </c>
      <c r="K30" s="4">
        <f t="shared" si="1"/>
        <v>10730525</v>
      </c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 t="s">
        <v>1247</v>
      </c>
      <c r="E31" s="33"/>
      <c r="F31" t="s">
        <v>865</v>
      </c>
      <c r="G31" t="s">
        <v>25</v>
      </c>
      <c r="H31">
        <f t="shared" si="0"/>
        <v>6</v>
      </c>
      <c r="I31" s="4">
        <v>2253900</v>
      </c>
      <c r="J31" s="4">
        <v>9124233</v>
      </c>
      <c r="K31" s="4">
        <f t="shared" si="1"/>
        <v>11378133</v>
      </c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 t="s">
        <v>440</v>
      </c>
      <c r="E32" s="33"/>
      <c r="F32" t="s">
        <v>193</v>
      </c>
      <c r="G32" t="s">
        <v>25</v>
      </c>
      <c r="H32">
        <f t="shared" si="0"/>
        <v>10</v>
      </c>
      <c r="I32" s="4">
        <v>2309435</v>
      </c>
      <c r="J32" s="4">
        <v>11672765</v>
      </c>
      <c r="K32" s="4">
        <f>+J32+I32</f>
        <v>13982200</v>
      </c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 t="s">
        <v>514</v>
      </c>
      <c r="E33" s="33"/>
      <c r="F33" t="s">
        <v>131</v>
      </c>
      <c r="G33" t="s">
        <v>25</v>
      </c>
      <c r="H33">
        <f t="shared" si="0"/>
        <v>5</v>
      </c>
      <c r="I33" s="4">
        <v>2253425</v>
      </c>
      <c r="J33" s="4">
        <v>9124233</v>
      </c>
      <c r="K33" s="4">
        <f>+J33+I33</f>
        <v>11377658</v>
      </c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2715" priority="35" operator="containsText" text="FAIL">
      <formula>NOT(ISERROR(SEARCH("FAIL",I9)))</formula>
    </cfRule>
  </conditionalFormatting>
  <conditionalFormatting sqref="I9">
    <cfRule type="containsText" dxfId="2714" priority="34" operator="containsText" text="GOOD">
      <formula>NOT(ISERROR(SEARCH("GOOD",I9)))</formula>
    </cfRule>
  </conditionalFormatting>
  <conditionalFormatting sqref="I9">
    <cfRule type="containsText" dxfId="2713" priority="33" operator="containsText" text="FAIL">
      <formula>NOT(ISERROR(SEARCH("FAIL",I9)))</formula>
    </cfRule>
  </conditionalFormatting>
  <conditionalFormatting sqref="I9">
    <cfRule type="containsText" dxfId="2712" priority="32" operator="containsText" text="GOOD">
      <formula>NOT(ISERROR(SEARCH("GOOD",I9)))</formula>
    </cfRule>
  </conditionalFormatting>
  <conditionalFormatting sqref="I9">
    <cfRule type="containsText" dxfId="2711" priority="31" operator="containsText" text="FAIL">
      <formula>NOT(ISERROR(SEARCH("FAIL",I9)))</formula>
    </cfRule>
  </conditionalFormatting>
  <conditionalFormatting sqref="I9">
    <cfRule type="containsText" dxfId="2710" priority="30" operator="containsText" text="GOOD">
      <formula>NOT(ISERROR(SEARCH("GOOD",I9)))</formula>
    </cfRule>
  </conditionalFormatting>
  <conditionalFormatting sqref="F11">
    <cfRule type="containsText" dxfId="2709" priority="29" operator="containsText" text="FAIL">
      <formula>NOT(ISERROR(SEARCH("FAIL",F11)))</formula>
    </cfRule>
  </conditionalFormatting>
  <conditionalFormatting sqref="F11">
    <cfRule type="containsText" dxfId="2708" priority="28" operator="containsText" text="GOOD">
      <formula>NOT(ISERROR(SEARCH("GOOD",F11)))</formula>
    </cfRule>
  </conditionalFormatting>
  <conditionalFormatting sqref="I9">
    <cfRule type="containsText" dxfId="2707" priority="27" operator="containsText" text="FAIL">
      <formula>NOT(ISERROR(SEARCH("FAIL",I9)))</formula>
    </cfRule>
  </conditionalFormatting>
  <conditionalFormatting sqref="I9">
    <cfRule type="containsText" dxfId="2706" priority="26" operator="containsText" text="GOOD">
      <formula>NOT(ISERROR(SEARCH("GOOD",I9)))</formula>
    </cfRule>
  </conditionalFormatting>
  <conditionalFormatting sqref="F11">
    <cfRule type="containsText" dxfId="2705" priority="25" operator="containsText" text="FAIL">
      <formula>NOT(ISERROR(SEARCH("FAIL",F11)))</formula>
    </cfRule>
  </conditionalFormatting>
  <conditionalFormatting sqref="F11">
    <cfRule type="containsText" dxfId="2704" priority="24" operator="containsText" text="GOOD">
      <formula>NOT(ISERROR(SEARCH("GOOD",F11)))</formula>
    </cfRule>
  </conditionalFormatting>
  <conditionalFormatting sqref="D25">
    <cfRule type="expression" dxfId="2703" priority="23" stopIfTrue="1">
      <formula>IF($H$25=1,0)</formula>
    </cfRule>
  </conditionalFormatting>
  <conditionalFormatting sqref="D39:D43 D25:D33">
    <cfRule type="expression" dxfId="2702" priority="22">
      <formula>H25=1</formula>
    </cfRule>
  </conditionalFormatting>
  <conditionalFormatting sqref="C23 C39:C43 C25:C33">
    <cfRule type="expression" dxfId="2701" priority="21">
      <formula>H23=1</formula>
    </cfRule>
  </conditionalFormatting>
  <conditionalFormatting sqref="E39:E43 E25:E33">
    <cfRule type="expression" dxfId="2700" priority="20">
      <formula>H25=1</formula>
    </cfRule>
  </conditionalFormatting>
  <conditionalFormatting sqref="E39:E43 E25:E33">
    <cfRule type="expression" dxfId="2699" priority="19">
      <formula>H25=1</formula>
    </cfRule>
  </conditionalFormatting>
  <conditionalFormatting sqref="F11">
    <cfRule type="containsText" dxfId="2698" priority="18" operator="containsText" text="FAIL">
      <formula>NOT(ISERROR(SEARCH("FAIL",F11)))</formula>
    </cfRule>
  </conditionalFormatting>
  <conditionalFormatting sqref="F11">
    <cfRule type="containsText" dxfId="2697" priority="17" operator="containsText" text="GOOD">
      <formula>NOT(ISERROR(SEARCH("GOOD",F11)))</formula>
    </cfRule>
  </conditionalFormatting>
  <conditionalFormatting sqref="D34:D37">
    <cfRule type="expression" dxfId="2696" priority="16">
      <formula>H34=1</formula>
    </cfRule>
  </conditionalFormatting>
  <conditionalFormatting sqref="C34:C37">
    <cfRule type="expression" dxfId="2695" priority="15">
      <formula>H34=1</formula>
    </cfRule>
  </conditionalFormatting>
  <conditionalFormatting sqref="E34:E37">
    <cfRule type="expression" dxfId="2694" priority="14">
      <formula>H34=1</formula>
    </cfRule>
  </conditionalFormatting>
  <conditionalFormatting sqref="E34:E37">
    <cfRule type="expression" dxfId="2693" priority="13">
      <formula>H34=1</formula>
    </cfRule>
  </conditionalFormatting>
  <conditionalFormatting sqref="D38">
    <cfRule type="expression" dxfId="2692" priority="12">
      <formula>H38=1</formula>
    </cfRule>
  </conditionalFormatting>
  <conditionalFormatting sqref="C38">
    <cfRule type="expression" dxfId="2691" priority="11">
      <formula>H38=1</formula>
    </cfRule>
  </conditionalFormatting>
  <conditionalFormatting sqref="E38">
    <cfRule type="expression" dxfId="2690" priority="10">
      <formula>H38=1</formula>
    </cfRule>
  </conditionalFormatting>
  <conditionalFormatting sqref="E38">
    <cfRule type="expression" dxfId="2689" priority="9">
      <formula>H38=1</formula>
    </cfRule>
  </conditionalFormatting>
  <conditionalFormatting sqref="E24">
    <cfRule type="expression" dxfId="2688" priority="4">
      <formula>H24=1</formula>
    </cfRule>
  </conditionalFormatting>
  <conditionalFormatting sqref="D24">
    <cfRule type="expression" dxfId="2687" priority="8" stopIfTrue="1">
      <formula>IF($H$25=1,0)</formula>
    </cfRule>
  </conditionalFormatting>
  <conditionalFormatting sqref="D24">
    <cfRule type="expression" dxfId="2686" priority="7">
      <formula>H24=1</formula>
    </cfRule>
  </conditionalFormatting>
  <conditionalFormatting sqref="C24">
    <cfRule type="expression" dxfId="2685" priority="6">
      <formula>H24=1</formula>
    </cfRule>
  </conditionalFormatting>
  <conditionalFormatting sqref="E24">
    <cfRule type="expression" dxfId="2684" priority="5">
      <formula>H24=1</formula>
    </cfRule>
  </conditionalFormatting>
  <conditionalFormatting sqref="D23">
    <cfRule type="expression" dxfId="2683" priority="3">
      <formula>H23=1</formula>
    </cfRule>
  </conditionalFormatting>
  <conditionalFormatting sqref="E23">
    <cfRule type="expression" dxfId="2682" priority="2">
      <formula>H23=1</formula>
    </cfRule>
  </conditionalFormatting>
  <conditionalFormatting sqref="E23">
    <cfRule type="expression" dxfId="2681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:P47"/>
  <sheetViews>
    <sheetView zoomScaleNormal="100" workbookViewId="0">
      <selection activeCell="G8" sqref="G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1241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1242</v>
      </c>
    </row>
    <row r="6" spans="1:16" x14ac:dyDescent="0.25">
      <c r="D6" s="2" t="s">
        <v>2</v>
      </c>
      <c r="F6" s="6">
        <v>43167</v>
      </c>
      <c r="H6" s="11"/>
    </row>
    <row r="7" spans="1:16" x14ac:dyDescent="0.25">
      <c r="D7" s="2" t="s">
        <v>3</v>
      </c>
      <c r="F7" s="5">
        <v>1600000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1948000</v>
      </c>
      <c r="H8" s="11"/>
    </row>
    <row r="9" spans="1:16" x14ac:dyDescent="0.25">
      <c r="D9" s="2" t="s">
        <v>67</v>
      </c>
      <c r="F9" s="4">
        <f>+F8-F7</f>
        <v>348000</v>
      </c>
      <c r="G9" s="16">
        <f>+F9/F7</f>
        <v>0.2175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-753500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2353500</v>
      </c>
      <c r="G12" s="14"/>
      <c r="H12" s="11">
        <f>COUNT(I23:I43)</f>
        <v>2</v>
      </c>
      <c r="I12" s="1" t="s">
        <v>31</v>
      </c>
      <c r="J12" s="4">
        <f>+F8*0.9</f>
        <v>1753200</v>
      </c>
      <c r="K12" s="1" t="s">
        <v>69</v>
      </c>
    </row>
    <row r="13" spans="1:16" x14ac:dyDescent="0.25">
      <c r="D13" s="2" t="s">
        <v>29</v>
      </c>
      <c r="F13" s="4">
        <f>MAX(I23:I43)-MIN(I23:I43)</f>
        <v>811000</v>
      </c>
      <c r="G13" s="269">
        <f>MEDIAN(I23:I43)</f>
        <v>2353500</v>
      </c>
      <c r="H13" s="270"/>
      <c r="I13" s="1" t="s">
        <v>30</v>
      </c>
      <c r="J13" s="4">
        <f>+F12*1.1</f>
        <v>2588850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1243</v>
      </c>
      <c r="E23" s="33"/>
      <c r="F23" t="s">
        <v>292</v>
      </c>
      <c r="G23" t="s">
        <v>25</v>
      </c>
      <c r="H23">
        <f>RANK(I23,I$23:I$43,1)</f>
        <v>1</v>
      </c>
      <c r="I23" s="4">
        <v>1948000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1244</v>
      </c>
      <c r="E24" s="33"/>
      <c r="F24" t="s">
        <v>92</v>
      </c>
      <c r="G24" t="s">
        <v>93</v>
      </c>
      <c r="H24">
        <f>RANK(I24,I$23:I$43,1)</f>
        <v>2</v>
      </c>
      <c r="I24" s="4">
        <v>2759000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680" priority="18" operator="containsText" text="FAIL">
      <formula>NOT(ISERROR(SEARCH("FAIL",I9)))</formula>
    </cfRule>
  </conditionalFormatting>
  <conditionalFormatting sqref="I9">
    <cfRule type="containsText" dxfId="2679" priority="17" operator="containsText" text="GOOD">
      <formula>NOT(ISERROR(SEARCH("GOOD",I9)))</formula>
    </cfRule>
  </conditionalFormatting>
  <conditionalFormatting sqref="F11">
    <cfRule type="containsText" dxfId="2678" priority="16" operator="containsText" text="FAIL">
      <formula>NOT(ISERROR(SEARCH("FAIL",F11)))</formula>
    </cfRule>
  </conditionalFormatting>
  <conditionalFormatting sqref="F11">
    <cfRule type="containsText" dxfId="2677" priority="15" operator="containsText" text="GOOD">
      <formula>NOT(ISERROR(SEARCH("GOOD",F11)))</formula>
    </cfRule>
  </conditionalFormatting>
  <conditionalFormatting sqref="D25">
    <cfRule type="expression" dxfId="2676" priority="14" stopIfTrue="1">
      <formula>IF($H$25=1,0)</formula>
    </cfRule>
  </conditionalFormatting>
  <conditionalFormatting sqref="D23 D29:D43 D25">
    <cfRule type="expression" dxfId="2675" priority="13">
      <formula>H23=1</formula>
    </cfRule>
  </conditionalFormatting>
  <conditionalFormatting sqref="C23:C26 C29:C43">
    <cfRule type="expression" dxfId="2674" priority="12">
      <formula>H23=1</formula>
    </cfRule>
  </conditionalFormatting>
  <conditionalFormatting sqref="E23 E29:E43 E25">
    <cfRule type="expression" dxfId="2673" priority="11">
      <formula>H23=1</formula>
    </cfRule>
  </conditionalFormatting>
  <conditionalFormatting sqref="F11">
    <cfRule type="containsText" dxfId="2672" priority="10" operator="containsText" text="FAIL">
      <formula>NOT(ISERROR(SEARCH("FAIL",F11)))</formula>
    </cfRule>
  </conditionalFormatting>
  <conditionalFormatting sqref="F11">
    <cfRule type="containsText" dxfId="2671" priority="9" operator="containsText" text="GOOD">
      <formula>NOT(ISERROR(SEARCH("GOOD",F11)))</formula>
    </cfRule>
  </conditionalFormatting>
  <conditionalFormatting sqref="D27:D28">
    <cfRule type="expression" dxfId="2670" priority="8">
      <formula>H27=1</formula>
    </cfRule>
  </conditionalFormatting>
  <conditionalFormatting sqref="C27:C28">
    <cfRule type="expression" dxfId="2669" priority="7">
      <formula>H27=1</formula>
    </cfRule>
  </conditionalFormatting>
  <conditionalFormatting sqref="E27:E28">
    <cfRule type="expression" dxfId="2668" priority="6">
      <formula>H27=1</formula>
    </cfRule>
  </conditionalFormatting>
  <conditionalFormatting sqref="D24">
    <cfRule type="expression" dxfId="2667" priority="5" stopIfTrue="1">
      <formula>IF($H$25=1,0)</formula>
    </cfRule>
  </conditionalFormatting>
  <conditionalFormatting sqref="D24">
    <cfRule type="expression" dxfId="2666" priority="4">
      <formula>H24=1</formula>
    </cfRule>
  </conditionalFormatting>
  <conditionalFormatting sqref="E24">
    <cfRule type="expression" dxfId="2665" priority="3">
      <formula>H24=1</formula>
    </cfRule>
  </conditionalFormatting>
  <conditionalFormatting sqref="D26">
    <cfRule type="expression" dxfId="2664" priority="2">
      <formula>H26=1</formula>
    </cfRule>
  </conditionalFormatting>
  <conditionalFormatting sqref="E26">
    <cfRule type="expression" dxfId="2663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:O56"/>
  <sheetViews>
    <sheetView zoomScaleNormal="100" workbookViewId="0">
      <selection activeCell="M11" sqref="M11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3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3" ht="18.75" x14ac:dyDescent="0.3">
      <c r="C3" s="3" t="s">
        <v>26</v>
      </c>
      <c r="J3" s="8" t="s">
        <v>47</v>
      </c>
    </row>
    <row r="4" spans="1:13" x14ac:dyDescent="0.25">
      <c r="D4" s="2" t="s">
        <v>0</v>
      </c>
      <c r="E4" s="1"/>
      <c r="F4" t="s">
        <v>1235</v>
      </c>
      <c r="I4" s="2" t="s">
        <v>4</v>
      </c>
      <c r="J4" t="s">
        <v>784</v>
      </c>
    </row>
    <row r="5" spans="1:13" x14ac:dyDescent="0.25">
      <c r="D5" s="2" t="s">
        <v>1</v>
      </c>
      <c r="F5" t="s">
        <v>1236</v>
      </c>
    </row>
    <row r="6" spans="1:13" x14ac:dyDescent="0.25">
      <c r="D6" s="2" t="s">
        <v>2</v>
      </c>
      <c r="F6" s="6">
        <v>43160</v>
      </c>
      <c r="H6" s="11"/>
    </row>
    <row r="7" spans="1:13" x14ac:dyDescent="0.25">
      <c r="D7" s="2" t="s">
        <v>3</v>
      </c>
      <c r="F7" s="5">
        <f>+I7+J7</f>
        <v>1273000</v>
      </c>
      <c r="G7" s="2" t="s">
        <v>34</v>
      </c>
      <c r="H7" s="11"/>
      <c r="I7" s="19">
        <v>487559</v>
      </c>
      <c r="J7" s="19">
        <v>785441</v>
      </c>
    </row>
    <row r="8" spans="1:13" x14ac:dyDescent="0.25">
      <c r="D8" s="2" t="s">
        <v>18</v>
      </c>
      <c r="F8" s="5">
        <f>MIN(K23:K43)</f>
        <v>1050950</v>
      </c>
      <c r="H8" s="11"/>
      <c r="I8" s="18" t="s">
        <v>43</v>
      </c>
      <c r="J8" s="18" t="s">
        <v>44</v>
      </c>
    </row>
    <row r="9" spans="1:13" x14ac:dyDescent="0.25">
      <c r="D9" s="2" t="s">
        <v>19</v>
      </c>
      <c r="F9" s="4">
        <f>+F8-F7</f>
        <v>-222050</v>
      </c>
      <c r="G9" s="16">
        <f>+F9/F7</f>
        <v>-0.1744304791830322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3" x14ac:dyDescent="0.25">
      <c r="D10" s="2" t="s">
        <v>68</v>
      </c>
      <c r="F10" s="4">
        <f>+F7-F12</f>
        <v>-777444.66666666674</v>
      </c>
      <c r="H10" s="11"/>
    </row>
    <row r="11" spans="1:13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3" x14ac:dyDescent="0.25">
      <c r="D12" s="2" t="s">
        <v>28</v>
      </c>
      <c r="F12" s="4">
        <f>SUM(K23:K43)/H12</f>
        <v>2050444.6666666667</v>
      </c>
      <c r="G12" s="14"/>
      <c r="H12" s="11">
        <f>COUNT(K23:K43)</f>
        <v>6</v>
      </c>
      <c r="I12" s="1" t="s">
        <v>31</v>
      </c>
      <c r="J12" s="4">
        <f>+F8*0.9</f>
        <v>945855</v>
      </c>
      <c r="K12" s="1" t="s">
        <v>69</v>
      </c>
    </row>
    <row r="13" spans="1:13" x14ac:dyDescent="0.25">
      <c r="D13" s="2" t="s">
        <v>29</v>
      </c>
      <c r="F13" s="4">
        <f>MAX(K23:K43)-MIN(K23:K43)</f>
        <v>2547150</v>
      </c>
      <c r="G13" s="269">
        <f>MEDIAN(K23:K43)</f>
        <v>1718822.5</v>
      </c>
      <c r="H13" s="270"/>
      <c r="I13" s="1" t="s">
        <v>30</v>
      </c>
      <c r="J13" s="4">
        <f>+F12*1.1</f>
        <v>2255489.1333333338</v>
      </c>
      <c r="K13" s="1" t="s">
        <v>70</v>
      </c>
    </row>
    <row r="14" spans="1:13" x14ac:dyDescent="0.25">
      <c r="H14" s="11"/>
    </row>
    <row r="15" spans="1:13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3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4.3152542372881353E-2</v>
      </c>
    </row>
    <row r="18" spans="3:15" x14ac:dyDescent="0.25">
      <c r="F18" s="4">
        <f>+F7</f>
        <v>1273000</v>
      </c>
      <c r="G18" s="1" t="s">
        <v>12</v>
      </c>
      <c r="H18" s="11"/>
      <c r="I18" t="s">
        <v>16</v>
      </c>
      <c r="J18" s="7">
        <f>+F8/F18</f>
        <v>0.82556952081696777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3.5031666666666669E-2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1237</v>
      </c>
      <c r="E23" s="33"/>
      <c r="F23" t="s">
        <v>749</v>
      </c>
      <c r="G23" t="s">
        <v>25</v>
      </c>
      <c r="H23">
        <f t="shared" ref="H23:H28" si="0">RANK(K23,K$23:K$43,1)</f>
        <v>2</v>
      </c>
      <c r="I23" s="4">
        <v>627660</v>
      </c>
      <c r="J23" s="4">
        <v>622233</v>
      </c>
      <c r="K23" s="4">
        <f t="shared" ref="K23:K28" si="1">+J23+I23</f>
        <v>1249893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824</v>
      </c>
      <c r="E24" s="33"/>
      <c r="F24" t="s">
        <v>186</v>
      </c>
      <c r="G24" t="s">
        <v>25</v>
      </c>
      <c r="H24">
        <f t="shared" si="0"/>
        <v>3</v>
      </c>
      <c r="I24" s="4">
        <v>783600</v>
      </c>
      <c r="J24" s="4">
        <v>546045</v>
      </c>
      <c r="K24" s="4">
        <f t="shared" si="1"/>
        <v>1329645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1017</v>
      </c>
      <c r="E25" s="33"/>
      <c r="F25" t="s">
        <v>201</v>
      </c>
      <c r="G25" t="s">
        <v>25</v>
      </c>
      <c r="H25">
        <f t="shared" si="0"/>
        <v>6</v>
      </c>
      <c r="I25" s="4">
        <v>1732100</v>
      </c>
      <c r="J25" s="4">
        <v>1866000</v>
      </c>
      <c r="K25" s="4">
        <f t="shared" si="1"/>
        <v>3598100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>u</v>
      </c>
      <c r="D26" s="11" t="s">
        <v>1238</v>
      </c>
      <c r="E26" s="33"/>
      <c r="F26" t="s">
        <v>1239</v>
      </c>
      <c r="G26" t="s">
        <v>25</v>
      </c>
      <c r="H26">
        <f t="shared" si="0"/>
        <v>1</v>
      </c>
      <c r="I26" s="4">
        <v>302850</v>
      </c>
      <c r="J26" s="4">
        <v>748100</v>
      </c>
      <c r="K26" s="4">
        <f t="shared" si="1"/>
        <v>1050950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11" t="s">
        <v>1016</v>
      </c>
      <c r="E27" s="33"/>
      <c r="F27" t="s">
        <v>159</v>
      </c>
      <c r="G27" t="s">
        <v>93</v>
      </c>
      <c r="H27">
        <f t="shared" si="0"/>
        <v>5</v>
      </c>
      <c r="I27" s="4">
        <v>1188250</v>
      </c>
      <c r="J27" s="4">
        <v>1777830</v>
      </c>
      <c r="K27" s="4">
        <f t="shared" si="1"/>
        <v>2966080</v>
      </c>
      <c r="L27" s="4"/>
      <c r="M27" s="22"/>
      <c r="N27" s="22"/>
      <c r="O27" s="22"/>
    </row>
    <row r="28" spans="3:15" x14ac:dyDescent="0.25">
      <c r="C28" s="33" t="str">
        <f>IF(H28=1,"u","")</f>
        <v/>
      </c>
      <c r="D28" s="11" t="s">
        <v>631</v>
      </c>
      <c r="E28" s="33"/>
      <c r="F28" t="s">
        <v>131</v>
      </c>
      <c r="G28" t="s">
        <v>25</v>
      </c>
      <c r="H28">
        <f t="shared" si="0"/>
        <v>4</v>
      </c>
      <c r="I28" s="4">
        <v>914862</v>
      </c>
      <c r="J28" s="4">
        <v>1193138</v>
      </c>
      <c r="K28" s="4">
        <f t="shared" si="1"/>
        <v>2108000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2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2662" priority="35" operator="containsText" text="FAIL">
      <formula>NOT(ISERROR(SEARCH("FAIL",I9)))</formula>
    </cfRule>
  </conditionalFormatting>
  <conditionalFormatting sqref="I9">
    <cfRule type="containsText" dxfId="2661" priority="34" operator="containsText" text="GOOD">
      <formula>NOT(ISERROR(SEARCH("GOOD",I9)))</formula>
    </cfRule>
  </conditionalFormatting>
  <conditionalFormatting sqref="I9">
    <cfRule type="containsText" dxfId="2660" priority="33" operator="containsText" text="FAIL">
      <formula>NOT(ISERROR(SEARCH("FAIL",I9)))</formula>
    </cfRule>
  </conditionalFormatting>
  <conditionalFormatting sqref="I9">
    <cfRule type="containsText" dxfId="2659" priority="32" operator="containsText" text="GOOD">
      <formula>NOT(ISERROR(SEARCH("GOOD",I9)))</formula>
    </cfRule>
  </conditionalFormatting>
  <conditionalFormatting sqref="I9">
    <cfRule type="containsText" dxfId="2658" priority="31" operator="containsText" text="FAIL">
      <formula>NOT(ISERROR(SEARCH("FAIL",I9)))</formula>
    </cfRule>
  </conditionalFormatting>
  <conditionalFormatting sqref="I9">
    <cfRule type="containsText" dxfId="2657" priority="30" operator="containsText" text="GOOD">
      <formula>NOT(ISERROR(SEARCH("GOOD",I9)))</formula>
    </cfRule>
  </conditionalFormatting>
  <conditionalFormatting sqref="F11">
    <cfRule type="containsText" dxfId="2656" priority="29" operator="containsText" text="FAIL">
      <formula>NOT(ISERROR(SEARCH("FAIL",F11)))</formula>
    </cfRule>
  </conditionalFormatting>
  <conditionalFormatting sqref="F11">
    <cfRule type="containsText" dxfId="2655" priority="28" operator="containsText" text="GOOD">
      <formula>NOT(ISERROR(SEARCH("GOOD",F11)))</formula>
    </cfRule>
  </conditionalFormatting>
  <conditionalFormatting sqref="I9">
    <cfRule type="containsText" dxfId="2654" priority="27" operator="containsText" text="FAIL">
      <formula>NOT(ISERROR(SEARCH("FAIL",I9)))</formula>
    </cfRule>
  </conditionalFormatting>
  <conditionalFormatting sqref="I9">
    <cfRule type="containsText" dxfId="2653" priority="26" operator="containsText" text="GOOD">
      <formula>NOT(ISERROR(SEARCH("GOOD",I9)))</formula>
    </cfRule>
  </conditionalFormatting>
  <conditionalFormatting sqref="F11">
    <cfRule type="containsText" dxfId="2652" priority="25" operator="containsText" text="FAIL">
      <formula>NOT(ISERROR(SEARCH("FAIL",F11)))</formula>
    </cfRule>
  </conditionalFormatting>
  <conditionalFormatting sqref="F11">
    <cfRule type="containsText" dxfId="2651" priority="24" operator="containsText" text="GOOD">
      <formula>NOT(ISERROR(SEARCH("GOOD",F11)))</formula>
    </cfRule>
  </conditionalFormatting>
  <conditionalFormatting sqref="D25">
    <cfRule type="expression" dxfId="2650" priority="23" stopIfTrue="1">
      <formula>IF($H$25=1,0)</formula>
    </cfRule>
  </conditionalFormatting>
  <conditionalFormatting sqref="D39:D43 D25:D33">
    <cfRule type="expression" dxfId="2649" priority="22">
      <formula>H25=1</formula>
    </cfRule>
  </conditionalFormatting>
  <conditionalFormatting sqref="C23 C39:C43 C25:C33">
    <cfRule type="expression" dxfId="2648" priority="21">
      <formula>H23=1</formula>
    </cfRule>
  </conditionalFormatting>
  <conditionalFormatting sqref="E39:E43 E25:E33">
    <cfRule type="expression" dxfId="2647" priority="20">
      <formula>H25=1</formula>
    </cfRule>
  </conditionalFormatting>
  <conditionalFormatting sqref="E39:E43 E25:E33">
    <cfRule type="expression" dxfId="2646" priority="19">
      <formula>H25=1</formula>
    </cfRule>
  </conditionalFormatting>
  <conditionalFormatting sqref="F11">
    <cfRule type="containsText" dxfId="2645" priority="18" operator="containsText" text="FAIL">
      <formula>NOT(ISERROR(SEARCH("FAIL",F11)))</formula>
    </cfRule>
  </conditionalFormatting>
  <conditionalFormatting sqref="F11">
    <cfRule type="containsText" dxfId="2644" priority="17" operator="containsText" text="GOOD">
      <formula>NOT(ISERROR(SEARCH("GOOD",F11)))</formula>
    </cfRule>
  </conditionalFormatting>
  <conditionalFormatting sqref="D34:D37">
    <cfRule type="expression" dxfId="2643" priority="16">
      <formula>H34=1</formula>
    </cfRule>
  </conditionalFormatting>
  <conditionalFormatting sqref="C34:C37">
    <cfRule type="expression" dxfId="2642" priority="15">
      <formula>H34=1</formula>
    </cfRule>
  </conditionalFormatting>
  <conditionalFormatting sqref="E34:E37">
    <cfRule type="expression" dxfId="2641" priority="14">
      <formula>H34=1</formula>
    </cfRule>
  </conditionalFormatting>
  <conditionalFormatting sqref="E34:E37">
    <cfRule type="expression" dxfId="2640" priority="13">
      <formula>H34=1</formula>
    </cfRule>
  </conditionalFormatting>
  <conditionalFormatting sqref="D38">
    <cfRule type="expression" dxfId="2639" priority="12">
      <formula>H38=1</formula>
    </cfRule>
  </conditionalFormatting>
  <conditionalFormatting sqref="C38">
    <cfRule type="expression" dxfId="2638" priority="11">
      <formula>H38=1</formula>
    </cfRule>
  </conditionalFormatting>
  <conditionalFormatting sqref="E38">
    <cfRule type="expression" dxfId="2637" priority="10">
      <formula>H38=1</formula>
    </cfRule>
  </conditionalFormatting>
  <conditionalFormatting sqref="E38">
    <cfRule type="expression" dxfId="2636" priority="9">
      <formula>H38=1</formula>
    </cfRule>
  </conditionalFormatting>
  <conditionalFormatting sqref="E24">
    <cfRule type="expression" dxfId="2635" priority="4">
      <formula>H24=1</formula>
    </cfRule>
  </conditionalFormatting>
  <conditionalFormatting sqref="D24">
    <cfRule type="expression" dxfId="2634" priority="8" stopIfTrue="1">
      <formula>IF($H$25=1,0)</formula>
    </cfRule>
  </conditionalFormatting>
  <conditionalFormatting sqref="D24">
    <cfRule type="expression" dxfId="2633" priority="7">
      <formula>H24=1</formula>
    </cfRule>
  </conditionalFormatting>
  <conditionalFormatting sqref="C24">
    <cfRule type="expression" dxfId="2632" priority="6">
      <formula>H24=1</formula>
    </cfRule>
  </conditionalFormatting>
  <conditionalFormatting sqref="E24">
    <cfRule type="expression" dxfId="2631" priority="5">
      <formula>H24=1</formula>
    </cfRule>
  </conditionalFormatting>
  <conditionalFormatting sqref="D23">
    <cfRule type="expression" dxfId="2630" priority="3">
      <formula>H23=1</formula>
    </cfRule>
  </conditionalFormatting>
  <conditionalFormatting sqref="E23">
    <cfRule type="expression" dxfId="2629" priority="2">
      <formula>H23=1</formula>
    </cfRule>
  </conditionalFormatting>
  <conditionalFormatting sqref="E23">
    <cfRule type="expression" dxfId="2628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:P47"/>
  <sheetViews>
    <sheetView zoomScaleNormal="100" workbookViewId="0">
      <selection activeCell="F11" sqref="F11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1225</v>
      </c>
      <c r="I4" s="2" t="s">
        <v>4</v>
      </c>
      <c r="J4" t="s">
        <v>442</v>
      </c>
    </row>
    <row r="5" spans="1:15" x14ac:dyDescent="0.25">
      <c r="D5" s="2" t="s">
        <v>1</v>
      </c>
      <c r="F5" t="s">
        <v>1226</v>
      </c>
    </row>
    <row r="6" spans="1:15" x14ac:dyDescent="0.25">
      <c r="D6" s="2" t="s">
        <v>2</v>
      </c>
      <c r="F6" s="6">
        <v>43147</v>
      </c>
      <c r="H6" s="11"/>
    </row>
    <row r="7" spans="1:15" x14ac:dyDescent="0.25">
      <c r="D7" s="2" t="s">
        <v>3</v>
      </c>
      <c r="F7" s="5">
        <f>+L7+K7+J7+I7+(M7*K7)</f>
        <v>23100000</v>
      </c>
      <c r="G7" s="2" t="s">
        <v>34</v>
      </c>
      <c r="H7" s="11"/>
      <c r="I7" s="19">
        <v>0</v>
      </c>
      <c r="J7" s="19">
        <v>20600000</v>
      </c>
      <c r="K7" s="19">
        <v>2500000</v>
      </c>
      <c r="L7" s="19">
        <v>0</v>
      </c>
      <c r="M7" s="20">
        <v>0</v>
      </c>
    </row>
    <row r="8" spans="1:15" x14ac:dyDescent="0.25">
      <c r="D8" s="2" t="s">
        <v>18</v>
      </c>
      <c r="F8" s="5">
        <f>MIN(M23:M43)</f>
        <v>16848000</v>
      </c>
      <c r="H8" s="11"/>
      <c r="I8" s="18" t="s">
        <v>43</v>
      </c>
      <c r="J8" s="18" t="s">
        <v>44</v>
      </c>
      <c r="K8" s="18" t="s">
        <v>49</v>
      </c>
      <c r="L8" s="18" t="s">
        <v>934</v>
      </c>
      <c r="M8" s="18" t="s">
        <v>50</v>
      </c>
    </row>
    <row r="9" spans="1:15" x14ac:dyDescent="0.25">
      <c r="D9" s="2" t="s">
        <v>19</v>
      </c>
      <c r="F9" s="4">
        <f>+F8-F7</f>
        <v>-6252000</v>
      </c>
      <c r="G9" s="16">
        <f>+F9/F7</f>
        <v>-0.27064935064935064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5" x14ac:dyDescent="0.25">
      <c r="D10" s="2" t="s">
        <v>68</v>
      </c>
      <c r="F10" s="4">
        <f>+F7-F12</f>
        <v>-1052208.6666666679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GOOD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24152208.666666668</v>
      </c>
      <c r="G12" s="14"/>
      <c r="H12" s="11">
        <f>COUNT(M23:M43)</f>
        <v>6</v>
      </c>
      <c r="I12" s="1" t="s">
        <v>31</v>
      </c>
      <c r="J12" s="4">
        <f>+F8*0.9</f>
        <v>15163200</v>
      </c>
      <c r="K12" s="1" t="s">
        <v>69</v>
      </c>
      <c r="L12" s="1"/>
      <c r="O12" t="str">
        <f>INDEX(D23:D43,MATCH(1,H23:H43,0))</f>
        <v>EDA Contractors</v>
      </c>
    </row>
    <row r="13" spans="1:15" x14ac:dyDescent="0.25">
      <c r="D13" s="2" t="s">
        <v>29</v>
      </c>
      <c r="F13" s="4">
        <f>MAX(M23:M43)-MIN(M23:M43)</f>
        <v>15960000</v>
      </c>
      <c r="G13" s="269">
        <f>MEDIAN(M23:M43)</f>
        <v>23947126</v>
      </c>
      <c r="H13" s="270"/>
      <c r="I13" s="1" t="s">
        <v>30</v>
      </c>
      <c r="J13" s="4">
        <f>+F12*1.1</f>
        <v>26567429.533333335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5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6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6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>IF(H23=1,"u","")</f>
        <v/>
      </c>
      <c r="D23" s="11" t="s">
        <v>889</v>
      </c>
      <c r="E23" s="33"/>
      <c r="F23" t="s">
        <v>95</v>
      </c>
      <c r="G23" t="s">
        <v>93</v>
      </c>
      <c r="H23">
        <f t="shared" ref="H23:H28" si="0">RANK(M23,M$23:M$43,1)</f>
        <v>6</v>
      </c>
      <c r="I23" s="4">
        <v>0</v>
      </c>
      <c r="J23" s="4">
        <v>29783000</v>
      </c>
      <c r="K23" s="4">
        <v>0</v>
      </c>
      <c r="L23" s="7">
        <v>0.21</v>
      </c>
      <c r="M23" s="4">
        <f t="shared" ref="M23:M28" si="1">+K23+I23+J23+(L23*K$7)+$K$7</f>
        <v>32808000</v>
      </c>
      <c r="N23" s="22"/>
      <c r="O23" s="22">
        <f t="shared" ref="O23:O28" si="2">+L23*$K$7</f>
        <v>525000</v>
      </c>
      <c r="P23" s="22"/>
    </row>
    <row r="24" spans="3:16" x14ac:dyDescent="0.25">
      <c r="C24" s="33" t="str">
        <f>IF(H24=1,"u","")</f>
        <v>u</v>
      </c>
      <c r="D24" s="11" t="s">
        <v>1227</v>
      </c>
      <c r="E24" s="33"/>
      <c r="F24" t="s">
        <v>1228</v>
      </c>
      <c r="G24" t="s">
        <v>333</v>
      </c>
      <c r="H24">
        <f t="shared" si="0"/>
        <v>1</v>
      </c>
      <c r="I24" s="4">
        <v>0</v>
      </c>
      <c r="J24" s="4">
        <v>13973000</v>
      </c>
      <c r="K24" s="4">
        <v>0</v>
      </c>
      <c r="L24" s="7">
        <v>0.15</v>
      </c>
      <c r="M24" s="4">
        <f t="shared" si="1"/>
        <v>16848000</v>
      </c>
      <c r="N24" s="22"/>
      <c r="O24" s="22">
        <f t="shared" si="2"/>
        <v>375000</v>
      </c>
      <c r="P24" s="22"/>
    </row>
    <row r="25" spans="3:16" x14ac:dyDescent="0.25">
      <c r="C25" s="33" t="str">
        <f>IF(H25=1,"u","")</f>
        <v/>
      </c>
      <c r="D25" s="11" t="s">
        <v>1229</v>
      </c>
      <c r="E25" s="33"/>
      <c r="F25" t="s">
        <v>95</v>
      </c>
      <c r="G25" t="s">
        <v>93</v>
      </c>
      <c r="H25">
        <f t="shared" si="0"/>
        <v>5</v>
      </c>
      <c r="I25" s="4">
        <v>0</v>
      </c>
      <c r="J25" s="4">
        <v>25351000</v>
      </c>
      <c r="K25" s="4">
        <v>0</v>
      </c>
      <c r="L25" s="7">
        <v>0.21</v>
      </c>
      <c r="M25" s="4">
        <f t="shared" si="1"/>
        <v>28376000</v>
      </c>
      <c r="N25" s="22"/>
      <c r="O25" s="22">
        <f t="shared" si="2"/>
        <v>525000</v>
      </c>
      <c r="P25" s="22"/>
    </row>
    <row r="26" spans="3:16" x14ac:dyDescent="0.25">
      <c r="C26" s="33" t="str">
        <f t="shared" ref="C26:C43" si="3">IF(H26=1,"u","")</f>
        <v/>
      </c>
      <c r="D26" s="11" t="s">
        <v>491</v>
      </c>
      <c r="E26" s="33"/>
      <c r="F26" t="s">
        <v>203</v>
      </c>
      <c r="G26" t="s">
        <v>204</v>
      </c>
      <c r="H26">
        <f t="shared" si="0"/>
        <v>4</v>
      </c>
      <c r="I26" s="4">
        <v>0</v>
      </c>
      <c r="J26" s="4">
        <v>22046450</v>
      </c>
      <c r="K26" s="4">
        <v>0</v>
      </c>
      <c r="L26" s="7">
        <v>0.1</v>
      </c>
      <c r="M26" s="4">
        <f t="shared" si="1"/>
        <v>24796450</v>
      </c>
      <c r="N26" s="22"/>
      <c r="O26" s="22">
        <f t="shared" si="2"/>
        <v>250000</v>
      </c>
      <c r="P26" s="22"/>
    </row>
    <row r="27" spans="3:16" x14ac:dyDescent="0.25">
      <c r="C27" s="33" t="str">
        <f t="shared" si="3"/>
        <v/>
      </c>
      <c r="D27" s="11" t="s">
        <v>547</v>
      </c>
      <c r="E27" s="33"/>
      <c r="F27" t="s">
        <v>88</v>
      </c>
      <c r="G27" t="s">
        <v>25</v>
      </c>
      <c r="H27">
        <f t="shared" si="0"/>
        <v>2</v>
      </c>
      <c r="I27" s="4">
        <v>0</v>
      </c>
      <c r="J27" s="4">
        <v>15987000</v>
      </c>
      <c r="K27" s="4">
        <v>0</v>
      </c>
      <c r="L27" s="7">
        <v>0.2</v>
      </c>
      <c r="M27" s="4">
        <f t="shared" si="1"/>
        <v>18987000</v>
      </c>
      <c r="N27" s="22"/>
      <c r="O27" s="22">
        <f t="shared" si="2"/>
        <v>500000</v>
      </c>
      <c r="P27" s="22"/>
    </row>
    <row r="28" spans="3:16" x14ac:dyDescent="0.25">
      <c r="C28" s="33"/>
      <c r="D28" s="11" t="s">
        <v>1230</v>
      </c>
      <c r="E28" s="33"/>
      <c r="F28" t="s">
        <v>891</v>
      </c>
      <c r="G28" t="s">
        <v>25</v>
      </c>
      <c r="H28">
        <f t="shared" si="0"/>
        <v>3</v>
      </c>
      <c r="I28" s="4">
        <v>0</v>
      </c>
      <c r="J28" s="4">
        <v>19972802</v>
      </c>
      <c r="K28" s="4">
        <v>0</v>
      </c>
      <c r="L28" s="7">
        <v>0.25</v>
      </c>
      <c r="M28" s="4">
        <f t="shared" si="1"/>
        <v>23097802</v>
      </c>
      <c r="N28" s="22"/>
      <c r="O28" s="22">
        <f t="shared" si="2"/>
        <v>625000</v>
      </c>
      <c r="P28" s="22"/>
    </row>
    <row r="29" spans="3:16" x14ac:dyDescent="0.25">
      <c r="C29" s="33"/>
      <c r="D29" s="11"/>
      <c r="E29" s="33"/>
      <c r="I29" s="4"/>
      <c r="J29" s="4"/>
      <c r="K29" s="7"/>
      <c r="L29" s="7"/>
      <c r="M29" s="4"/>
      <c r="N29" s="22"/>
      <c r="O29" s="22"/>
      <c r="P29" s="22"/>
    </row>
    <row r="30" spans="3:16" x14ac:dyDescent="0.25">
      <c r="C30" s="33" t="str">
        <f t="shared" si="3"/>
        <v/>
      </c>
      <c r="D30" s="11"/>
      <c r="E30" s="33" t="str">
        <f t="shared" ref="E30:E43" si="4">IF(H30=1,"t","")</f>
        <v/>
      </c>
      <c r="I30" s="4"/>
      <c r="J30" s="4"/>
      <c r="K30" s="7"/>
      <c r="L30" s="7"/>
      <c r="M30" s="4"/>
      <c r="N30" s="22"/>
      <c r="O30" s="22"/>
      <c r="P30" s="22"/>
    </row>
    <row r="31" spans="3:16" x14ac:dyDescent="0.25">
      <c r="C31" s="33" t="str">
        <f t="shared" si="3"/>
        <v/>
      </c>
      <c r="D31" s="11"/>
      <c r="E31" s="33" t="str">
        <f t="shared" si="4"/>
        <v/>
      </c>
      <c r="I31" s="4"/>
      <c r="J31" s="4"/>
      <c r="K31" s="7"/>
      <c r="L31" s="7"/>
      <c r="M31" s="4"/>
      <c r="N31" s="22"/>
      <c r="O31" s="22"/>
      <c r="P31" s="22"/>
    </row>
    <row r="32" spans="3:16" x14ac:dyDescent="0.25">
      <c r="C32" s="33" t="str">
        <f t="shared" si="3"/>
        <v/>
      </c>
      <c r="D32" s="11"/>
      <c r="E32" s="33" t="str">
        <f t="shared" si="4"/>
        <v/>
      </c>
      <c r="I32" s="4"/>
      <c r="J32" s="4"/>
      <c r="K32" s="7"/>
      <c r="L32" s="7"/>
      <c r="M32" s="4"/>
      <c r="N32" s="22"/>
      <c r="O32" s="22"/>
      <c r="P32" s="22"/>
    </row>
    <row r="33" spans="3:16" x14ac:dyDescent="0.25">
      <c r="C33" s="33" t="str">
        <f t="shared" si="3"/>
        <v/>
      </c>
      <c r="D33" s="11"/>
      <c r="E33" s="33" t="str">
        <f t="shared" si="4"/>
        <v/>
      </c>
      <c r="I33" s="4"/>
      <c r="J33" s="4"/>
      <c r="K33" s="7"/>
      <c r="L33" s="7"/>
      <c r="M33" s="4"/>
      <c r="N33" s="21"/>
      <c r="O33" s="21"/>
      <c r="P33" s="21"/>
    </row>
    <row r="34" spans="3:16" x14ac:dyDescent="0.25">
      <c r="C34" s="33" t="str">
        <f t="shared" si="3"/>
        <v/>
      </c>
      <c r="D34" s="11"/>
      <c r="E34" s="33" t="str">
        <f t="shared" si="4"/>
        <v/>
      </c>
      <c r="K34" s="7"/>
      <c r="L34" s="7"/>
      <c r="N34" s="21"/>
      <c r="O34" s="21"/>
      <c r="P34" s="21"/>
    </row>
    <row r="35" spans="3:16" x14ac:dyDescent="0.25">
      <c r="C35" s="33" t="str">
        <f t="shared" si="3"/>
        <v/>
      </c>
      <c r="D35" s="11"/>
      <c r="E35" s="33" t="str">
        <f t="shared" si="4"/>
        <v/>
      </c>
      <c r="K35" s="7"/>
      <c r="L35" s="7"/>
      <c r="N35" s="21"/>
      <c r="O35" s="21"/>
      <c r="P35" s="21"/>
    </row>
    <row r="36" spans="3:16" x14ac:dyDescent="0.25">
      <c r="C36" s="33" t="str">
        <f t="shared" si="3"/>
        <v/>
      </c>
      <c r="D36" s="11"/>
      <c r="E36" s="33" t="str">
        <f t="shared" si="4"/>
        <v/>
      </c>
      <c r="K36" s="7"/>
      <c r="L36" s="7"/>
      <c r="N36" s="21"/>
      <c r="O36" s="21"/>
      <c r="P36" s="21"/>
    </row>
    <row r="37" spans="3:16" x14ac:dyDescent="0.25">
      <c r="C37" s="33" t="str">
        <f t="shared" si="3"/>
        <v/>
      </c>
      <c r="D37" s="11"/>
      <c r="E37" s="33" t="str">
        <f t="shared" si="4"/>
        <v/>
      </c>
      <c r="K37" s="7"/>
      <c r="L37" s="7"/>
      <c r="N37" s="21"/>
      <c r="O37" s="21"/>
      <c r="P37" s="21"/>
    </row>
    <row r="38" spans="3:16" x14ac:dyDescent="0.25">
      <c r="C38" s="33" t="str">
        <f t="shared" si="3"/>
        <v/>
      </c>
      <c r="D38" s="11"/>
      <c r="E38" s="33" t="str">
        <f t="shared" si="4"/>
        <v/>
      </c>
      <c r="K38" s="7"/>
      <c r="L38" s="7"/>
      <c r="N38" s="21"/>
      <c r="O38" s="21"/>
      <c r="P38" s="21"/>
    </row>
    <row r="39" spans="3:16" x14ac:dyDescent="0.25">
      <c r="C39" s="33" t="str">
        <f t="shared" si="3"/>
        <v/>
      </c>
      <c r="D39" s="11"/>
      <c r="E39" s="33" t="str">
        <f t="shared" si="4"/>
        <v/>
      </c>
      <c r="K39" s="7"/>
      <c r="L39" s="7"/>
      <c r="N39" s="21"/>
      <c r="O39" s="21"/>
      <c r="P39" s="21"/>
    </row>
    <row r="40" spans="3:16" x14ac:dyDescent="0.25">
      <c r="C40" s="33" t="str">
        <f t="shared" si="3"/>
        <v/>
      </c>
      <c r="D40" s="11"/>
      <c r="E40" s="33" t="str">
        <f t="shared" si="4"/>
        <v/>
      </c>
      <c r="K40" s="7"/>
      <c r="L40" s="7"/>
      <c r="N40" s="21"/>
      <c r="O40" s="21"/>
      <c r="P40" s="21"/>
    </row>
    <row r="41" spans="3:16" x14ac:dyDescent="0.25">
      <c r="C41" s="33" t="str">
        <f t="shared" si="3"/>
        <v/>
      </c>
      <c r="D41" s="11"/>
      <c r="E41" s="33" t="str">
        <f t="shared" si="4"/>
        <v/>
      </c>
      <c r="K41" s="7"/>
      <c r="L41" s="7"/>
      <c r="N41" s="21"/>
      <c r="O41" s="21"/>
      <c r="P41" s="21"/>
    </row>
    <row r="42" spans="3:16" x14ac:dyDescent="0.25">
      <c r="C42" s="33" t="str">
        <f t="shared" si="3"/>
        <v/>
      </c>
      <c r="D42" s="11"/>
      <c r="E42" s="33" t="str">
        <f t="shared" si="4"/>
        <v/>
      </c>
      <c r="K42" s="7"/>
      <c r="L42" s="7"/>
      <c r="N42" s="21"/>
      <c r="O42" s="21"/>
      <c r="P42" s="21"/>
    </row>
    <row r="43" spans="3:16" x14ac:dyDescent="0.25">
      <c r="C43" s="33" t="str">
        <f t="shared" si="3"/>
        <v/>
      </c>
      <c r="D43" s="11"/>
      <c r="E43" s="33" t="str">
        <f t="shared" si="4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2627" priority="8" operator="containsText" text="FAIL">
      <formula>NOT(ISERROR(SEARCH("FAIL",F9)))</formula>
    </cfRule>
  </conditionalFormatting>
  <conditionalFormatting sqref="I9 F11">
    <cfRule type="containsText" dxfId="2626" priority="7" operator="containsText" text="GOOD">
      <formula>NOT(ISERROR(SEARCH("GOOD",F9)))</formula>
    </cfRule>
  </conditionalFormatting>
  <conditionalFormatting sqref="I9">
    <cfRule type="containsText" dxfId="2625" priority="6" operator="containsText" text="FAIL">
      <formula>NOT(ISERROR(SEARCH("FAIL",I9)))</formula>
    </cfRule>
  </conditionalFormatting>
  <conditionalFormatting sqref="I9">
    <cfRule type="containsText" dxfId="2624" priority="5" operator="containsText" text="GOOD">
      <formula>NOT(ISERROR(SEARCH("GOOD",I9)))</formula>
    </cfRule>
  </conditionalFormatting>
  <conditionalFormatting sqref="D25">
    <cfRule type="expression" dxfId="2623" priority="4" stopIfTrue="1">
      <formula>IF($H$25=1,0)</formula>
    </cfRule>
  </conditionalFormatting>
  <conditionalFormatting sqref="D23:D43">
    <cfRule type="expression" dxfId="2622" priority="3">
      <formula>H23=1</formula>
    </cfRule>
  </conditionalFormatting>
  <conditionalFormatting sqref="C23:C43">
    <cfRule type="expression" dxfId="2621" priority="2">
      <formula>H23=1</formula>
    </cfRule>
  </conditionalFormatting>
  <conditionalFormatting sqref="E23:E43">
    <cfRule type="expression" dxfId="2620" priority="1">
      <formula>H23=1</formula>
    </cfRule>
  </conditionalFormatting>
  <pageMargins left="0.7" right="0.7" top="0.75" bottom="0.75" header="0.3" footer="0.3"/>
  <pageSetup scale="77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:P47"/>
  <sheetViews>
    <sheetView zoomScaleNormal="100" workbookViewId="0">
      <selection activeCell="G8" sqref="G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1223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1224</v>
      </c>
    </row>
    <row r="6" spans="1:16" x14ac:dyDescent="0.25">
      <c r="D6" s="2" t="s">
        <v>2</v>
      </c>
      <c r="F6" s="6">
        <v>43139</v>
      </c>
      <c r="H6" s="11"/>
    </row>
    <row r="7" spans="1:16" x14ac:dyDescent="0.25">
      <c r="D7" s="2" t="s">
        <v>3</v>
      </c>
      <c r="F7" s="5">
        <v>10590000</v>
      </c>
      <c r="G7" s="2" t="s">
        <v>190</v>
      </c>
      <c r="H7" s="11"/>
    </row>
    <row r="8" spans="1:16" x14ac:dyDescent="0.25">
      <c r="D8" s="2" t="s">
        <v>18</v>
      </c>
      <c r="F8" s="5">
        <f>MIN(I23:I43)</f>
        <v>9125000</v>
      </c>
      <c r="H8" s="11"/>
    </row>
    <row r="9" spans="1:16" x14ac:dyDescent="0.25">
      <c r="D9" s="2" t="s">
        <v>67</v>
      </c>
      <c r="F9" s="4">
        <f>+F8-F7</f>
        <v>-1465000</v>
      </c>
      <c r="G9" s="16">
        <f>+F9/F7</f>
        <v>-0.13833805476864966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1111083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9478917</v>
      </c>
      <c r="G12" s="14"/>
      <c r="H12" s="11">
        <f>COUNT(I23:I43)</f>
        <v>2</v>
      </c>
      <c r="I12" s="1" t="s">
        <v>31</v>
      </c>
      <c r="J12" s="4">
        <f>+F8*0.9</f>
        <v>8212500</v>
      </c>
      <c r="K12" s="1" t="s">
        <v>69</v>
      </c>
    </row>
    <row r="13" spans="1:16" x14ac:dyDescent="0.25">
      <c r="D13" s="2" t="s">
        <v>29</v>
      </c>
      <c r="F13" s="4">
        <f>MAX(I23:I43)-MIN(I23:I43)</f>
        <v>707834</v>
      </c>
      <c r="G13" s="269">
        <f>MEDIAN(I23:I43)</f>
        <v>9478917</v>
      </c>
      <c r="H13" s="270"/>
      <c r="I13" s="1" t="s">
        <v>30</v>
      </c>
      <c r="J13" s="4">
        <f>+F12*1.1</f>
        <v>10426808.700000001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541</v>
      </c>
      <c r="E23" s="33"/>
      <c r="F23" t="s">
        <v>159</v>
      </c>
      <c r="G23" t="s">
        <v>93</v>
      </c>
      <c r="H23">
        <f>RANK(I23,I$23:I$43,1)</f>
        <v>1</v>
      </c>
      <c r="I23" s="4">
        <v>9125000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665</v>
      </c>
      <c r="E24" s="33"/>
      <c r="F24" t="s">
        <v>413</v>
      </c>
      <c r="G24" t="s">
        <v>93</v>
      </c>
      <c r="H24">
        <f>RANK(I24,I$23:I$43,1)</f>
        <v>2</v>
      </c>
      <c r="I24" s="4">
        <v>9832834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619" priority="18" operator="containsText" text="FAIL">
      <formula>NOT(ISERROR(SEARCH("FAIL",I9)))</formula>
    </cfRule>
  </conditionalFormatting>
  <conditionalFormatting sqref="I9">
    <cfRule type="containsText" dxfId="2618" priority="17" operator="containsText" text="GOOD">
      <formula>NOT(ISERROR(SEARCH("GOOD",I9)))</formula>
    </cfRule>
  </conditionalFormatting>
  <conditionalFormatting sqref="F11">
    <cfRule type="containsText" dxfId="2617" priority="16" operator="containsText" text="FAIL">
      <formula>NOT(ISERROR(SEARCH("FAIL",F11)))</formula>
    </cfRule>
  </conditionalFormatting>
  <conditionalFormatting sqref="F11">
    <cfRule type="containsText" dxfId="2616" priority="15" operator="containsText" text="GOOD">
      <formula>NOT(ISERROR(SEARCH("GOOD",F11)))</formula>
    </cfRule>
  </conditionalFormatting>
  <conditionalFormatting sqref="D25">
    <cfRule type="expression" dxfId="2615" priority="14" stopIfTrue="1">
      <formula>IF($H$25=1,0)</formula>
    </cfRule>
  </conditionalFormatting>
  <conditionalFormatting sqref="D23 D29:D43 D25">
    <cfRule type="expression" dxfId="2614" priority="13">
      <formula>H23=1</formula>
    </cfRule>
  </conditionalFormatting>
  <conditionalFormatting sqref="C23:C26 C29:C43">
    <cfRule type="expression" dxfId="2613" priority="12">
      <formula>H23=1</formula>
    </cfRule>
  </conditionalFormatting>
  <conditionalFormatting sqref="E23 E29:E43 E25">
    <cfRule type="expression" dxfId="2612" priority="11">
      <formula>H23=1</formula>
    </cfRule>
  </conditionalFormatting>
  <conditionalFormatting sqref="F11">
    <cfRule type="containsText" dxfId="2611" priority="10" operator="containsText" text="FAIL">
      <formula>NOT(ISERROR(SEARCH("FAIL",F11)))</formula>
    </cfRule>
  </conditionalFormatting>
  <conditionalFormatting sqref="F11">
    <cfRule type="containsText" dxfId="2610" priority="9" operator="containsText" text="GOOD">
      <formula>NOT(ISERROR(SEARCH("GOOD",F11)))</formula>
    </cfRule>
  </conditionalFormatting>
  <conditionalFormatting sqref="D27:D28">
    <cfRule type="expression" dxfId="2609" priority="8">
      <formula>H27=1</formula>
    </cfRule>
  </conditionalFormatting>
  <conditionalFormatting sqref="C27:C28">
    <cfRule type="expression" dxfId="2608" priority="7">
      <formula>H27=1</formula>
    </cfRule>
  </conditionalFormatting>
  <conditionalFormatting sqref="E27:E28">
    <cfRule type="expression" dxfId="2607" priority="6">
      <formula>H27=1</formula>
    </cfRule>
  </conditionalFormatting>
  <conditionalFormatting sqref="D24">
    <cfRule type="expression" dxfId="2606" priority="5" stopIfTrue="1">
      <formula>IF($H$25=1,0)</formula>
    </cfRule>
  </conditionalFormatting>
  <conditionalFormatting sqref="D24">
    <cfRule type="expression" dxfId="2605" priority="4">
      <formula>H24=1</formula>
    </cfRule>
  </conditionalFormatting>
  <conditionalFormatting sqref="E24">
    <cfRule type="expression" dxfId="2604" priority="3">
      <formula>H24=1</formula>
    </cfRule>
  </conditionalFormatting>
  <conditionalFormatting sqref="D26">
    <cfRule type="expression" dxfId="2603" priority="2">
      <formula>H26=1</formula>
    </cfRule>
  </conditionalFormatting>
  <conditionalFormatting sqref="E26">
    <cfRule type="expression" dxfId="2602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:P47"/>
  <sheetViews>
    <sheetView zoomScaleNormal="100" workbookViewId="0">
      <selection activeCell="J25" sqref="J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1219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1220</v>
      </c>
    </row>
    <row r="6" spans="1:16" x14ac:dyDescent="0.25">
      <c r="D6" s="2" t="s">
        <v>2</v>
      </c>
      <c r="F6" s="6">
        <v>43138</v>
      </c>
      <c r="H6" s="11"/>
    </row>
    <row r="7" spans="1:16" x14ac:dyDescent="0.25">
      <c r="D7" s="2" t="s">
        <v>3</v>
      </c>
      <c r="F7" s="5">
        <v>1056000</v>
      </c>
      <c r="G7" s="2" t="s">
        <v>693</v>
      </c>
      <c r="H7" s="11"/>
    </row>
    <row r="8" spans="1:16" x14ac:dyDescent="0.25">
      <c r="D8" s="2" t="s">
        <v>18</v>
      </c>
      <c r="F8" s="5">
        <f>MIN(I23:I43)</f>
        <v>619790</v>
      </c>
      <c r="H8" s="11"/>
    </row>
    <row r="9" spans="1:16" x14ac:dyDescent="0.25">
      <c r="D9" s="2" t="s">
        <v>67</v>
      </c>
      <c r="F9" s="4">
        <f>+F8-F7</f>
        <v>-436210</v>
      </c>
      <c r="G9" s="16">
        <f>+F9/F7</f>
        <v>-0.41307765151515152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-1263072.3333333335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2319072.3333333335</v>
      </c>
      <c r="G12" s="14"/>
      <c r="H12" s="11">
        <f>COUNT(I23:I43)</f>
        <v>6</v>
      </c>
      <c r="I12" s="1" t="s">
        <v>31</v>
      </c>
      <c r="J12" s="4">
        <f>+F8*0.9</f>
        <v>557811</v>
      </c>
      <c r="K12" s="1" t="s">
        <v>69</v>
      </c>
    </row>
    <row r="13" spans="1:16" x14ac:dyDescent="0.25">
      <c r="D13" s="2" t="s">
        <v>29</v>
      </c>
      <c r="F13" s="4">
        <f>MAX(I23:I43)-MIN(I23:I43)</f>
        <v>5566359</v>
      </c>
      <c r="G13" s="269">
        <f>MEDIAN(I23:I43)</f>
        <v>1637250</v>
      </c>
      <c r="H13" s="270"/>
      <c r="I13" s="1" t="s">
        <v>30</v>
      </c>
      <c r="J13" s="4">
        <f>+F12*1.1</f>
        <v>2550979.5666666669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929</v>
      </c>
      <c r="E23" s="33"/>
      <c r="F23" t="s">
        <v>990</v>
      </c>
      <c r="G23" t="s">
        <v>25</v>
      </c>
      <c r="H23">
        <f t="shared" ref="H23:H28" si="0">RANK(I23,I$23:I$43,1)</f>
        <v>2</v>
      </c>
      <c r="I23" s="4">
        <v>931795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1221</v>
      </c>
      <c r="E24" s="33"/>
      <c r="F24" t="s">
        <v>1222</v>
      </c>
      <c r="G24" t="s">
        <v>93</v>
      </c>
      <c r="H24">
        <f t="shared" si="0"/>
        <v>5</v>
      </c>
      <c r="I24" s="4">
        <v>2902200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1155</v>
      </c>
      <c r="E25" s="33"/>
      <c r="F25" t="s">
        <v>181</v>
      </c>
      <c r="G25" t="s">
        <v>93</v>
      </c>
      <c r="H25">
        <f t="shared" si="0"/>
        <v>6</v>
      </c>
      <c r="I25" s="4">
        <v>6186149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676</v>
      </c>
      <c r="E26" s="33"/>
      <c r="F26" t="s">
        <v>85</v>
      </c>
      <c r="G26" t="s">
        <v>25</v>
      </c>
      <c r="H26">
        <f t="shared" si="0"/>
        <v>1</v>
      </c>
      <c r="I26" s="4">
        <v>619790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824</v>
      </c>
      <c r="E27" s="33"/>
      <c r="F27" t="s">
        <v>186</v>
      </c>
      <c r="G27" t="s">
        <v>25</v>
      </c>
      <c r="H27">
        <f t="shared" si="0"/>
        <v>3</v>
      </c>
      <c r="I27" s="4">
        <v>1174500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631</v>
      </c>
      <c r="E28" s="33"/>
      <c r="F28" t="s">
        <v>131</v>
      </c>
      <c r="G28" t="s">
        <v>25</v>
      </c>
      <c r="H28">
        <f t="shared" si="0"/>
        <v>4</v>
      </c>
      <c r="I28" s="4">
        <v>2100000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601" priority="18" operator="containsText" text="FAIL">
      <formula>NOT(ISERROR(SEARCH("FAIL",I9)))</formula>
    </cfRule>
  </conditionalFormatting>
  <conditionalFormatting sqref="I9">
    <cfRule type="containsText" dxfId="2600" priority="17" operator="containsText" text="GOOD">
      <formula>NOT(ISERROR(SEARCH("GOOD",I9)))</formula>
    </cfRule>
  </conditionalFormatting>
  <conditionalFormatting sqref="F11">
    <cfRule type="containsText" dxfId="2599" priority="16" operator="containsText" text="FAIL">
      <formula>NOT(ISERROR(SEARCH("FAIL",F11)))</formula>
    </cfRule>
  </conditionalFormatting>
  <conditionalFormatting sqref="F11">
    <cfRule type="containsText" dxfId="2598" priority="15" operator="containsText" text="GOOD">
      <formula>NOT(ISERROR(SEARCH("GOOD",F11)))</formula>
    </cfRule>
  </conditionalFormatting>
  <conditionalFormatting sqref="D25">
    <cfRule type="expression" dxfId="2597" priority="14" stopIfTrue="1">
      <formula>IF($H$25=1,0)</formula>
    </cfRule>
  </conditionalFormatting>
  <conditionalFormatting sqref="D23 D29:D43 D25">
    <cfRule type="expression" dxfId="2596" priority="13">
      <formula>H23=1</formula>
    </cfRule>
  </conditionalFormatting>
  <conditionalFormatting sqref="C23:C26 C29:C43">
    <cfRule type="expression" dxfId="2595" priority="12">
      <formula>H23=1</formula>
    </cfRule>
  </conditionalFormatting>
  <conditionalFormatting sqref="E23 E29:E43 E25">
    <cfRule type="expression" dxfId="2594" priority="11">
      <formula>H23=1</formula>
    </cfRule>
  </conditionalFormatting>
  <conditionalFormatting sqref="F11">
    <cfRule type="containsText" dxfId="2593" priority="10" operator="containsText" text="FAIL">
      <formula>NOT(ISERROR(SEARCH("FAIL",F11)))</formula>
    </cfRule>
  </conditionalFormatting>
  <conditionalFormatting sqref="F11">
    <cfRule type="containsText" dxfId="2592" priority="9" operator="containsText" text="GOOD">
      <formula>NOT(ISERROR(SEARCH("GOOD",F11)))</formula>
    </cfRule>
  </conditionalFormatting>
  <conditionalFormatting sqref="D27:D28">
    <cfRule type="expression" dxfId="2591" priority="8">
      <formula>H27=1</formula>
    </cfRule>
  </conditionalFormatting>
  <conditionalFormatting sqref="C27:C28">
    <cfRule type="expression" dxfId="2590" priority="7">
      <formula>H27=1</formula>
    </cfRule>
  </conditionalFormatting>
  <conditionalFormatting sqref="E27:E28">
    <cfRule type="expression" dxfId="2589" priority="6">
      <formula>H27=1</formula>
    </cfRule>
  </conditionalFormatting>
  <conditionalFormatting sqref="D24">
    <cfRule type="expression" dxfId="2588" priority="5" stopIfTrue="1">
      <formula>IF($H$25=1,0)</formula>
    </cfRule>
  </conditionalFormatting>
  <conditionalFormatting sqref="D24">
    <cfRule type="expression" dxfId="2587" priority="4">
      <formula>H24=1</formula>
    </cfRule>
  </conditionalFormatting>
  <conditionalFormatting sqref="E24">
    <cfRule type="expression" dxfId="2586" priority="3">
      <formula>H24=1</formula>
    </cfRule>
  </conditionalFormatting>
  <conditionalFormatting sqref="D26">
    <cfRule type="expression" dxfId="2585" priority="2">
      <formula>H26=1</formula>
    </cfRule>
  </conditionalFormatting>
  <conditionalFormatting sqref="E26">
    <cfRule type="expression" dxfId="2584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:P47"/>
  <sheetViews>
    <sheetView zoomScaleNormal="100" workbookViewId="0">
      <selection activeCell="J32" sqref="J32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1213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1214</v>
      </c>
    </row>
    <row r="6" spans="1:16" x14ac:dyDescent="0.25">
      <c r="D6" s="2" t="s">
        <v>2</v>
      </c>
      <c r="F6" s="6">
        <v>43125</v>
      </c>
      <c r="H6" s="11"/>
    </row>
    <row r="7" spans="1:16" x14ac:dyDescent="0.25">
      <c r="D7" s="2" t="s">
        <v>3</v>
      </c>
      <c r="F7" s="5">
        <v>1700000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1555555</v>
      </c>
      <c r="H8" s="11"/>
    </row>
    <row r="9" spans="1:16" x14ac:dyDescent="0.25">
      <c r="D9" s="2" t="s">
        <v>67</v>
      </c>
      <c r="F9" s="4">
        <f>+F8-F7</f>
        <v>-144445</v>
      </c>
      <c r="G9" s="16">
        <f>+F9/F7</f>
        <v>-8.4967647058823523E-2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-901779.66666666651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2601779.6666666665</v>
      </c>
      <c r="G12" s="14"/>
      <c r="H12" s="11">
        <f>COUNT(I23:I43)</f>
        <v>9</v>
      </c>
      <c r="I12" s="1" t="s">
        <v>31</v>
      </c>
      <c r="J12" s="4">
        <f>+F8*0.9</f>
        <v>1399999.5</v>
      </c>
      <c r="K12" s="1" t="s">
        <v>69</v>
      </c>
    </row>
    <row r="13" spans="1:16" x14ac:dyDescent="0.25">
      <c r="D13" s="2" t="s">
        <v>29</v>
      </c>
      <c r="F13" s="4">
        <f>MAX(I23:I43)-MIN(I23:I43)</f>
        <v>2054267</v>
      </c>
      <c r="G13" s="269">
        <f>MEDIAN(I23:I43)</f>
        <v>2563000</v>
      </c>
      <c r="H13" s="270"/>
      <c r="I13" s="1" t="s">
        <v>30</v>
      </c>
      <c r="J13" s="4">
        <f>+F12*1.1</f>
        <v>2861957.6333333333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1012</v>
      </c>
      <c r="E23" s="33"/>
      <c r="F23" t="s">
        <v>1215</v>
      </c>
      <c r="G23" t="s">
        <v>321</v>
      </c>
      <c r="H23">
        <f>RANK(I23,I$23:I$43,1)</f>
        <v>4</v>
      </c>
      <c r="I23" s="4">
        <v>2537000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1216</v>
      </c>
      <c r="E24" s="33"/>
      <c r="F24" t="s">
        <v>159</v>
      </c>
      <c r="G24" t="s">
        <v>93</v>
      </c>
      <c r="H24">
        <f>RANK(I24,I$23:I$43,1)</f>
        <v>9</v>
      </c>
      <c r="I24" s="4">
        <v>3609822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738</v>
      </c>
      <c r="E25" s="33"/>
      <c r="F25" t="s">
        <v>739</v>
      </c>
      <c r="G25" t="s">
        <v>93</v>
      </c>
      <c r="H25">
        <f t="shared" ref="H25:H31" si="0">RANK(I25,I$23:I$43,1)</f>
        <v>3</v>
      </c>
      <c r="I25" s="4">
        <v>2296000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1217</v>
      </c>
      <c r="E26" s="33"/>
      <c r="F26" t="s">
        <v>147</v>
      </c>
      <c r="G26" t="s">
        <v>93</v>
      </c>
      <c r="H26">
        <f t="shared" si="0"/>
        <v>1</v>
      </c>
      <c r="I26" s="4">
        <v>1555555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1155</v>
      </c>
      <c r="E27" s="33"/>
      <c r="F27" t="s">
        <v>181</v>
      </c>
      <c r="G27" t="s">
        <v>93</v>
      </c>
      <c r="H27">
        <f t="shared" si="0"/>
        <v>8</v>
      </c>
      <c r="I27" s="4">
        <v>3307840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502</v>
      </c>
      <c r="E28" s="33"/>
      <c r="F28" t="s">
        <v>95</v>
      </c>
      <c r="G28" t="s">
        <v>93</v>
      </c>
      <c r="H28">
        <f t="shared" si="0"/>
        <v>2</v>
      </c>
      <c r="I28" s="4">
        <v>1647000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/>
      </c>
      <c r="D29" s="11" t="s">
        <v>665</v>
      </c>
      <c r="E29" s="33"/>
      <c r="F29" t="s">
        <v>413</v>
      </c>
      <c r="G29" t="s">
        <v>93</v>
      </c>
      <c r="H29">
        <f t="shared" si="0"/>
        <v>6</v>
      </c>
      <c r="I29" s="4">
        <v>2772460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 t="s">
        <v>606</v>
      </c>
      <c r="E30" s="33"/>
      <c r="F30" t="s">
        <v>100</v>
      </c>
      <c r="G30" t="s">
        <v>93</v>
      </c>
      <c r="H30">
        <f t="shared" si="0"/>
        <v>5</v>
      </c>
      <c r="I30" s="4">
        <v>2563000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 t="s">
        <v>1112</v>
      </c>
      <c r="E31" s="33"/>
      <c r="F31" t="s">
        <v>1218</v>
      </c>
      <c r="G31" t="s">
        <v>93</v>
      </c>
      <c r="H31">
        <f t="shared" si="0"/>
        <v>7</v>
      </c>
      <c r="I31" s="4">
        <v>3127340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583" priority="18" operator="containsText" text="FAIL">
      <formula>NOT(ISERROR(SEARCH("FAIL",I9)))</formula>
    </cfRule>
  </conditionalFormatting>
  <conditionalFormatting sqref="I9">
    <cfRule type="containsText" dxfId="2582" priority="17" operator="containsText" text="GOOD">
      <formula>NOT(ISERROR(SEARCH("GOOD",I9)))</formula>
    </cfRule>
  </conditionalFormatting>
  <conditionalFormatting sqref="F11">
    <cfRule type="containsText" dxfId="2581" priority="16" operator="containsText" text="FAIL">
      <formula>NOT(ISERROR(SEARCH("FAIL",F11)))</formula>
    </cfRule>
  </conditionalFormatting>
  <conditionalFormatting sqref="F11">
    <cfRule type="containsText" dxfId="2580" priority="15" operator="containsText" text="GOOD">
      <formula>NOT(ISERROR(SEARCH("GOOD",F11)))</formula>
    </cfRule>
  </conditionalFormatting>
  <conditionalFormatting sqref="D25">
    <cfRule type="expression" dxfId="2579" priority="14" stopIfTrue="1">
      <formula>IF($H$25=1,0)</formula>
    </cfRule>
  </conditionalFormatting>
  <conditionalFormatting sqref="D23 D29:D43 D25">
    <cfRule type="expression" dxfId="2578" priority="13">
      <formula>H23=1</formula>
    </cfRule>
  </conditionalFormatting>
  <conditionalFormatting sqref="C23:C26 C29:C43">
    <cfRule type="expression" dxfId="2577" priority="12">
      <formula>H23=1</formula>
    </cfRule>
  </conditionalFormatting>
  <conditionalFormatting sqref="E23 E29:E43 E25">
    <cfRule type="expression" dxfId="2576" priority="11">
      <formula>H23=1</formula>
    </cfRule>
  </conditionalFormatting>
  <conditionalFormatting sqref="F11">
    <cfRule type="containsText" dxfId="2575" priority="10" operator="containsText" text="FAIL">
      <formula>NOT(ISERROR(SEARCH("FAIL",F11)))</formula>
    </cfRule>
  </conditionalFormatting>
  <conditionalFormatting sqref="F11">
    <cfRule type="containsText" dxfId="2574" priority="9" operator="containsText" text="GOOD">
      <formula>NOT(ISERROR(SEARCH("GOOD",F11)))</formula>
    </cfRule>
  </conditionalFormatting>
  <conditionalFormatting sqref="D27:D28">
    <cfRule type="expression" dxfId="2573" priority="8">
      <formula>H27=1</formula>
    </cfRule>
  </conditionalFormatting>
  <conditionalFormatting sqref="C27:C28">
    <cfRule type="expression" dxfId="2572" priority="7">
      <formula>H27=1</formula>
    </cfRule>
  </conditionalFormatting>
  <conditionalFormatting sqref="E27:E28">
    <cfRule type="expression" dxfId="2571" priority="6">
      <formula>H27=1</formula>
    </cfRule>
  </conditionalFormatting>
  <conditionalFormatting sqref="D24">
    <cfRule type="expression" dxfId="2570" priority="5" stopIfTrue="1">
      <formula>IF($H$25=1,0)</formula>
    </cfRule>
  </conditionalFormatting>
  <conditionalFormatting sqref="D24">
    <cfRule type="expression" dxfId="2569" priority="4">
      <formula>H24=1</formula>
    </cfRule>
  </conditionalFormatting>
  <conditionalFormatting sqref="E24">
    <cfRule type="expression" dxfId="2568" priority="3">
      <formula>H24=1</formula>
    </cfRule>
  </conditionalFormatting>
  <conditionalFormatting sqref="D26">
    <cfRule type="expression" dxfId="2567" priority="2">
      <formula>H26=1</formula>
    </cfRule>
  </conditionalFormatting>
  <conditionalFormatting sqref="E26">
    <cfRule type="expression" dxfId="2566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:O56"/>
  <sheetViews>
    <sheetView topLeftCell="A10" zoomScaleNormal="100" workbookViewId="0">
      <selection activeCell="J30" sqref="J30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3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3" ht="18.75" x14ac:dyDescent="0.3">
      <c r="C3" s="3" t="s">
        <v>26</v>
      </c>
      <c r="J3" s="8" t="s">
        <v>47</v>
      </c>
    </row>
    <row r="4" spans="1:13" x14ac:dyDescent="0.25">
      <c r="D4" s="2" t="s">
        <v>0</v>
      </c>
      <c r="E4" s="1"/>
      <c r="F4" t="s">
        <v>1208</v>
      </c>
      <c r="I4" s="2" t="s">
        <v>4</v>
      </c>
      <c r="J4" t="s">
        <v>816</v>
      </c>
    </row>
    <row r="5" spans="1:13" x14ac:dyDescent="0.25">
      <c r="D5" s="2" t="s">
        <v>1</v>
      </c>
      <c r="F5" t="s">
        <v>1209</v>
      </c>
    </row>
    <row r="6" spans="1:13" x14ac:dyDescent="0.25">
      <c r="D6" s="2" t="s">
        <v>2</v>
      </c>
      <c r="F6" s="6">
        <v>43124</v>
      </c>
      <c r="H6" s="11"/>
    </row>
    <row r="7" spans="1:13" x14ac:dyDescent="0.25">
      <c r="D7" s="2" t="s">
        <v>3</v>
      </c>
      <c r="F7" s="5">
        <f>+I7+J7</f>
        <v>22000000</v>
      </c>
      <c r="G7" s="2" t="s">
        <v>34</v>
      </c>
      <c r="H7" s="11"/>
      <c r="I7" s="19">
        <v>13995300</v>
      </c>
      <c r="J7" s="19">
        <v>8004700</v>
      </c>
    </row>
    <row r="8" spans="1:13" x14ac:dyDescent="0.25">
      <c r="D8" s="2" t="s">
        <v>18</v>
      </c>
      <c r="F8" s="5">
        <f>MIN(K23:K43)</f>
        <v>19988889</v>
      </c>
      <c r="H8" s="11"/>
      <c r="I8" s="18" t="s">
        <v>43</v>
      </c>
      <c r="J8" s="18" t="s">
        <v>44</v>
      </c>
    </row>
    <row r="9" spans="1:13" x14ac:dyDescent="0.25">
      <c r="D9" s="2" t="s">
        <v>19</v>
      </c>
      <c r="F9" s="4">
        <f>+F8-F7</f>
        <v>-2011111</v>
      </c>
      <c r="G9" s="16">
        <f>+F9/F7</f>
        <v>-9.1414136363636364E-2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3" x14ac:dyDescent="0.25">
      <c r="D10" s="2" t="s">
        <v>68</v>
      </c>
      <c r="F10" s="4">
        <f>+F7-F12</f>
        <v>-5586889.692307692</v>
      </c>
      <c r="H10" s="11"/>
    </row>
    <row r="11" spans="1:13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3" x14ac:dyDescent="0.25">
      <c r="D12" s="2" t="s">
        <v>28</v>
      </c>
      <c r="F12" s="4">
        <f>SUM(K23:K43)/H12</f>
        <v>27586889.692307692</v>
      </c>
      <c r="G12" s="14"/>
      <c r="H12" s="11">
        <f>COUNT(K23:K43)</f>
        <v>13</v>
      </c>
      <c r="I12" s="1" t="s">
        <v>31</v>
      </c>
      <c r="J12" s="4">
        <f>+F8*0.9</f>
        <v>17990000.100000001</v>
      </c>
      <c r="K12" s="1" t="s">
        <v>69</v>
      </c>
    </row>
    <row r="13" spans="1:13" x14ac:dyDescent="0.25">
      <c r="D13" s="2" t="s">
        <v>29</v>
      </c>
      <c r="F13" s="4">
        <f>MAX(K23:K43)-MIN(K23:K43)</f>
        <v>24212419</v>
      </c>
      <c r="G13" s="269">
        <f>MEDIAN(K23:K43)</f>
        <v>24652534</v>
      </c>
      <c r="H13" s="270"/>
      <c r="I13" s="1" t="s">
        <v>30</v>
      </c>
      <c r="J13" s="4">
        <f>+F12*1.1</f>
        <v>30345578.661538463</v>
      </c>
      <c r="K13" s="1" t="s">
        <v>70</v>
      </c>
    </row>
    <row r="14" spans="1:13" x14ac:dyDescent="0.25">
      <c r="H14" s="11"/>
    </row>
    <row r="15" spans="1:13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3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0.74576271186440679</v>
      </c>
    </row>
    <row r="18" spans="3:15" x14ac:dyDescent="0.25">
      <c r="F18" s="4">
        <f>+F7</f>
        <v>22000000</v>
      </c>
      <c r="G18" s="1" t="s">
        <v>12</v>
      </c>
      <c r="H18" s="11"/>
      <c r="I18" t="s">
        <v>16</v>
      </c>
      <c r="J18" s="7">
        <f>+F8/F18</f>
        <v>0.90858586363636362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0.66629629999999995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439</v>
      </c>
      <c r="E23" s="33"/>
      <c r="F23" t="s">
        <v>147</v>
      </c>
      <c r="G23" t="s">
        <v>93</v>
      </c>
      <c r="H23">
        <f t="shared" ref="H23:H35" si="0">RANK(K23,K$23:K$43,1)</f>
        <v>2</v>
      </c>
      <c r="I23" s="4">
        <v>12920145</v>
      </c>
      <c r="J23" s="4">
        <v>9412001</v>
      </c>
      <c r="K23" s="4">
        <f>+J23+I23</f>
        <v>22332146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1210</v>
      </c>
      <c r="E24" s="33"/>
      <c r="F24" t="s">
        <v>350</v>
      </c>
      <c r="G24" t="s">
        <v>93</v>
      </c>
      <c r="H24">
        <f t="shared" si="0"/>
        <v>5</v>
      </c>
      <c r="I24" s="4">
        <v>12211025</v>
      </c>
      <c r="J24" s="4">
        <v>11541228</v>
      </c>
      <c r="K24" s="4">
        <f t="shared" ref="K24:K35" si="1">+J24+I24</f>
        <v>23752253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542</v>
      </c>
      <c r="E25" s="33"/>
      <c r="F25" t="s">
        <v>161</v>
      </c>
      <c r="G25" t="s">
        <v>93</v>
      </c>
      <c r="H25">
        <f t="shared" si="0"/>
        <v>8</v>
      </c>
      <c r="I25" s="4">
        <v>12098100</v>
      </c>
      <c r="J25" s="4">
        <v>13460683</v>
      </c>
      <c r="K25" s="4">
        <f t="shared" si="1"/>
        <v>25558783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11" t="s">
        <v>1083</v>
      </c>
      <c r="E26" s="33"/>
      <c r="F26" t="s">
        <v>95</v>
      </c>
      <c r="G26" t="s">
        <v>93</v>
      </c>
      <c r="H26">
        <f t="shared" si="0"/>
        <v>7</v>
      </c>
      <c r="I26" s="4">
        <v>17503300</v>
      </c>
      <c r="J26" s="4">
        <v>7149234</v>
      </c>
      <c r="K26" s="4">
        <f t="shared" si="1"/>
        <v>24652534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11" t="s">
        <v>968</v>
      </c>
      <c r="E27" s="33"/>
      <c r="F27" t="s">
        <v>203</v>
      </c>
      <c r="G27" t="s">
        <v>204</v>
      </c>
      <c r="H27">
        <f t="shared" si="0"/>
        <v>12</v>
      </c>
      <c r="I27" s="4">
        <v>18684470</v>
      </c>
      <c r="J27" s="4">
        <v>16242408</v>
      </c>
      <c r="K27" s="4">
        <f t="shared" si="1"/>
        <v>34926878</v>
      </c>
      <c r="L27" s="4"/>
      <c r="M27" s="22"/>
      <c r="N27" s="22"/>
      <c r="O27" s="22"/>
    </row>
    <row r="28" spans="3:15" x14ac:dyDescent="0.25">
      <c r="C28" s="33" t="str">
        <f>IF(H28=1,"u","")</f>
        <v>u</v>
      </c>
      <c r="D28" s="11" t="s">
        <v>1211</v>
      </c>
      <c r="E28" s="33"/>
      <c r="F28" t="s">
        <v>558</v>
      </c>
      <c r="G28" t="s">
        <v>25</v>
      </c>
      <c r="H28">
        <f t="shared" si="0"/>
        <v>1</v>
      </c>
      <c r="I28" s="4">
        <v>11951450</v>
      </c>
      <c r="J28" s="4">
        <v>8037439</v>
      </c>
      <c r="K28" s="4">
        <f t="shared" si="1"/>
        <v>19988889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11" t="s">
        <v>347</v>
      </c>
      <c r="E29" s="33"/>
      <c r="F29" t="s">
        <v>147</v>
      </c>
      <c r="G29" t="s">
        <v>93</v>
      </c>
      <c r="H29">
        <f t="shared" si="0"/>
        <v>3</v>
      </c>
      <c r="I29" s="4">
        <v>12832500</v>
      </c>
      <c r="J29" s="4">
        <v>9745555</v>
      </c>
      <c r="K29" s="4">
        <f t="shared" si="1"/>
        <v>22578055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11" t="s">
        <v>1212</v>
      </c>
      <c r="E30" s="33"/>
      <c r="F30" t="s">
        <v>147</v>
      </c>
      <c r="G30" t="s">
        <v>93</v>
      </c>
      <c r="H30">
        <f t="shared" si="0"/>
        <v>13</v>
      </c>
      <c r="I30" s="4">
        <v>25656140</v>
      </c>
      <c r="J30" s="4">
        <v>18545168</v>
      </c>
      <c r="K30" s="4">
        <f t="shared" si="1"/>
        <v>44201308</v>
      </c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 t="s">
        <v>541</v>
      </c>
      <c r="E31" s="33"/>
      <c r="F31" t="s">
        <v>159</v>
      </c>
      <c r="G31" t="s">
        <v>93</v>
      </c>
      <c r="H31">
        <f t="shared" si="0"/>
        <v>10</v>
      </c>
      <c r="I31" s="4">
        <v>17442950</v>
      </c>
      <c r="J31" s="4">
        <v>14000000</v>
      </c>
      <c r="K31" s="4">
        <f t="shared" si="1"/>
        <v>31442950</v>
      </c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 t="s">
        <v>1005</v>
      </c>
      <c r="E32" s="33"/>
      <c r="F32" t="s">
        <v>95</v>
      </c>
      <c r="G32" t="s">
        <v>93</v>
      </c>
      <c r="H32">
        <f t="shared" si="0"/>
        <v>11</v>
      </c>
      <c r="I32" s="4">
        <v>17964400</v>
      </c>
      <c r="J32" s="4">
        <v>16454200</v>
      </c>
      <c r="K32" s="4">
        <f t="shared" si="1"/>
        <v>34418600</v>
      </c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 t="s">
        <v>665</v>
      </c>
      <c r="E33" s="33"/>
      <c r="F33" t="s">
        <v>413</v>
      </c>
      <c r="G33" t="s">
        <v>93</v>
      </c>
      <c r="H33">
        <f t="shared" si="0"/>
        <v>6</v>
      </c>
      <c r="I33" s="4">
        <v>12359800</v>
      </c>
      <c r="J33" s="4">
        <v>11992851</v>
      </c>
      <c r="K33" s="4">
        <f t="shared" si="1"/>
        <v>24352651</v>
      </c>
      <c r="M33" s="21"/>
      <c r="N33" s="21"/>
      <c r="O33" s="21"/>
    </row>
    <row r="34" spans="3:15" x14ac:dyDescent="0.25">
      <c r="C34" s="33" t="str">
        <f t="shared" si="2"/>
        <v/>
      </c>
      <c r="D34" s="11" t="s">
        <v>679</v>
      </c>
      <c r="E34" s="33"/>
      <c r="F34" t="s">
        <v>193</v>
      </c>
      <c r="G34" t="s">
        <v>25</v>
      </c>
      <c r="H34">
        <f t="shared" si="0"/>
        <v>4</v>
      </c>
      <c r="I34" s="4">
        <v>12964340</v>
      </c>
      <c r="J34" s="4">
        <v>10512660</v>
      </c>
      <c r="K34" s="4">
        <f t="shared" si="1"/>
        <v>23477000</v>
      </c>
      <c r="M34" s="21"/>
      <c r="N34" s="21"/>
      <c r="O34" s="21"/>
    </row>
    <row r="35" spans="3:15" x14ac:dyDescent="0.25">
      <c r="C35" s="33" t="str">
        <f t="shared" si="2"/>
        <v/>
      </c>
      <c r="D35" s="11" t="s">
        <v>440</v>
      </c>
      <c r="E35" s="33"/>
      <c r="F35" t="s">
        <v>193</v>
      </c>
      <c r="G35" t="s">
        <v>25</v>
      </c>
      <c r="H35">
        <f t="shared" si="0"/>
        <v>9</v>
      </c>
      <c r="I35" s="4">
        <v>15375475</v>
      </c>
      <c r="J35" s="4">
        <v>11572044</v>
      </c>
      <c r="K35" s="4">
        <f t="shared" si="1"/>
        <v>26947519</v>
      </c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2565" priority="35" operator="containsText" text="FAIL">
      <formula>NOT(ISERROR(SEARCH("FAIL",I9)))</formula>
    </cfRule>
  </conditionalFormatting>
  <conditionalFormatting sqref="I9">
    <cfRule type="containsText" dxfId="2564" priority="34" operator="containsText" text="GOOD">
      <formula>NOT(ISERROR(SEARCH("GOOD",I9)))</formula>
    </cfRule>
  </conditionalFormatting>
  <conditionalFormatting sqref="I9">
    <cfRule type="containsText" dxfId="2563" priority="33" operator="containsText" text="FAIL">
      <formula>NOT(ISERROR(SEARCH("FAIL",I9)))</formula>
    </cfRule>
  </conditionalFormatting>
  <conditionalFormatting sqref="I9">
    <cfRule type="containsText" dxfId="2562" priority="32" operator="containsText" text="GOOD">
      <formula>NOT(ISERROR(SEARCH("GOOD",I9)))</formula>
    </cfRule>
  </conditionalFormatting>
  <conditionalFormatting sqref="I9">
    <cfRule type="containsText" dxfId="2561" priority="31" operator="containsText" text="FAIL">
      <formula>NOT(ISERROR(SEARCH("FAIL",I9)))</formula>
    </cfRule>
  </conditionalFormatting>
  <conditionalFormatting sqref="I9">
    <cfRule type="containsText" dxfId="2560" priority="30" operator="containsText" text="GOOD">
      <formula>NOT(ISERROR(SEARCH("GOOD",I9)))</formula>
    </cfRule>
  </conditionalFormatting>
  <conditionalFormatting sqref="F11">
    <cfRule type="containsText" dxfId="2559" priority="29" operator="containsText" text="FAIL">
      <formula>NOT(ISERROR(SEARCH("FAIL",F11)))</formula>
    </cfRule>
  </conditionalFormatting>
  <conditionalFormatting sqref="F11">
    <cfRule type="containsText" dxfId="2558" priority="28" operator="containsText" text="GOOD">
      <formula>NOT(ISERROR(SEARCH("GOOD",F11)))</formula>
    </cfRule>
  </conditionalFormatting>
  <conditionalFormatting sqref="I9">
    <cfRule type="containsText" dxfId="2557" priority="27" operator="containsText" text="FAIL">
      <formula>NOT(ISERROR(SEARCH("FAIL",I9)))</formula>
    </cfRule>
  </conditionalFormatting>
  <conditionalFormatting sqref="I9">
    <cfRule type="containsText" dxfId="2556" priority="26" operator="containsText" text="GOOD">
      <formula>NOT(ISERROR(SEARCH("GOOD",I9)))</formula>
    </cfRule>
  </conditionalFormatting>
  <conditionalFormatting sqref="F11">
    <cfRule type="containsText" dxfId="2555" priority="25" operator="containsText" text="FAIL">
      <formula>NOT(ISERROR(SEARCH("FAIL",F11)))</formula>
    </cfRule>
  </conditionalFormatting>
  <conditionalFormatting sqref="F11">
    <cfRule type="containsText" dxfId="2554" priority="24" operator="containsText" text="GOOD">
      <formula>NOT(ISERROR(SEARCH("GOOD",F11)))</formula>
    </cfRule>
  </conditionalFormatting>
  <conditionalFormatting sqref="D25">
    <cfRule type="expression" dxfId="2553" priority="23" stopIfTrue="1">
      <formula>IF($H$25=1,0)</formula>
    </cfRule>
  </conditionalFormatting>
  <conditionalFormatting sqref="D39:D43 D25:D33">
    <cfRule type="expression" dxfId="2552" priority="22">
      <formula>H25=1</formula>
    </cfRule>
  </conditionalFormatting>
  <conditionalFormatting sqref="C23 C39:C43 C25:C33">
    <cfRule type="expression" dxfId="2551" priority="21">
      <formula>H23=1</formula>
    </cfRule>
  </conditionalFormatting>
  <conditionalFormatting sqref="E39:E43 E25:E33">
    <cfRule type="expression" dxfId="2550" priority="20">
      <formula>H25=1</formula>
    </cfRule>
  </conditionalFormatting>
  <conditionalFormatting sqref="E39:E43 E25:E33">
    <cfRule type="expression" dxfId="2549" priority="19">
      <formula>H25=1</formula>
    </cfRule>
  </conditionalFormatting>
  <conditionalFormatting sqref="F11">
    <cfRule type="containsText" dxfId="2548" priority="18" operator="containsText" text="FAIL">
      <formula>NOT(ISERROR(SEARCH("FAIL",F11)))</formula>
    </cfRule>
  </conditionalFormatting>
  <conditionalFormatting sqref="F11">
    <cfRule type="containsText" dxfId="2547" priority="17" operator="containsText" text="GOOD">
      <formula>NOT(ISERROR(SEARCH("GOOD",F11)))</formula>
    </cfRule>
  </conditionalFormatting>
  <conditionalFormatting sqref="D34:D37">
    <cfRule type="expression" dxfId="2546" priority="16">
      <formula>H34=1</formula>
    </cfRule>
  </conditionalFormatting>
  <conditionalFormatting sqref="C34:C37">
    <cfRule type="expression" dxfId="2545" priority="15">
      <formula>H34=1</formula>
    </cfRule>
  </conditionalFormatting>
  <conditionalFormatting sqref="E34:E37">
    <cfRule type="expression" dxfId="2544" priority="14">
      <formula>H34=1</formula>
    </cfRule>
  </conditionalFormatting>
  <conditionalFormatting sqref="E34:E37">
    <cfRule type="expression" dxfId="2543" priority="13">
      <formula>H34=1</formula>
    </cfRule>
  </conditionalFormatting>
  <conditionalFormatting sqref="D38">
    <cfRule type="expression" dxfId="2542" priority="12">
      <formula>H38=1</formula>
    </cfRule>
  </conditionalFormatting>
  <conditionalFormatting sqref="C38">
    <cfRule type="expression" dxfId="2541" priority="11">
      <formula>H38=1</formula>
    </cfRule>
  </conditionalFormatting>
  <conditionalFormatting sqref="E38">
    <cfRule type="expression" dxfId="2540" priority="10">
      <formula>H38=1</formula>
    </cfRule>
  </conditionalFormatting>
  <conditionalFormatting sqref="E38">
    <cfRule type="expression" dxfId="2539" priority="9">
      <formula>H38=1</formula>
    </cfRule>
  </conditionalFormatting>
  <conditionalFormatting sqref="E24">
    <cfRule type="expression" dxfId="2538" priority="4">
      <formula>H24=1</formula>
    </cfRule>
  </conditionalFormatting>
  <conditionalFormatting sqref="D24">
    <cfRule type="expression" dxfId="2537" priority="8" stopIfTrue="1">
      <formula>IF($H$25=1,0)</formula>
    </cfRule>
  </conditionalFormatting>
  <conditionalFormatting sqref="D24">
    <cfRule type="expression" dxfId="2536" priority="7">
      <formula>H24=1</formula>
    </cfRule>
  </conditionalFormatting>
  <conditionalFormatting sqref="C24">
    <cfRule type="expression" dxfId="2535" priority="6">
      <formula>H24=1</formula>
    </cfRule>
  </conditionalFormatting>
  <conditionalFormatting sqref="E24">
    <cfRule type="expression" dxfId="2534" priority="5">
      <formula>H24=1</formula>
    </cfRule>
  </conditionalFormatting>
  <conditionalFormatting sqref="D23">
    <cfRule type="expression" dxfId="2533" priority="3">
      <formula>H23=1</formula>
    </cfRule>
  </conditionalFormatting>
  <conditionalFormatting sqref="E23">
    <cfRule type="expression" dxfId="2532" priority="2">
      <formula>H23=1</formula>
    </cfRule>
  </conditionalFormatting>
  <conditionalFormatting sqref="E23">
    <cfRule type="expression" dxfId="2531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:P47"/>
  <sheetViews>
    <sheetView zoomScaleNormal="100" workbookViewId="0">
      <selection activeCell="K23" sqref="K2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1205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1206</v>
      </c>
    </row>
    <row r="6" spans="1:16" x14ac:dyDescent="0.25">
      <c r="D6" s="2" t="s">
        <v>2</v>
      </c>
      <c r="F6" s="6">
        <v>43118</v>
      </c>
      <c r="H6" s="11"/>
    </row>
    <row r="7" spans="1:16" x14ac:dyDescent="0.25">
      <c r="D7" s="2" t="s">
        <v>3</v>
      </c>
      <c r="F7" s="5">
        <v>26900000</v>
      </c>
      <c r="G7" s="2" t="s">
        <v>756</v>
      </c>
      <c r="H7" s="11"/>
    </row>
    <row r="8" spans="1:16" x14ac:dyDescent="0.25">
      <c r="D8" s="2" t="s">
        <v>18</v>
      </c>
      <c r="F8" s="5">
        <f>MIN(I23:I43)</f>
        <v>24990000</v>
      </c>
      <c r="H8" s="11"/>
    </row>
    <row r="9" spans="1:16" x14ac:dyDescent="0.25">
      <c r="D9" s="2" t="s">
        <v>67</v>
      </c>
      <c r="F9" s="4">
        <f>+F8-F7</f>
        <v>-1910000</v>
      </c>
      <c r="G9" s="16">
        <f>+F9/F7</f>
        <v>-7.1003717472118963E-2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-8117000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35017000</v>
      </c>
      <c r="G12" s="14"/>
      <c r="H12" s="11">
        <f>COUNT(I23:I43)</f>
        <v>2</v>
      </c>
      <c r="I12" s="1" t="s">
        <v>31</v>
      </c>
      <c r="J12" s="4">
        <f>+F8*0.9</f>
        <v>22491000</v>
      </c>
      <c r="K12" s="1" t="s">
        <v>69</v>
      </c>
    </row>
    <row r="13" spans="1:16" x14ac:dyDescent="0.25">
      <c r="D13" s="2" t="s">
        <v>29</v>
      </c>
      <c r="F13" s="4">
        <f>MAX(I23:I43)-MIN(I23:I43)</f>
        <v>20054000</v>
      </c>
      <c r="G13" s="269">
        <f>MEDIAN(I23:I43)</f>
        <v>35017000</v>
      </c>
      <c r="H13" s="270"/>
      <c r="I13" s="1" t="s">
        <v>30</v>
      </c>
      <c r="J13" s="4">
        <f>+F12*1.1</f>
        <v>38518700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1207</v>
      </c>
      <c r="E23" s="33"/>
      <c r="F23" t="s">
        <v>95</v>
      </c>
      <c r="G23" t="s">
        <v>93</v>
      </c>
      <c r="H23">
        <f>RANK(I23,I$23:I$43,1)</f>
        <v>1</v>
      </c>
      <c r="I23" s="4">
        <v>24990000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496</v>
      </c>
      <c r="E24" s="33"/>
      <c r="F24" t="s">
        <v>295</v>
      </c>
      <c r="G24" t="s">
        <v>25</v>
      </c>
      <c r="H24">
        <f>RANK(I24,I$23:I$43,1)</f>
        <v>2</v>
      </c>
      <c r="I24" s="4">
        <v>45044000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530" priority="18" operator="containsText" text="FAIL">
      <formula>NOT(ISERROR(SEARCH("FAIL",I9)))</formula>
    </cfRule>
  </conditionalFormatting>
  <conditionalFormatting sqref="I9">
    <cfRule type="containsText" dxfId="2529" priority="17" operator="containsText" text="GOOD">
      <formula>NOT(ISERROR(SEARCH("GOOD",I9)))</formula>
    </cfRule>
  </conditionalFormatting>
  <conditionalFormatting sqref="F11">
    <cfRule type="containsText" dxfId="2528" priority="16" operator="containsText" text="FAIL">
      <formula>NOT(ISERROR(SEARCH("FAIL",F11)))</formula>
    </cfRule>
  </conditionalFormatting>
  <conditionalFormatting sqref="F11">
    <cfRule type="containsText" dxfId="2527" priority="15" operator="containsText" text="GOOD">
      <formula>NOT(ISERROR(SEARCH("GOOD",F11)))</formula>
    </cfRule>
  </conditionalFormatting>
  <conditionalFormatting sqref="D25">
    <cfRule type="expression" dxfId="2526" priority="14" stopIfTrue="1">
      <formula>IF($H$25=1,0)</formula>
    </cfRule>
  </conditionalFormatting>
  <conditionalFormatting sqref="D23 D29:D43 D25">
    <cfRule type="expression" dxfId="2525" priority="13">
      <formula>H23=1</formula>
    </cfRule>
  </conditionalFormatting>
  <conditionalFormatting sqref="C23:C26 C29:C43">
    <cfRule type="expression" dxfId="2524" priority="12">
      <formula>H23=1</formula>
    </cfRule>
  </conditionalFormatting>
  <conditionalFormatting sqref="E23 E29:E43 E25">
    <cfRule type="expression" dxfId="2523" priority="11">
      <formula>H23=1</formula>
    </cfRule>
  </conditionalFormatting>
  <conditionalFormatting sqref="F11">
    <cfRule type="containsText" dxfId="2522" priority="10" operator="containsText" text="FAIL">
      <formula>NOT(ISERROR(SEARCH("FAIL",F11)))</formula>
    </cfRule>
  </conditionalFormatting>
  <conditionalFormatting sqref="F11">
    <cfRule type="containsText" dxfId="2521" priority="9" operator="containsText" text="GOOD">
      <formula>NOT(ISERROR(SEARCH("GOOD",F11)))</formula>
    </cfRule>
  </conditionalFormatting>
  <conditionalFormatting sqref="D27:D28">
    <cfRule type="expression" dxfId="2520" priority="8">
      <formula>H27=1</formula>
    </cfRule>
  </conditionalFormatting>
  <conditionalFormatting sqref="C27:C28">
    <cfRule type="expression" dxfId="2519" priority="7">
      <formula>H27=1</formula>
    </cfRule>
  </conditionalFormatting>
  <conditionalFormatting sqref="E27:E28">
    <cfRule type="expression" dxfId="2518" priority="6">
      <formula>H27=1</formula>
    </cfRule>
  </conditionalFormatting>
  <conditionalFormatting sqref="D24">
    <cfRule type="expression" dxfId="2517" priority="5" stopIfTrue="1">
      <formula>IF($H$25=1,0)</formula>
    </cfRule>
  </conditionalFormatting>
  <conditionalFormatting sqref="D24">
    <cfRule type="expression" dxfId="2516" priority="4">
      <formula>H24=1</formula>
    </cfRule>
  </conditionalFormatting>
  <conditionalFormatting sqref="E24">
    <cfRule type="expression" dxfId="2515" priority="3">
      <formula>H24=1</formula>
    </cfRule>
  </conditionalFormatting>
  <conditionalFormatting sqref="D26">
    <cfRule type="expression" dxfId="2514" priority="2">
      <formula>H26=1</formula>
    </cfRule>
  </conditionalFormatting>
  <conditionalFormatting sqref="E26">
    <cfRule type="expression" dxfId="2513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rgb="FFFF0000"/>
  </sheetPr>
  <dimension ref="A2:P47"/>
  <sheetViews>
    <sheetView zoomScaleNormal="100" workbookViewId="0">
      <selection activeCell="N34" sqref="N34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1201</v>
      </c>
      <c r="I4" s="2" t="s">
        <v>4</v>
      </c>
      <c r="J4" t="s">
        <v>447</v>
      </c>
    </row>
    <row r="5" spans="1:15" x14ac:dyDescent="0.25">
      <c r="D5" s="2" t="s">
        <v>1</v>
      </c>
      <c r="F5" t="s">
        <v>1202</v>
      </c>
    </row>
    <row r="6" spans="1:15" x14ac:dyDescent="0.25">
      <c r="D6" s="2" t="s">
        <v>2</v>
      </c>
      <c r="F6" s="6">
        <v>43117</v>
      </c>
      <c r="H6" s="11"/>
    </row>
    <row r="7" spans="1:15" x14ac:dyDescent="0.25">
      <c r="D7" s="2" t="s">
        <v>3</v>
      </c>
      <c r="F7" s="5">
        <f>+L7+K7+J7+I7+(M7*K7)-3000</f>
        <v>69482300</v>
      </c>
      <c r="G7" s="2" t="s">
        <v>756</v>
      </c>
      <c r="H7" s="11"/>
      <c r="I7" s="19">
        <v>0</v>
      </c>
      <c r="J7" s="19">
        <v>55800000</v>
      </c>
      <c r="K7" s="19">
        <v>5623000</v>
      </c>
      <c r="L7" s="160">
        <v>7500000</v>
      </c>
      <c r="M7" s="20">
        <v>0.1</v>
      </c>
    </row>
    <row r="8" spans="1:15" x14ac:dyDescent="0.25">
      <c r="D8" s="2" t="s">
        <v>18</v>
      </c>
      <c r="F8" s="5">
        <f>MIN(M23:M43)</f>
        <v>107107070</v>
      </c>
      <c r="H8" s="11"/>
      <c r="I8" s="18" t="s">
        <v>43</v>
      </c>
      <c r="J8" s="18" t="s">
        <v>44</v>
      </c>
      <c r="K8" s="18" t="s">
        <v>49</v>
      </c>
      <c r="L8" s="18" t="s">
        <v>1203</v>
      </c>
      <c r="M8" s="18" t="s">
        <v>50</v>
      </c>
    </row>
    <row r="9" spans="1:15" x14ac:dyDescent="0.25">
      <c r="D9" s="2" t="s">
        <v>19</v>
      </c>
      <c r="F9" s="4">
        <f>+F8-F7</f>
        <v>37624770</v>
      </c>
      <c r="G9" s="16">
        <f>+F9/F7</f>
        <v>0.54150150469975811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5" x14ac:dyDescent="0.25">
      <c r="D10" s="2" t="s">
        <v>68</v>
      </c>
      <c r="F10" s="4">
        <f>+F7-F12</f>
        <v>-52283460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FAIL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121765760</v>
      </c>
      <c r="G12" s="14"/>
      <c r="H12" s="11">
        <f>COUNT(M23:M43)</f>
        <v>2</v>
      </c>
      <c r="I12" s="1" t="s">
        <v>31</v>
      </c>
      <c r="J12" s="4">
        <f>+F8*0.9</f>
        <v>96396363</v>
      </c>
      <c r="K12" s="1" t="s">
        <v>69</v>
      </c>
      <c r="L12" s="1"/>
      <c r="O12" t="str">
        <f>INDEX(D23:D43,MATCH(1,H23:H43,0))</f>
        <v>The Morganti Group</v>
      </c>
    </row>
    <row r="13" spans="1:15" x14ac:dyDescent="0.25">
      <c r="D13" s="2" t="s">
        <v>29</v>
      </c>
      <c r="F13" s="4">
        <f>MAX(M23:M43)-MIN(M23:M43)</f>
        <v>29317380</v>
      </c>
      <c r="G13" s="269">
        <f>MEDIAN(M23:M43)</f>
        <v>121765760</v>
      </c>
      <c r="H13" s="270"/>
      <c r="I13" s="1" t="s">
        <v>30</v>
      </c>
      <c r="J13" s="4">
        <f>+F12*1.1</f>
        <v>133942336.00000001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5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6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6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1204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>IF(H23=1,"u","")</f>
        <v/>
      </c>
      <c r="D23" s="11" t="s">
        <v>592</v>
      </c>
      <c r="E23" s="33"/>
      <c r="F23" t="s">
        <v>88</v>
      </c>
      <c r="G23" t="s">
        <v>25</v>
      </c>
      <c r="H23">
        <f>RANK(M23,M$23:M$43,1)</f>
        <v>2</v>
      </c>
      <c r="I23" s="4">
        <v>0</v>
      </c>
      <c r="J23" s="4">
        <v>96461000</v>
      </c>
      <c r="K23" s="4">
        <v>33497000</v>
      </c>
      <c r="L23" s="7">
        <v>0.15</v>
      </c>
      <c r="M23" s="4">
        <f>+K23+I23+J23+(L23*K$7)+$K$7</f>
        <v>136424450</v>
      </c>
      <c r="N23" s="22"/>
      <c r="O23" s="22">
        <f>+L23*$K$7</f>
        <v>843450</v>
      </c>
      <c r="P23" s="22"/>
    </row>
    <row r="24" spans="3:16" x14ac:dyDescent="0.25">
      <c r="C24" s="33" t="str">
        <f>IF(H24=1,"u","")</f>
        <v>u</v>
      </c>
      <c r="D24" s="11" t="s">
        <v>968</v>
      </c>
      <c r="E24" s="33"/>
      <c r="F24" t="s">
        <v>203</v>
      </c>
      <c r="G24" t="s">
        <v>204</v>
      </c>
      <c r="H24">
        <f>RANK(M24,M$23:M$43,1)</f>
        <v>1</v>
      </c>
      <c r="I24" s="4">
        <v>0</v>
      </c>
      <c r="J24" s="4">
        <v>79034283</v>
      </c>
      <c r="K24" s="4">
        <v>21746912</v>
      </c>
      <c r="L24" s="7">
        <v>0.125</v>
      </c>
      <c r="M24" s="4">
        <f>+K24+I24+J24+(L24*K$7)+$K$7</f>
        <v>107107070</v>
      </c>
      <c r="N24" s="22"/>
      <c r="O24" s="22">
        <f>+L24*$K$7</f>
        <v>702875</v>
      </c>
      <c r="P24" s="22"/>
    </row>
    <row r="25" spans="3:16" x14ac:dyDescent="0.25">
      <c r="C25" s="33"/>
      <c r="D25" s="11"/>
      <c r="E25" s="33"/>
      <c r="I25" s="4"/>
      <c r="J25" s="4"/>
      <c r="K25" s="4"/>
      <c r="L25" s="7"/>
      <c r="M25" s="4"/>
      <c r="N25" s="22"/>
      <c r="O25" s="22"/>
      <c r="P25" s="22"/>
    </row>
    <row r="26" spans="3:16" x14ac:dyDescent="0.25">
      <c r="C26" s="33"/>
      <c r="D26" s="11"/>
      <c r="E26" s="33"/>
      <c r="I26" s="4"/>
      <c r="J26" s="4"/>
      <c r="K26" s="4"/>
      <c r="L26" s="7"/>
      <c r="M26" s="4"/>
      <c r="N26" s="22"/>
      <c r="O26" s="22"/>
      <c r="P26" s="22"/>
    </row>
    <row r="27" spans="3:16" x14ac:dyDescent="0.25">
      <c r="C27" s="33" t="str">
        <f t="shared" ref="C27:C43" si="0">IF(H27=1,"u","")</f>
        <v/>
      </c>
      <c r="D27" s="11"/>
      <c r="E27" s="33"/>
      <c r="I27" s="4"/>
      <c r="J27" s="4"/>
      <c r="K27" s="4"/>
      <c r="L27" s="7"/>
      <c r="M27" s="4"/>
      <c r="N27" s="22"/>
      <c r="O27" s="22"/>
      <c r="P27" s="22"/>
    </row>
    <row r="28" spans="3:16" x14ac:dyDescent="0.25">
      <c r="C28" s="33"/>
      <c r="D28" s="11"/>
      <c r="E28" s="33"/>
      <c r="I28" s="4"/>
      <c r="J28" s="4"/>
      <c r="K28" s="7"/>
      <c r="L28" s="7"/>
      <c r="M28" s="4"/>
      <c r="N28" s="22"/>
      <c r="O28" s="22"/>
      <c r="P28" s="22"/>
    </row>
    <row r="29" spans="3:16" x14ac:dyDescent="0.25">
      <c r="C29" s="33"/>
      <c r="D29" s="11"/>
      <c r="E29" s="33"/>
      <c r="I29" s="4"/>
      <c r="J29" s="4"/>
      <c r="K29" s="7"/>
      <c r="L29" s="7"/>
      <c r="M29" s="4"/>
      <c r="N29" s="22"/>
      <c r="O29" s="22"/>
      <c r="P29" s="22"/>
    </row>
    <row r="30" spans="3:16" x14ac:dyDescent="0.25">
      <c r="C30" s="33" t="str">
        <f t="shared" si="0"/>
        <v/>
      </c>
      <c r="D30" s="11"/>
      <c r="E30" s="33" t="str">
        <f t="shared" ref="E30:E43" si="1">IF(H30=1,"t","")</f>
        <v/>
      </c>
      <c r="I30" s="4"/>
      <c r="J30" s="4"/>
      <c r="K30" s="7"/>
      <c r="L30" s="7"/>
      <c r="M30" s="4"/>
      <c r="N30" s="22"/>
      <c r="O30" s="22"/>
      <c r="P30" s="22"/>
    </row>
    <row r="31" spans="3:16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7"/>
      <c r="L31" s="7"/>
      <c r="M31" s="4"/>
      <c r="N31" s="22"/>
      <c r="O31" s="22"/>
      <c r="P31" s="22"/>
    </row>
    <row r="32" spans="3:16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7"/>
      <c r="L32" s="7"/>
      <c r="M32" s="4"/>
      <c r="N32" s="22"/>
      <c r="O32" s="22"/>
      <c r="P32" s="22"/>
    </row>
    <row r="33" spans="3:16" x14ac:dyDescent="0.25">
      <c r="C33" s="33" t="str">
        <f t="shared" si="0"/>
        <v/>
      </c>
      <c r="D33" s="11"/>
      <c r="E33" s="33" t="str">
        <f t="shared" si="1"/>
        <v/>
      </c>
      <c r="I33" s="4"/>
      <c r="J33" s="4"/>
      <c r="K33" s="7"/>
      <c r="L33" s="7"/>
      <c r="M33" s="4"/>
      <c r="N33" s="21"/>
      <c r="O33" s="21"/>
      <c r="P33" s="21"/>
    </row>
    <row r="34" spans="3:16" x14ac:dyDescent="0.25">
      <c r="C34" s="33" t="str">
        <f t="shared" si="0"/>
        <v/>
      </c>
      <c r="D34" s="11"/>
      <c r="E34" s="33" t="str">
        <f t="shared" si="1"/>
        <v/>
      </c>
      <c r="K34" s="7"/>
      <c r="L34" s="7"/>
      <c r="N34" s="21"/>
      <c r="O34" s="21"/>
      <c r="P34" s="21"/>
    </row>
    <row r="35" spans="3:16" x14ac:dyDescent="0.25">
      <c r="C35" s="33" t="str">
        <f t="shared" si="0"/>
        <v/>
      </c>
      <c r="D35" s="11"/>
      <c r="E35" s="33" t="str">
        <f t="shared" si="1"/>
        <v/>
      </c>
      <c r="K35" s="7"/>
      <c r="L35" s="7"/>
      <c r="N35" s="21"/>
      <c r="O35" s="21"/>
      <c r="P35" s="21"/>
    </row>
    <row r="36" spans="3:16" x14ac:dyDescent="0.25">
      <c r="C36" s="33" t="str">
        <f t="shared" si="0"/>
        <v/>
      </c>
      <c r="D36" s="11"/>
      <c r="E36" s="33" t="str">
        <f t="shared" si="1"/>
        <v/>
      </c>
      <c r="K36" s="7"/>
      <c r="L36" s="7"/>
      <c r="N36" s="21"/>
      <c r="O36" s="21"/>
      <c r="P36" s="21"/>
    </row>
    <row r="37" spans="3:16" x14ac:dyDescent="0.25">
      <c r="C37" s="33" t="str">
        <f t="shared" si="0"/>
        <v/>
      </c>
      <c r="D37" s="11"/>
      <c r="E37" s="33" t="str">
        <f t="shared" si="1"/>
        <v/>
      </c>
      <c r="K37" s="7"/>
      <c r="L37" s="7"/>
      <c r="N37" s="21"/>
      <c r="O37" s="21"/>
      <c r="P37" s="21"/>
    </row>
    <row r="38" spans="3:16" x14ac:dyDescent="0.25">
      <c r="C38" s="33" t="str">
        <f t="shared" si="0"/>
        <v/>
      </c>
      <c r="D38" s="11"/>
      <c r="E38" s="33" t="str">
        <f t="shared" si="1"/>
        <v/>
      </c>
      <c r="K38" s="7"/>
      <c r="L38" s="7"/>
      <c r="N38" s="21"/>
      <c r="O38" s="21"/>
      <c r="P38" s="21"/>
    </row>
    <row r="39" spans="3:16" x14ac:dyDescent="0.25">
      <c r="C39" s="33" t="str">
        <f t="shared" si="0"/>
        <v/>
      </c>
      <c r="D39" s="11"/>
      <c r="E39" s="33" t="str">
        <f t="shared" si="1"/>
        <v/>
      </c>
      <c r="K39" s="7"/>
      <c r="L39" s="7"/>
      <c r="N39" s="21"/>
      <c r="O39" s="21"/>
      <c r="P39" s="21"/>
    </row>
    <row r="40" spans="3:16" x14ac:dyDescent="0.25">
      <c r="C40" s="33" t="str">
        <f t="shared" si="0"/>
        <v/>
      </c>
      <c r="D40" s="11"/>
      <c r="E40" s="33" t="str">
        <f t="shared" si="1"/>
        <v/>
      </c>
      <c r="K40" s="7"/>
      <c r="L40" s="7"/>
      <c r="N40" s="21"/>
      <c r="O40" s="21"/>
      <c r="P40" s="21"/>
    </row>
    <row r="41" spans="3:16" x14ac:dyDescent="0.25">
      <c r="C41" s="33" t="str">
        <f t="shared" si="0"/>
        <v/>
      </c>
      <c r="D41" s="11"/>
      <c r="E41" s="33" t="str">
        <f t="shared" si="1"/>
        <v/>
      </c>
      <c r="K41" s="7"/>
      <c r="L41" s="7"/>
      <c r="N41" s="21"/>
      <c r="O41" s="21"/>
      <c r="P41" s="21"/>
    </row>
    <row r="42" spans="3:16" x14ac:dyDescent="0.25">
      <c r="C42" s="33" t="str">
        <f t="shared" si="0"/>
        <v/>
      </c>
      <c r="D42" s="11"/>
      <c r="E42" s="33" t="str">
        <f t="shared" si="1"/>
        <v/>
      </c>
      <c r="K42" s="7"/>
      <c r="L42" s="7"/>
      <c r="N42" s="21"/>
      <c r="O42" s="21"/>
      <c r="P42" s="21"/>
    </row>
    <row r="43" spans="3:16" x14ac:dyDescent="0.25">
      <c r="C43" s="33" t="str">
        <f t="shared" si="0"/>
        <v/>
      </c>
      <c r="D43" s="11"/>
      <c r="E43" s="33" t="str">
        <f t="shared" si="1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2512" priority="8" operator="containsText" text="FAIL">
      <formula>NOT(ISERROR(SEARCH("FAIL",F9)))</formula>
    </cfRule>
  </conditionalFormatting>
  <conditionalFormatting sqref="I9 F11">
    <cfRule type="containsText" dxfId="2511" priority="7" operator="containsText" text="GOOD">
      <formula>NOT(ISERROR(SEARCH("GOOD",F9)))</formula>
    </cfRule>
  </conditionalFormatting>
  <conditionalFormatting sqref="I9">
    <cfRule type="containsText" dxfId="2510" priority="6" operator="containsText" text="FAIL">
      <formula>NOT(ISERROR(SEARCH("FAIL",I9)))</formula>
    </cfRule>
  </conditionalFormatting>
  <conditionalFormatting sqref="I9">
    <cfRule type="containsText" dxfId="2509" priority="5" operator="containsText" text="GOOD">
      <formula>NOT(ISERROR(SEARCH("GOOD",I9)))</formula>
    </cfRule>
  </conditionalFormatting>
  <conditionalFormatting sqref="D25">
    <cfRule type="expression" dxfId="2508" priority="4" stopIfTrue="1">
      <formula>IF($H$25=1,0)</formula>
    </cfRule>
  </conditionalFormatting>
  <conditionalFormatting sqref="D23:D43">
    <cfRule type="expression" dxfId="2507" priority="3">
      <formula>H23=1</formula>
    </cfRule>
  </conditionalFormatting>
  <conditionalFormatting sqref="C23:C43">
    <cfRule type="expression" dxfId="2506" priority="2">
      <formula>H23=1</formula>
    </cfRule>
  </conditionalFormatting>
  <conditionalFormatting sqref="E23:E43">
    <cfRule type="expression" dxfId="2505" priority="1">
      <formula>H23=1</formula>
    </cfRule>
  </conditionalFormatting>
  <pageMargins left="0.7" right="0.7" top="0.75" bottom="0.75" header="0.3" footer="0.3"/>
  <pageSetup scale="7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:P47"/>
  <sheetViews>
    <sheetView zoomScaleNormal="100" workbookViewId="0">
      <selection activeCell="F12" sqref="F12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1198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1199</v>
      </c>
    </row>
    <row r="6" spans="1:16" x14ac:dyDescent="0.25">
      <c r="D6" s="2" t="s">
        <v>2</v>
      </c>
      <c r="F6" s="6">
        <v>43110</v>
      </c>
      <c r="H6" s="11"/>
    </row>
    <row r="7" spans="1:16" x14ac:dyDescent="0.25">
      <c r="D7" s="2" t="s">
        <v>3</v>
      </c>
      <c r="F7" s="5">
        <v>200000000</v>
      </c>
      <c r="G7" s="2" t="s">
        <v>190</v>
      </c>
      <c r="H7" s="11"/>
    </row>
    <row r="8" spans="1:16" x14ac:dyDescent="0.25">
      <c r="D8" s="2" t="s">
        <v>18</v>
      </c>
      <c r="F8" s="5">
        <f>MIN(I23:I43)</f>
        <v>108511400</v>
      </c>
      <c r="H8" s="11"/>
    </row>
    <row r="9" spans="1:16" x14ac:dyDescent="0.25">
      <c r="D9" s="2" t="s">
        <v>67</v>
      </c>
      <c r="F9" s="4">
        <f>+F8-F7</f>
        <v>-91488600</v>
      </c>
      <c r="G9" s="16">
        <f>+F9/F7</f>
        <v>-0.45744299999999999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63580320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136419680</v>
      </c>
      <c r="G12" s="14"/>
      <c r="H12" s="11">
        <f>COUNT(I23:I43)</f>
        <v>5</v>
      </c>
      <c r="I12" s="1" t="s">
        <v>31</v>
      </c>
      <c r="J12" s="4">
        <f>+F8*0.9</f>
        <v>97660260</v>
      </c>
      <c r="K12" s="1" t="s">
        <v>69</v>
      </c>
    </row>
    <row r="13" spans="1:16" x14ac:dyDescent="0.25">
      <c r="D13" s="2" t="s">
        <v>29</v>
      </c>
      <c r="F13" s="4">
        <f>MAX(I23:I43)-MIN(I23:I43)</f>
        <v>70938600</v>
      </c>
      <c r="G13" s="269">
        <f>MEDIAN(I23:I43)</f>
        <v>138000000</v>
      </c>
      <c r="H13" s="270"/>
      <c r="I13" s="1" t="s">
        <v>30</v>
      </c>
      <c r="J13" s="4">
        <f>+F12*1.1</f>
        <v>150061648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1200</v>
      </c>
      <c r="E23" s="33"/>
      <c r="F23" t="s">
        <v>100</v>
      </c>
      <c r="G23" t="s">
        <v>93</v>
      </c>
      <c r="H23">
        <f>RANK(I23,I$23:I$43,1)</f>
        <v>2</v>
      </c>
      <c r="I23" s="4">
        <v>112537000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1017</v>
      </c>
      <c r="E24" s="33"/>
      <c r="F24" t="s">
        <v>201</v>
      </c>
      <c r="G24" t="s">
        <v>25</v>
      </c>
      <c r="H24">
        <f>RANK(I24,I$23:I$43,1)</f>
        <v>5</v>
      </c>
      <c r="I24" s="4">
        <v>179450000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487</v>
      </c>
      <c r="E25" s="33"/>
      <c r="F25" t="s">
        <v>113</v>
      </c>
      <c r="G25" t="s">
        <v>25</v>
      </c>
      <c r="H25">
        <f>RANK(I25,I$23:I$43,1)</f>
        <v>4</v>
      </c>
      <c r="I25" s="4">
        <v>143600000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541</v>
      </c>
      <c r="E26" s="33"/>
      <c r="F26" t="s">
        <v>159</v>
      </c>
      <c r="G26" t="s">
        <v>93</v>
      </c>
      <c r="H26">
        <f>RANK(I26,I$23:I$43,1)</f>
        <v>3</v>
      </c>
      <c r="I26" s="4">
        <v>138000000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505</v>
      </c>
      <c r="E27" s="33"/>
      <c r="F27" t="s">
        <v>289</v>
      </c>
      <c r="G27" t="s">
        <v>93</v>
      </c>
      <c r="H27">
        <f>RANK(I27,I$23:I$43,1)</f>
        <v>1</v>
      </c>
      <c r="I27" s="4">
        <v>108511400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504" priority="18" operator="containsText" text="FAIL">
      <formula>NOT(ISERROR(SEARCH("FAIL",I9)))</formula>
    </cfRule>
  </conditionalFormatting>
  <conditionalFormatting sqref="I9">
    <cfRule type="containsText" dxfId="2503" priority="17" operator="containsText" text="GOOD">
      <formula>NOT(ISERROR(SEARCH("GOOD",I9)))</formula>
    </cfRule>
  </conditionalFormatting>
  <conditionalFormatting sqref="F11">
    <cfRule type="containsText" dxfId="2502" priority="16" operator="containsText" text="FAIL">
      <formula>NOT(ISERROR(SEARCH("FAIL",F11)))</formula>
    </cfRule>
  </conditionalFormatting>
  <conditionalFormatting sqref="F11">
    <cfRule type="containsText" dxfId="2501" priority="15" operator="containsText" text="GOOD">
      <formula>NOT(ISERROR(SEARCH("GOOD",F11)))</formula>
    </cfRule>
  </conditionalFormatting>
  <conditionalFormatting sqref="D25">
    <cfRule type="expression" dxfId="2500" priority="14" stopIfTrue="1">
      <formula>IF($H$25=1,0)</formula>
    </cfRule>
  </conditionalFormatting>
  <conditionalFormatting sqref="D23 D29:D43 D25">
    <cfRule type="expression" dxfId="2499" priority="13">
      <formula>H23=1</formula>
    </cfRule>
  </conditionalFormatting>
  <conditionalFormatting sqref="C23:C26 C29:C43">
    <cfRule type="expression" dxfId="2498" priority="12">
      <formula>H23=1</formula>
    </cfRule>
  </conditionalFormatting>
  <conditionalFormatting sqref="E23 E29:E43 E25">
    <cfRule type="expression" dxfId="2497" priority="11">
      <formula>H23=1</formula>
    </cfRule>
  </conditionalFormatting>
  <conditionalFormatting sqref="F11">
    <cfRule type="containsText" dxfId="2496" priority="10" operator="containsText" text="FAIL">
      <formula>NOT(ISERROR(SEARCH("FAIL",F11)))</formula>
    </cfRule>
  </conditionalFormatting>
  <conditionalFormatting sqref="F11">
    <cfRule type="containsText" dxfId="2495" priority="9" operator="containsText" text="GOOD">
      <formula>NOT(ISERROR(SEARCH("GOOD",F11)))</formula>
    </cfRule>
  </conditionalFormatting>
  <conditionalFormatting sqref="D27:D28">
    <cfRule type="expression" dxfId="2494" priority="8">
      <formula>H27=1</formula>
    </cfRule>
  </conditionalFormatting>
  <conditionalFormatting sqref="C27:C28">
    <cfRule type="expression" dxfId="2493" priority="7">
      <formula>H27=1</formula>
    </cfRule>
  </conditionalFormatting>
  <conditionalFormatting sqref="E27:E28">
    <cfRule type="expression" dxfId="2492" priority="6">
      <formula>H27=1</formula>
    </cfRule>
  </conditionalFormatting>
  <conditionalFormatting sqref="D24">
    <cfRule type="expression" dxfId="2491" priority="5" stopIfTrue="1">
      <formula>IF($H$25=1,0)</formula>
    </cfRule>
  </conditionalFormatting>
  <conditionalFormatting sqref="D24">
    <cfRule type="expression" dxfId="2490" priority="4">
      <formula>H24=1</formula>
    </cfRule>
  </conditionalFormatting>
  <conditionalFormatting sqref="E24">
    <cfRule type="expression" dxfId="2489" priority="3">
      <formula>H24=1</formula>
    </cfRule>
  </conditionalFormatting>
  <conditionalFormatting sqref="D26">
    <cfRule type="expression" dxfId="2488" priority="2">
      <formula>H26=1</formula>
    </cfRule>
  </conditionalFormatting>
  <conditionalFormatting sqref="E26">
    <cfRule type="expression" dxfId="2487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:O56"/>
  <sheetViews>
    <sheetView zoomScaleNormal="100" workbookViewId="0">
      <selection activeCell="M15" sqref="M15:M1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3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3" ht="18.75" x14ac:dyDescent="0.3">
      <c r="C3" s="3" t="s">
        <v>26</v>
      </c>
      <c r="J3" s="8" t="s">
        <v>47</v>
      </c>
    </row>
    <row r="4" spans="1:13" x14ac:dyDescent="0.25">
      <c r="D4" s="2" t="s">
        <v>0</v>
      </c>
      <c r="E4" s="1"/>
      <c r="F4" t="s">
        <v>1195</v>
      </c>
      <c r="I4" s="2" t="s">
        <v>4</v>
      </c>
      <c r="J4" t="s">
        <v>784</v>
      </c>
    </row>
    <row r="5" spans="1:13" x14ac:dyDescent="0.25">
      <c r="D5" s="2" t="s">
        <v>1</v>
      </c>
      <c r="F5" t="s">
        <v>1196</v>
      </c>
    </row>
    <row r="6" spans="1:13" x14ac:dyDescent="0.25">
      <c r="D6" s="2" t="s">
        <v>2</v>
      </c>
      <c r="F6" s="6">
        <v>43108</v>
      </c>
      <c r="H6" s="11"/>
    </row>
    <row r="7" spans="1:13" x14ac:dyDescent="0.25">
      <c r="D7" s="2" t="s">
        <v>3</v>
      </c>
      <c r="F7" s="5">
        <f>+I7+J7</f>
        <v>8520000</v>
      </c>
      <c r="G7" s="2" t="s">
        <v>190</v>
      </c>
      <c r="H7" s="11"/>
      <c r="I7" s="19">
        <v>563600</v>
      </c>
      <c r="J7" s="19">
        <v>7956400</v>
      </c>
    </row>
    <row r="8" spans="1:13" x14ac:dyDescent="0.25">
      <c r="D8" s="2" t="s">
        <v>18</v>
      </c>
      <c r="F8" s="5">
        <f>MIN(K23:K43)</f>
        <v>6850075</v>
      </c>
      <c r="H8" s="11"/>
      <c r="I8" s="18" t="s">
        <v>43</v>
      </c>
      <c r="J8" s="18" t="s">
        <v>44</v>
      </c>
    </row>
    <row r="9" spans="1:13" x14ac:dyDescent="0.25">
      <c r="D9" s="2" t="s">
        <v>19</v>
      </c>
      <c r="F9" s="4">
        <f>+F8-F7</f>
        <v>-1669925</v>
      </c>
      <c r="G9" s="16">
        <f>+F9/F7</f>
        <v>-0.19600058685446009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3" x14ac:dyDescent="0.25">
      <c r="D10" s="2" t="s">
        <v>68</v>
      </c>
      <c r="F10" s="4">
        <f>+F7-F12</f>
        <v>-1952836.1999999993</v>
      </c>
      <c r="H10" s="11"/>
    </row>
    <row r="11" spans="1:13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3" x14ac:dyDescent="0.25">
      <c r="D12" s="2" t="s">
        <v>28</v>
      </c>
      <c r="F12" s="4">
        <f>SUM(K23:K43)/H12</f>
        <v>10472836.199999999</v>
      </c>
      <c r="G12" s="14"/>
      <c r="H12" s="11">
        <f>COUNT(K23:K43)</f>
        <v>5</v>
      </c>
      <c r="I12" s="1" t="s">
        <v>31</v>
      </c>
      <c r="J12" s="4">
        <f>+F8*0.9</f>
        <v>6165067.5</v>
      </c>
      <c r="K12" s="1" t="s">
        <v>69</v>
      </c>
    </row>
    <row r="13" spans="1:13" x14ac:dyDescent="0.25">
      <c r="D13" s="2" t="s">
        <v>29</v>
      </c>
      <c r="F13" s="4">
        <f>MAX(K23:K43)-MIN(K23:K43)</f>
        <v>7497666</v>
      </c>
      <c r="G13" s="269">
        <f>MEDIAN(K23:K43)</f>
        <v>10972450</v>
      </c>
      <c r="H13" s="270"/>
      <c r="I13" s="1" t="s">
        <v>30</v>
      </c>
      <c r="J13" s="4">
        <f>+F12*1.1</f>
        <v>11520119.82</v>
      </c>
      <c r="K13" s="1" t="s">
        <v>70</v>
      </c>
    </row>
    <row r="14" spans="1:13" x14ac:dyDescent="0.25">
      <c r="H14" s="11"/>
    </row>
    <row r="15" spans="1:13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  <c r="M15" s="158"/>
    </row>
    <row r="16" spans="1:13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  <c r="M16" s="159"/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0.2888135593220339</v>
      </c>
    </row>
    <row r="18" spans="3:15" x14ac:dyDescent="0.25">
      <c r="F18" s="4">
        <f>+F7</f>
        <v>8520000</v>
      </c>
      <c r="G18" s="1" t="s">
        <v>12</v>
      </c>
      <c r="H18" s="11"/>
      <c r="I18" t="s">
        <v>16</v>
      </c>
      <c r="J18" s="7">
        <f>+F8/F18</f>
        <v>0.80399941314553991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0.22833583333333332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1197</v>
      </c>
      <c r="E23" s="33"/>
      <c r="F23" t="s">
        <v>131</v>
      </c>
      <c r="G23" t="s">
        <v>25</v>
      </c>
      <c r="H23">
        <f>RANK(K23,K$23:K$43,1)</f>
        <v>4</v>
      </c>
      <c r="I23" s="4">
        <v>399400</v>
      </c>
      <c r="J23" s="4">
        <v>11567600</v>
      </c>
      <c r="K23" s="4">
        <f>+J23+I23</f>
        <v>11967000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541</v>
      </c>
      <c r="E24" s="33"/>
      <c r="F24" t="s">
        <v>159</v>
      </c>
      <c r="G24" t="s">
        <v>93</v>
      </c>
      <c r="H24">
        <f>RANK(K24,K$23:K$43,1)</f>
        <v>3</v>
      </c>
      <c r="I24" s="4">
        <v>472450</v>
      </c>
      <c r="J24" s="4">
        <v>10500000</v>
      </c>
      <c r="K24" s="4">
        <f>+J24+I24</f>
        <v>10972450</v>
      </c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542</v>
      </c>
      <c r="E25" s="33"/>
      <c r="F25" t="s">
        <v>161</v>
      </c>
      <c r="G25" t="s">
        <v>93</v>
      </c>
      <c r="H25">
        <f>RANK(K25,K$23:K$43,1)</f>
        <v>1</v>
      </c>
      <c r="I25" s="4">
        <v>108155</v>
      </c>
      <c r="J25" s="4">
        <v>6741920</v>
      </c>
      <c r="K25" s="4">
        <f>+J25+I25</f>
        <v>6850075</v>
      </c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 t="s">
        <v>439</v>
      </c>
      <c r="E26" s="33"/>
      <c r="F26" t="s">
        <v>147</v>
      </c>
      <c r="G26" t="s">
        <v>93</v>
      </c>
      <c r="H26">
        <f>RANK(K26,K$23:K$43,1)</f>
        <v>5</v>
      </c>
      <c r="I26" s="4">
        <v>519505</v>
      </c>
      <c r="J26" s="4">
        <v>13828236</v>
      </c>
      <c r="K26" s="4">
        <f>+J26+I26</f>
        <v>14347741</v>
      </c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 t="s">
        <v>676</v>
      </c>
      <c r="E27" s="33"/>
      <c r="F27" t="s">
        <v>85</v>
      </c>
      <c r="G27" t="s">
        <v>25</v>
      </c>
      <c r="H27">
        <f>RANK(K27,K$23:K$43,1)</f>
        <v>2</v>
      </c>
      <c r="I27" s="4">
        <v>229375</v>
      </c>
      <c r="J27" s="4">
        <v>7997540</v>
      </c>
      <c r="K27" s="4">
        <f>+J27+I27</f>
        <v>8226915</v>
      </c>
      <c r="L27" s="4"/>
      <c r="M27" s="22"/>
      <c r="N27" s="22"/>
      <c r="O27" s="22"/>
    </row>
    <row r="28" spans="3:15" x14ac:dyDescent="0.25">
      <c r="C28" s="33" t="str">
        <f>IF(H28=1,"u","")</f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/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2486" priority="35" operator="containsText" text="FAIL">
      <formula>NOT(ISERROR(SEARCH("FAIL",I9)))</formula>
    </cfRule>
  </conditionalFormatting>
  <conditionalFormatting sqref="I9">
    <cfRule type="containsText" dxfId="2485" priority="34" operator="containsText" text="GOOD">
      <formula>NOT(ISERROR(SEARCH("GOOD",I9)))</formula>
    </cfRule>
  </conditionalFormatting>
  <conditionalFormatting sqref="I9">
    <cfRule type="containsText" dxfId="2484" priority="33" operator="containsText" text="FAIL">
      <formula>NOT(ISERROR(SEARCH("FAIL",I9)))</formula>
    </cfRule>
  </conditionalFormatting>
  <conditionalFormatting sqref="I9">
    <cfRule type="containsText" dxfId="2483" priority="32" operator="containsText" text="GOOD">
      <formula>NOT(ISERROR(SEARCH("GOOD",I9)))</formula>
    </cfRule>
  </conditionalFormatting>
  <conditionalFormatting sqref="I9">
    <cfRule type="containsText" dxfId="2482" priority="31" operator="containsText" text="FAIL">
      <formula>NOT(ISERROR(SEARCH("FAIL",I9)))</formula>
    </cfRule>
  </conditionalFormatting>
  <conditionalFormatting sqref="I9">
    <cfRule type="containsText" dxfId="2481" priority="30" operator="containsText" text="GOOD">
      <formula>NOT(ISERROR(SEARCH("GOOD",I9)))</formula>
    </cfRule>
  </conditionalFormatting>
  <conditionalFormatting sqref="F11">
    <cfRule type="containsText" dxfId="2480" priority="29" operator="containsText" text="FAIL">
      <formula>NOT(ISERROR(SEARCH("FAIL",F11)))</formula>
    </cfRule>
  </conditionalFormatting>
  <conditionalFormatting sqref="F11">
    <cfRule type="containsText" dxfId="2479" priority="28" operator="containsText" text="GOOD">
      <formula>NOT(ISERROR(SEARCH("GOOD",F11)))</formula>
    </cfRule>
  </conditionalFormatting>
  <conditionalFormatting sqref="I9">
    <cfRule type="containsText" dxfId="2478" priority="27" operator="containsText" text="FAIL">
      <formula>NOT(ISERROR(SEARCH("FAIL",I9)))</formula>
    </cfRule>
  </conditionalFormatting>
  <conditionalFormatting sqref="I9">
    <cfRule type="containsText" dxfId="2477" priority="26" operator="containsText" text="GOOD">
      <formula>NOT(ISERROR(SEARCH("GOOD",I9)))</formula>
    </cfRule>
  </conditionalFormatting>
  <conditionalFormatting sqref="F11">
    <cfRule type="containsText" dxfId="2476" priority="25" operator="containsText" text="FAIL">
      <formula>NOT(ISERROR(SEARCH("FAIL",F11)))</formula>
    </cfRule>
  </conditionalFormatting>
  <conditionalFormatting sqref="F11">
    <cfRule type="containsText" dxfId="2475" priority="24" operator="containsText" text="GOOD">
      <formula>NOT(ISERROR(SEARCH("GOOD",F11)))</formula>
    </cfRule>
  </conditionalFormatting>
  <conditionalFormatting sqref="D25">
    <cfRule type="expression" dxfId="2474" priority="23" stopIfTrue="1">
      <formula>IF($H$25=1,0)</formula>
    </cfRule>
  </conditionalFormatting>
  <conditionalFormatting sqref="D39:D43 D25:D33">
    <cfRule type="expression" dxfId="2473" priority="22">
      <formula>H25=1</formula>
    </cfRule>
  </conditionalFormatting>
  <conditionalFormatting sqref="C23 C39:C43 C25:C33">
    <cfRule type="expression" dxfId="2472" priority="21">
      <formula>H23=1</formula>
    </cfRule>
  </conditionalFormatting>
  <conditionalFormatting sqref="E39:E43 E25:E33">
    <cfRule type="expression" dxfId="2471" priority="20">
      <formula>H25=1</formula>
    </cfRule>
  </conditionalFormatting>
  <conditionalFormatting sqref="E39:E43 E25:E33">
    <cfRule type="expression" dxfId="2470" priority="19">
      <formula>H25=1</formula>
    </cfRule>
  </conditionalFormatting>
  <conditionalFormatting sqref="F11">
    <cfRule type="containsText" dxfId="2469" priority="18" operator="containsText" text="FAIL">
      <formula>NOT(ISERROR(SEARCH("FAIL",F11)))</formula>
    </cfRule>
  </conditionalFormatting>
  <conditionalFormatting sqref="F11">
    <cfRule type="containsText" dxfId="2468" priority="17" operator="containsText" text="GOOD">
      <formula>NOT(ISERROR(SEARCH("GOOD",F11)))</formula>
    </cfRule>
  </conditionalFormatting>
  <conditionalFormatting sqref="D34:D37">
    <cfRule type="expression" dxfId="2467" priority="16">
      <formula>H34=1</formula>
    </cfRule>
  </conditionalFormatting>
  <conditionalFormatting sqref="C34:C37">
    <cfRule type="expression" dxfId="2466" priority="15">
      <formula>H34=1</formula>
    </cfRule>
  </conditionalFormatting>
  <conditionalFormatting sqref="E34:E37">
    <cfRule type="expression" dxfId="2465" priority="14">
      <formula>H34=1</formula>
    </cfRule>
  </conditionalFormatting>
  <conditionalFormatting sqref="E34:E37">
    <cfRule type="expression" dxfId="2464" priority="13">
      <formula>H34=1</formula>
    </cfRule>
  </conditionalFormatting>
  <conditionalFormatting sqref="D38">
    <cfRule type="expression" dxfId="2463" priority="12">
      <formula>H38=1</formula>
    </cfRule>
  </conditionalFormatting>
  <conditionalFormatting sqref="C38">
    <cfRule type="expression" dxfId="2462" priority="11">
      <formula>H38=1</formula>
    </cfRule>
  </conditionalFormatting>
  <conditionalFormatting sqref="E38">
    <cfRule type="expression" dxfId="2461" priority="10">
      <formula>H38=1</formula>
    </cfRule>
  </conditionalFormatting>
  <conditionalFormatting sqref="E38">
    <cfRule type="expression" dxfId="2460" priority="9">
      <formula>H38=1</formula>
    </cfRule>
  </conditionalFormatting>
  <conditionalFormatting sqref="E24">
    <cfRule type="expression" dxfId="2459" priority="4">
      <formula>H24=1</formula>
    </cfRule>
  </conditionalFormatting>
  <conditionalFormatting sqref="D24">
    <cfRule type="expression" dxfId="2458" priority="8" stopIfTrue="1">
      <formula>IF($H$25=1,0)</formula>
    </cfRule>
  </conditionalFormatting>
  <conditionalFormatting sqref="D24">
    <cfRule type="expression" dxfId="2457" priority="7">
      <formula>H24=1</formula>
    </cfRule>
  </conditionalFormatting>
  <conditionalFormatting sqref="C24">
    <cfRule type="expression" dxfId="2456" priority="6">
      <formula>H24=1</formula>
    </cfRule>
  </conditionalFormatting>
  <conditionalFormatting sqref="E24">
    <cfRule type="expression" dxfId="2455" priority="5">
      <formula>H24=1</formula>
    </cfRule>
  </conditionalFormatting>
  <conditionalFormatting sqref="D23">
    <cfRule type="expression" dxfId="2454" priority="3">
      <formula>H23=1</formula>
    </cfRule>
  </conditionalFormatting>
  <conditionalFormatting sqref="E23">
    <cfRule type="expression" dxfId="2453" priority="2">
      <formula>H23=1</formula>
    </cfRule>
  </conditionalFormatting>
  <conditionalFormatting sqref="E23">
    <cfRule type="expression" dxfId="2452" priority="1">
      <formula>H23=1</formula>
    </cfRule>
  </conditionalFormatting>
  <pageMargins left="0.7" right="0.7" top="0.75" bottom="0.75" header="0.3" footer="0.3"/>
  <pageSetup scale="68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:P47"/>
  <sheetViews>
    <sheetView zoomScaleNormal="100" workbookViewId="0">
      <selection activeCell="K29" sqref="K2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1159</v>
      </c>
      <c r="I4" s="2" t="s">
        <v>4</v>
      </c>
      <c r="J4" t="s">
        <v>1153</v>
      </c>
    </row>
    <row r="5" spans="1:16" x14ac:dyDescent="0.25">
      <c r="D5" s="2" t="s">
        <v>1</v>
      </c>
      <c r="F5" t="s">
        <v>1154</v>
      </c>
    </row>
    <row r="6" spans="1:16" x14ac:dyDescent="0.25">
      <c r="D6" s="2" t="s">
        <v>2</v>
      </c>
      <c r="F6" s="6">
        <v>43088</v>
      </c>
      <c r="H6" s="11"/>
    </row>
    <row r="7" spans="1:16" x14ac:dyDescent="0.25">
      <c r="D7" s="2" t="s">
        <v>3</v>
      </c>
      <c r="F7" s="5">
        <v>795000</v>
      </c>
      <c r="G7" s="2" t="s">
        <v>693</v>
      </c>
      <c r="H7" s="11"/>
    </row>
    <row r="8" spans="1:16" x14ac:dyDescent="0.25">
      <c r="D8" s="2" t="s">
        <v>18</v>
      </c>
      <c r="F8" s="5">
        <f>MIN(I23:I43)</f>
        <v>353700</v>
      </c>
      <c r="H8" s="11"/>
    </row>
    <row r="9" spans="1:16" x14ac:dyDescent="0.25">
      <c r="D9" s="2" t="s">
        <v>67</v>
      </c>
      <c r="F9" s="4">
        <f>+F8-F7</f>
        <v>-441300</v>
      </c>
      <c r="G9" s="16">
        <f>+F9/F7</f>
        <v>-0.55509433962264154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-43835.25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838835.25</v>
      </c>
      <c r="G12" s="14"/>
      <c r="H12" s="11">
        <f>COUNT(I23:I43)</f>
        <v>8</v>
      </c>
      <c r="I12" s="1" t="s">
        <v>31</v>
      </c>
      <c r="J12" s="4">
        <f>+F8*0.9</f>
        <v>318330</v>
      </c>
      <c r="K12" s="1" t="s">
        <v>69</v>
      </c>
    </row>
    <row r="13" spans="1:16" x14ac:dyDescent="0.25">
      <c r="D13" s="2" t="s">
        <v>29</v>
      </c>
      <c r="F13" s="4">
        <f>MAX(I23:I43)-MIN(I23:I43)</f>
        <v>926300</v>
      </c>
      <c r="G13" s="269">
        <f>MEDIAN(I23:I43)</f>
        <v>853750</v>
      </c>
      <c r="H13" s="270"/>
      <c r="I13" s="1" t="s">
        <v>30</v>
      </c>
      <c r="J13" s="4">
        <f>+F12*1.1</f>
        <v>922718.77500000002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429</v>
      </c>
      <c r="E23" s="33"/>
      <c r="F23" t="s">
        <v>131</v>
      </c>
      <c r="G23" t="s">
        <v>25</v>
      </c>
      <c r="H23">
        <f>RANK(I23,I$23:I$43,1)</f>
        <v>8</v>
      </c>
      <c r="I23" s="4">
        <v>1280000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1155</v>
      </c>
      <c r="E24" s="33"/>
      <c r="F24" t="s">
        <v>181</v>
      </c>
      <c r="G24" t="s">
        <v>93</v>
      </c>
      <c r="H24">
        <f>RANK(I24,I$23:I$43,1)</f>
        <v>7</v>
      </c>
      <c r="I24" s="4">
        <v>1173320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1156</v>
      </c>
      <c r="E25" s="33"/>
      <c r="F25" t="s">
        <v>407</v>
      </c>
      <c r="G25" t="s">
        <v>93</v>
      </c>
      <c r="H25">
        <f t="shared" ref="H25:H30" si="0">RANK(I25,I$23:I$43,1)</f>
        <v>3</v>
      </c>
      <c r="I25" s="4">
        <v>678178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942</v>
      </c>
      <c r="E26" s="33"/>
      <c r="F26" t="s">
        <v>943</v>
      </c>
      <c r="G26" t="s">
        <v>25</v>
      </c>
      <c r="H26">
        <f t="shared" si="0"/>
        <v>1</v>
      </c>
      <c r="I26" s="4">
        <v>353700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1157</v>
      </c>
      <c r="E27" s="33"/>
      <c r="F27" t="s">
        <v>181</v>
      </c>
      <c r="G27" t="s">
        <v>93</v>
      </c>
      <c r="H27">
        <f t="shared" si="0"/>
        <v>5</v>
      </c>
      <c r="I27" s="4">
        <v>920000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708</v>
      </c>
      <c r="E28" s="33"/>
      <c r="F28" t="s">
        <v>709</v>
      </c>
      <c r="G28" t="s">
        <v>93</v>
      </c>
      <c r="H28">
        <f t="shared" si="0"/>
        <v>6</v>
      </c>
      <c r="I28" s="4">
        <v>949984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/>
      </c>
      <c r="D29" s="11" t="s">
        <v>431</v>
      </c>
      <c r="E29" s="33"/>
      <c r="F29" t="s">
        <v>380</v>
      </c>
      <c r="G29" t="s">
        <v>93</v>
      </c>
      <c r="H29">
        <f t="shared" si="0"/>
        <v>2</v>
      </c>
      <c r="I29" s="4">
        <v>568000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 t="s">
        <v>1158</v>
      </c>
      <c r="E30" s="33"/>
      <c r="F30" t="s">
        <v>643</v>
      </c>
      <c r="G30" t="s">
        <v>25</v>
      </c>
      <c r="H30">
        <f t="shared" si="0"/>
        <v>4</v>
      </c>
      <c r="I30" s="4">
        <v>787500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451" priority="18" operator="containsText" text="FAIL">
      <formula>NOT(ISERROR(SEARCH("FAIL",I9)))</formula>
    </cfRule>
  </conditionalFormatting>
  <conditionalFormatting sqref="I9">
    <cfRule type="containsText" dxfId="2450" priority="17" operator="containsText" text="GOOD">
      <formula>NOT(ISERROR(SEARCH("GOOD",I9)))</formula>
    </cfRule>
  </conditionalFormatting>
  <conditionalFormatting sqref="F11">
    <cfRule type="containsText" dxfId="2449" priority="16" operator="containsText" text="FAIL">
      <formula>NOT(ISERROR(SEARCH("FAIL",F11)))</formula>
    </cfRule>
  </conditionalFormatting>
  <conditionalFormatting sqref="F11">
    <cfRule type="containsText" dxfId="2448" priority="15" operator="containsText" text="GOOD">
      <formula>NOT(ISERROR(SEARCH("GOOD",F11)))</formula>
    </cfRule>
  </conditionalFormatting>
  <conditionalFormatting sqref="D25">
    <cfRule type="expression" dxfId="2447" priority="14" stopIfTrue="1">
      <formula>IF($H$25=1,0)</formula>
    </cfRule>
  </conditionalFormatting>
  <conditionalFormatting sqref="D23 D29:D43 D25">
    <cfRule type="expression" dxfId="2446" priority="13">
      <formula>H23=1</formula>
    </cfRule>
  </conditionalFormatting>
  <conditionalFormatting sqref="C23:C26 C29:C43">
    <cfRule type="expression" dxfId="2445" priority="12">
      <formula>H23=1</formula>
    </cfRule>
  </conditionalFormatting>
  <conditionalFormatting sqref="E23 E29:E43 E25">
    <cfRule type="expression" dxfId="2444" priority="11">
      <formula>H23=1</formula>
    </cfRule>
  </conditionalFormatting>
  <conditionalFormatting sqref="F11">
    <cfRule type="containsText" dxfId="2443" priority="10" operator="containsText" text="FAIL">
      <formula>NOT(ISERROR(SEARCH("FAIL",F11)))</formula>
    </cfRule>
  </conditionalFormatting>
  <conditionalFormatting sqref="F11">
    <cfRule type="containsText" dxfId="2442" priority="9" operator="containsText" text="GOOD">
      <formula>NOT(ISERROR(SEARCH("GOOD",F11)))</formula>
    </cfRule>
  </conditionalFormatting>
  <conditionalFormatting sqref="D27:D28">
    <cfRule type="expression" dxfId="2441" priority="8">
      <formula>H27=1</formula>
    </cfRule>
  </conditionalFormatting>
  <conditionalFormatting sqref="C27:C28">
    <cfRule type="expression" dxfId="2440" priority="7">
      <formula>H27=1</formula>
    </cfRule>
  </conditionalFormatting>
  <conditionalFormatting sqref="E27:E28">
    <cfRule type="expression" dxfId="2439" priority="6">
      <formula>H27=1</formula>
    </cfRule>
  </conditionalFormatting>
  <conditionalFormatting sqref="D24">
    <cfRule type="expression" dxfId="2438" priority="5" stopIfTrue="1">
      <formula>IF($H$25=1,0)</formula>
    </cfRule>
  </conditionalFormatting>
  <conditionalFormatting sqref="D24">
    <cfRule type="expression" dxfId="2437" priority="4">
      <formula>H24=1</formula>
    </cfRule>
  </conditionalFormatting>
  <conditionalFormatting sqref="E24">
    <cfRule type="expression" dxfId="2436" priority="3">
      <formula>H24=1</formula>
    </cfRule>
  </conditionalFormatting>
  <conditionalFormatting sqref="D26">
    <cfRule type="expression" dxfId="2435" priority="2">
      <formula>H26=1</formula>
    </cfRule>
  </conditionalFormatting>
  <conditionalFormatting sqref="E26">
    <cfRule type="expression" dxfId="2434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2:P47"/>
  <sheetViews>
    <sheetView zoomScaleNormal="100" workbookViewId="0">
      <selection activeCell="H26" sqref="H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1150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1151</v>
      </c>
    </row>
    <row r="6" spans="1:16" x14ac:dyDescent="0.25">
      <c r="D6" s="2" t="s">
        <v>2</v>
      </c>
      <c r="F6" s="6">
        <v>43083</v>
      </c>
      <c r="H6" s="11"/>
    </row>
    <row r="7" spans="1:16" x14ac:dyDescent="0.25">
      <c r="D7" s="2" t="s">
        <v>3</v>
      </c>
      <c r="F7" s="5">
        <v>979000</v>
      </c>
      <c r="G7" s="2" t="s">
        <v>693</v>
      </c>
      <c r="H7" s="11"/>
    </row>
    <row r="8" spans="1:16" x14ac:dyDescent="0.25">
      <c r="D8" s="2" t="s">
        <v>18</v>
      </c>
      <c r="F8" s="5">
        <f>MIN(I23:I43)</f>
        <v>1168000</v>
      </c>
      <c r="H8" s="11"/>
    </row>
    <row r="9" spans="1:16" x14ac:dyDescent="0.25">
      <c r="D9" s="2" t="s">
        <v>67</v>
      </c>
      <c r="F9" s="4">
        <f>+F8-F7</f>
        <v>189000</v>
      </c>
      <c r="G9" s="16">
        <f>+F9/F7</f>
        <v>0.1930541368743616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-473000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1452000</v>
      </c>
      <c r="G12" s="14"/>
      <c r="H12" s="11">
        <f>COUNT(I23:I43)</f>
        <v>2</v>
      </c>
      <c r="I12" s="1" t="s">
        <v>31</v>
      </c>
      <c r="J12" s="4">
        <f>+F8*0.9</f>
        <v>1051200</v>
      </c>
      <c r="K12" s="1" t="s">
        <v>69</v>
      </c>
    </row>
    <row r="13" spans="1:16" x14ac:dyDescent="0.25">
      <c r="D13" s="2" t="s">
        <v>29</v>
      </c>
      <c r="F13" s="4">
        <f>MAX(I23:I43)-MIN(I23:I43)</f>
        <v>568000</v>
      </c>
      <c r="G13" s="269">
        <f>MEDIAN(I23:I43)</f>
        <v>1452000</v>
      </c>
      <c r="H13" s="270"/>
      <c r="I13" s="1" t="s">
        <v>30</v>
      </c>
      <c r="J13" s="4">
        <f>+F12*1.1</f>
        <v>1597200.0000000002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429</v>
      </c>
      <c r="E23" s="33"/>
      <c r="F23" t="s">
        <v>131</v>
      </c>
      <c r="G23" t="s">
        <v>25</v>
      </c>
      <c r="H23">
        <f>RANK(I23,I$23:I$43,1)</f>
        <v>1</v>
      </c>
      <c r="I23" s="4">
        <v>1168000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1152</v>
      </c>
      <c r="E24" s="33"/>
      <c r="F24" t="s">
        <v>92</v>
      </c>
      <c r="G24" t="s">
        <v>93</v>
      </c>
      <c r="H24">
        <f>RANK(I24,I$23:I$43,1)</f>
        <v>2</v>
      </c>
      <c r="I24" s="4">
        <v>1736000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433" priority="18" operator="containsText" text="FAIL">
      <formula>NOT(ISERROR(SEARCH("FAIL",I9)))</formula>
    </cfRule>
  </conditionalFormatting>
  <conditionalFormatting sqref="I9">
    <cfRule type="containsText" dxfId="2432" priority="17" operator="containsText" text="GOOD">
      <formula>NOT(ISERROR(SEARCH("GOOD",I9)))</formula>
    </cfRule>
  </conditionalFormatting>
  <conditionalFormatting sqref="F11">
    <cfRule type="containsText" dxfId="2431" priority="16" operator="containsText" text="FAIL">
      <formula>NOT(ISERROR(SEARCH("FAIL",F11)))</formula>
    </cfRule>
  </conditionalFormatting>
  <conditionalFormatting sqref="F11">
    <cfRule type="containsText" dxfId="2430" priority="15" operator="containsText" text="GOOD">
      <formula>NOT(ISERROR(SEARCH("GOOD",F11)))</formula>
    </cfRule>
  </conditionalFormatting>
  <conditionalFormatting sqref="D25">
    <cfRule type="expression" dxfId="2429" priority="14" stopIfTrue="1">
      <formula>IF($H$25=1,0)</formula>
    </cfRule>
  </conditionalFormatting>
  <conditionalFormatting sqref="D23 D29:D43 D25">
    <cfRule type="expression" dxfId="2428" priority="13">
      <formula>H23=1</formula>
    </cfRule>
  </conditionalFormatting>
  <conditionalFormatting sqref="C23:C26 C29:C43">
    <cfRule type="expression" dxfId="2427" priority="12">
      <formula>H23=1</formula>
    </cfRule>
  </conditionalFormatting>
  <conditionalFormatting sqref="E23 E29:E43 E25">
    <cfRule type="expression" dxfId="2426" priority="11">
      <formula>H23=1</formula>
    </cfRule>
  </conditionalFormatting>
  <conditionalFormatting sqref="F11">
    <cfRule type="containsText" dxfId="2425" priority="10" operator="containsText" text="FAIL">
      <formula>NOT(ISERROR(SEARCH("FAIL",F11)))</formula>
    </cfRule>
  </conditionalFormatting>
  <conditionalFormatting sqref="F11">
    <cfRule type="containsText" dxfId="2424" priority="9" operator="containsText" text="GOOD">
      <formula>NOT(ISERROR(SEARCH("GOOD",F11)))</formula>
    </cfRule>
  </conditionalFormatting>
  <conditionalFormatting sqref="D27:D28">
    <cfRule type="expression" dxfId="2423" priority="8">
      <formula>H27=1</formula>
    </cfRule>
  </conditionalFormatting>
  <conditionalFormatting sqref="C27:C28">
    <cfRule type="expression" dxfId="2422" priority="7">
      <formula>H27=1</formula>
    </cfRule>
  </conditionalFormatting>
  <conditionalFormatting sqref="E27:E28">
    <cfRule type="expression" dxfId="2421" priority="6">
      <formula>H27=1</formula>
    </cfRule>
  </conditionalFormatting>
  <conditionalFormatting sqref="D24">
    <cfRule type="expression" dxfId="2420" priority="5" stopIfTrue="1">
      <formula>IF($H$25=1,0)</formula>
    </cfRule>
  </conditionalFormatting>
  <conditionalFormatting sqref="D24">
    <cfRule type="expression" dxfId="2419" priority="4">
      <formula>H24=1</formula>
    </cfRule>
  </conditionalFormatting>
  <conditionalFormatting sqref="E24">
    <cfRule type="expression" dxfId="2418" priority="3">
      <formula>H24=1</formula>
    </cfRule>
  </conditionalFormatting>
  <conditionalFormatting sqref="D26">
    <cfRule type="expression" dxfId="2417" priority="2">
      <formula>H26=1</formula>
    </cfRule>
  </conditionalFormatting>
  <conditionalFormatting sqref="E26">
    <cfRule type="expression" dxfId="2416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tabColor rgb="FFFF0000"/>
  </sheetPr>
  <dimension ref="A2:P47"/>
  <sheetViews>
    <sheetView zoomScaleNormal="100" workbookViewId="0">
      <selection activeCell="L29" sqref="L2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1147</v>
      </c>
      <c r="I4" s="2" t="s">
        <v>4</v>
      </c>
      <c r="J4" t="s">
        <v>816</v>
      </c>
    </row>
    <row r="5" spans="1:16" x14ac:dyDescent="0.25">
      <c r="D5" s="2" t="s">
        <v>1</v>
      </c>
      <c r="F5" t="s">
        <v>1148</v>
      </c>
    </row>
    <row r="6" spans="1:16" x14ac:dyDescent="0.25">
      <c r="D6" s="2" t="s">
        <v>2</v>
      </c>
      <c r="F6" s="6">
        <v>43083</v>
      </c>
      <c r="H6" s="11"/>
    </row>
    <row r="7" spans="1:16" x14ac:dyDescent="0.25">
      <c r="D7" s="2" t="s">
        <v>3</v>
      </c>
      <c r="F7" s="5">
        <v>1765000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2248420</v>
      </c>
      <c r="H8" s="11"/>
    </row>
    <row r="9" spans="1:16" x14ac:dyDescent="0.25">
      <c r="D9" s="2" t="s">
        <v>67</v>
      </c>
      <c r="F9" s="4">
        <f>+F8-F7</f>
        <v>483420</v>
      </c>
      <c r="G9" s="16">
        <f>+F9/F7</f>
        <v>0.27389235127478756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-1081710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2846710</v>
      </c>
      <c r="G12" s="14"/>
      <c r="H12" s="11">
        <f>COUNT(I23:I43)</f>
        <v>2</v>
      </c>
      <c r="I12" s="1" t="s">
        <v>31</v>
      </c>
      <c r="J12" s="4">
        <f>+F8*0.9</f>
        <v>2023578</v>
      </c>
      <c r="K12" s="1" t="s">
        <v>69</v>
      </c>
    </row>
    <row r="13" spans="1:16" x14ac:dyDescent="0.25">
      <c r="D13" s="2" t="s">
        <v>29</v>
      </c>
      <c r="F13" s="4">
        <f>MAX(I23:I43)-MIN(I23:I43)</f>
        <v>1196580</v>
      </c>
      <c r="G13" s="269">
        <f>MEDIAN(I23:I43)</f>
        <v>2846710</v>
      </c>
      <c r="H13" s="270"/>
      <c r="I13" s="1" t="s">
        <v>30</v>
      </c>
      <c r="J13" s="4">
        <f>+F12*1.1</f>
        <v>3131381.0000000005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429</v>
      </c>
      <c r="E23" s="33"/>
      <c r="F23" t="s">
        <v>131</v>
      </c>
      <c r="G23" t="s">
        <v>25</v>
      </c>
      <c r="H23">
        <f>RANK(I23,I$23:I$43,1)</f>
        <v>2</v>
      </c>
      <c r="I23" s="4">
        <v>3445000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1149</v>
      </c>
      <c r="E24" s="33"/>
      <c r="F24" t="s">
        <v>161</v>
      </c>
      <c r="G24" t="s">
        <v>93</v>
      </c>
      <c r="H24">
        <f>RANK(I24,I$23:I$43,1)</f>
        <v>1</v>
      </c>
      <c r="I24" s="4">
        <v>2248420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415" priority="18" operator="containsText" text="FAIL">
      <formula>NOT(ISERROR(SEARCH("FAIL",I9)))</formula>
    </cfRule>
  </conditionalFormatting>
  <conditionalFormatting sqref="I9">
    <cfRule type="containsText" dxfId="2414" priority="17" operator="containsText" text="GOOD">
      <formula>NOT(ISERROR(SEARCH("GOOD",I9)))</formula>
    </cfRule>
  </conditionalFormatting>
  <conditionalFormatting sqref="F11">
    <cfRule type="containsText" dxfId="2413" priority="16" operator="containsText" text="FAIL">
      <formula>NOT(ISERROR(SEARCH("FAIL",F11)))</formula>
    </cfRule>
  </conditionalFormatting>
  <conditionalFormatting sqref="F11">
    <cfRule type="containsText" dxfId="2412" priority="15" operator="containsText" text="GOOD">
      <formula>NOT(ISERROR(SEARCH("GOOD",F11)))</formula>
    </cfRule>
  </conditionalFormatting>
  <conditionalFormatting sqref="D25">
    <cfRule type="expression" dxfId="2411" priority="14" stopIfTrue="1">
      <formula>IF($H$25=1,0)</formula>
    </cfRule>
  </conditionalFormatting>
  <conditionalFormatting sqref="D23 D29:D43 D25">
    <cfRule type="expression" dxfId="2410" priority="13">
      <formula>H23=1</formula>
    </cfRule>
  </conditionalFormatting>
  <conditionalFormatting sqref="C23:C26 C29:C43">
    <cfRule type="expression" dxfId="2409" priority="12">
      <formula>H23=1</formula>
    </cfRule>
  </conditionalFormatting>
  <conditionalFormatting sqref="E23 E29:E43 E25">
    <cfRule type="expression" dxfId="2408" priority="11">
      <formula>H23=1</formula>
    </cfRule>
  </conditionalFormatting>
  <conditionalFormatting sqref="F11">
    <cfRule type="containsText" dxfId="2407" priority="10" operator="containsText" text="FAIL">
      <formula>NOT(ISERROR(SEARCH("FAIL",F11)))</formula>
    </cfRule>
  </conditionalFormatting>
  <conditionalFormatting sqref="F11">
    <cfRule type="containsText" dxfId="2406" priority="9" operator="containsText" text="GOOD">
      <formula>NOT(ISERROR(SEARCH("GOOD",F11)))</formula>
    </cfRule>
  </conditionalFormatting>
  <conditionalFormatting sqref="D27:D28">
    <cfRule type="expression" dxfId="2405" priority="8">
      <formula>H27=1</formula>
    </cfRule>
  </conditionalFormatting>
  <conditionalFormatting sqref="C27:C28">
    <cfRule type="expression" dxfId="2404" priority="7">
      <formula>H27=1</formula>
    </cfRule>
  </conditionalFormatting>
  <conditionalFormatting sqref="E27:E28">
    <cfRule type="expression" dxfId="2403" priority="6">
      <formula>H27=1</formula>
    </cfRule>
  </conditionalFormatting>
  <conditionalFormatting sqref="D24">
    <cfRule type="expression" dxfId="2402" priority="5" stopIfTrue="1">
      <formula>IF($H$25=1,0)</formula>
    </cfRule>
  </conditionalFormatting>
  <conditionalFormatting sqref="D24">
    <cfRule type="expression" dxfId="2401" priority="4">
      <formula>H24=1</formula>
    </cfRule>
  </conditionalFormatting>
  <conditionalFormatting sqref="E24">
    <cfRule type="expression" dxfId="2400" priority="3">
      <formula>H24=1</formula>
    </cfRule>
  </conditionalFormatting>
  <conditionalFormatting sqref="D26">
    <cfRule type="expression" dxfId="2399" priority="2">
      <formula>H26=1</formula>
    </cfRule>
  </conditionalFormatting>
  <conditionalFormatting sqref="E26">
    <cfRule type="expression" dxfId="2398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2:P47"/>
  <sheetViews>
    <sheetView zoomScaleNormal="100" workbookViewId="0">
      <selection activeCell="F30" sqref="F30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1145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1146</v>
      </c>
    </row>
    <row r="6" spans="1:16" x14ac:dyDescent="0.25">
      <c r="D6" s="2" t="s">
        <v>2</v>
      </c>
      <c r="F6" s="6">
        <v>43083</v>
      </c>
      <c r="H6" s="11"/>
    </row>
    <row r="7" spans="1:16" x14ac:dyDescent="0.25">
      <c r="D7" s="2" t="s">
        <v>3</v>
      </c>
      <c r="F7" s="5">
        <v>4872000</v>
      </c>
      <c r="G7" s="2" t="s">
        <v>190</v>
      </c>
      <c r="H7" s="11"/>
    </row>
    <row r="8" spans="1:16" x14ac:dyDescent="0.25">
      <c r="D8" s="2" t="s">
        <v>18</v>
      </c>
      <c r="F8" s="5">
        <f>MIN(I23:I43)</f>
        <v>3997350</v>
      </c>
      <c r="H8" s="11"/>
    </row>
    <row r="9" spans="1:16" x14ac:dyDescent="0.25">
      <c r="D9" s="2" t="s">
        <v>67</v>
      </c>
      <c r="F9" s="4">
        <f>+F8-F7</f>
        <v>-874650</v>
      </c>
      <c r="G9" s="16">
        <f>+F9/F7</f>
        <v>-0.17952586206896551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-1142201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6014201</v>
      </c>
      <c r="G12" s="14"/>
      <c r="H12" s="11">
        <f>COUNT(I23:I43)</f>
        <v>5</v>
      </c>
      <c r="I12" s="1" t="s">
        <v>31</v>
      </c>
      <c r="J12" s="4">
        <f>+F8*0.9</f>
        <v>3597615</v>
      </c>
      <c r="K12" s="1" t="s">
        <v>69</v>
      </c>
    </row>
    <row r="13" spans="1:16" x14ac:dyDescent="0.25">
      <c r="D13" s="2" t="s">
        <v>29</v>
      </c>
      <c r="F13" s="4">
        <f>MAX(I23:I43)-MIN(I23:I43)</f>
        <v>4467855</v>
      </c>
      <c r="G13" s="269">
        <f>MEDIAN(I23:I43)</f>
        <v>6349200</v>
      </c>
      <c r="H13" s="270"/>
      <c r="I13" s="1" t="s">
        <v>30</v>
      </c>
      <c r="J13" s="4">
        <f>+F12*1.1</f>
        <v>6615621.1000000006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440</v>
      </c>
      <c r="E23" s="33"/>
      <c r="F23" t="s">
        <v>193</v>
      </c>
      <c r="G23" t="s">
        <v>25</v>
      </c>
      <c r="H23">
        <f>RANK(I23,I$23:I$43,1)</f>
        <v>5</v>
      </c>
      <c r="I23" s="4">
        <v>8465205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541</v>
      </c>
      <c r="E24" s="33"/>
      <c r="F24" t="s">
        <v>159</v>
      </c>
      <c r="G24" t="s">
        <v>93</v>
      </c>
      <c r="H24">
        <f>RANK(I24,I$23:I$43,1)</f>
        <v>3</v>
      </c>
      <c r="I24" s="4">
        <v>6349200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665</v>
      </c>
      <c r="E25" s="33"/>
      <c r="F25" t="s">
        <v>413</v>
      </c>
      <c r="G25" t="s">
        <v>93</v>
      </c>
      <c r="H25">
        <f>RANK(I25,I$23:I$43,1)</f>
        <v>2</v>
      </c>
      <c r="I25" s="4">
        <v>4763300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540</v>
      </c>
      <c r="E26" s="33"/>
      <c r="F26" t="s">
        <v>131</v>
      </c>
      <c r="G26" t="s">
        <v>25</v>
      </c>
      <c r="H26">
        <f>RANK(I26,I$23:I$43,1)</f>
        <v>1</v>
      </c>
      <c r="I26" s="4">
        <v>3997350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542</v>
      </c>
      <c r="E27" s="33"/>
      <c r="F27" t="s">
        <v>161</v>
      </c>
      <c r="G27" t="s">
        <v>93</v>
      </c>
      <c r="H27">
        <f>RANK(I27,I$23:I$43,1)</f>
        <v>4</v>
      </c>
      <c r="I27" s="4">
        <v>6495950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397" priority="18" operator="containsText" text="FAIL">
      <formula>NOT(ISERROR(SEARCH("FAIL",I9)))</formula>
    </cfRule>
  </conditionalFormatting>
  <conditionalFormatting sqref="I9">
    <cfRule type="containsText" dxfId="2396" priority="17" operator="containsText" text="GOOD">
      <formula>NOT(ISERROR(SEARCH("GOOD",I9)))</formula>
    </cfRule>
  </conditionalFormatting>
  <conditionalFormatting sqref="F11">
    <cfRule type="containsText" dxfId="2395" priority="16" operator="containsText" text="FAIL">
      <formula>NOT(ISERROR(SEARCH("FAIL",F11)))</formula>
    </cfRule>
  </conditionalFormatting>
  <conditionalFormatting sqref="F11">
    <cfRule type="containsText" dxfId="2394" priority="15" operator="containsText" text="GOOD">
      <formula>NOT(ISERROR(SEARCH("GOOD",F11)))</formula>
    </cfRule>
  </conditionalFormatting>
  <conditionalFormatting sqref="D25">
    <cfRule type="expression" dxfId="2393" priority="14" stopIfTrue="1">
      <formula>IF($H$25=1,0)</formula>
    </cfRule>
  </conditionalFormatting>
  <conditionalFormatting sqref="D23 D29:D43 D25">
    <cfRule type="expression" dxfId="2392" priority="13">
      <formula>H23=1</formula>
    </cfRule>
  </conditionalFormatting>
  <conditionalFormatting sqref="C23:C26 C29:C43">
    <cfRule type="expression" dxfId="2391" priority="12">
      <formula>H23=1</formula>
    </cfRule>
  </conditionalFormatting>
  <conditionalFormatting sqref="E23 E29:E43 E25">
    <cfRule type="expression" dxfId="2390" priority="11">
      <formula>H23=1</formula>
    </cfRule>
  </conditionalFormatting>
  <conditionalFormatting sqref="F11">
    <cfRule type="containsText" dxfId="2389" priority="10" operator="containsText" text="FAIL">
      <formula>NOT(ISERROR(SEARCH("FAIL",F11)))</formula>
    </cfRule>
  </conditionalFormatting>
  <conditionalFormatting sqref="F11">
    <cfRule type="containsText" dxfId="2388" priority="9" operator="containsText" text="GOOD">
      <formula>NOT(ISERROR(SEARCH("GOOD",F11)))</formula>
    </cfRule>
  </conditionalFormatting>
  <conditionalFormatting sqref="D27:D28">
    <cfRule type="expression" dxfId="2387" priority="8">
      <formula>H27=1</formula>
    </cfRule>
  </conditionalFormatting>
  <conditionalFormatting sqref="C27:C28">
    <cfRule type="expression" dxfId="2386" priority="7">
      <formula>H27=1</formula>
    </cfRule>
  </conditionalFormatting>
  <conditionalFormatting sqref="E27:E28">
    <cfRule type="expression" dxfId="2385" priority="6">
      <formula>H27=1</formula>
    </cfRule>
  </conditionalFormatting>
  <conditionalFormatting sqref="D24">
    <cfRule type="expression" dxfId="2384" priority="5" stopIfTrue="1">
      <formula>IF($H$25=1,0)</formula>
    </cfRule>
  </conditionalFormatting>
  <conditionalFormatting sqref="D24">
    <cfRule type="expression" dxfId="2383" priority="4">
      <formula>H24=1</formula>
    </cfRule>
  </conditionalFormatting>
  <conditionalFormatting sqref="E24">
    <cfRule type="expression" dxfId="2382" priority="3">
      <formula>H24=1</formula>
    </cfRule>
  </conditionalFormatting>
  <conditionalFormatting sqref="D26">
    <cfRule type="expression" dxfId="2381" priority="2">
      <formula>H26=1</formula>
    </cfRule>
  </conditionalFormatting>
  <conditionalFormatting sqref="E26">
    <cfRule type="expression" dxfId="2380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2:P47"/>
  <sheetViews>
    <sheetView zoomScaleNormal="100" workbookViewId="0">
      <selection activeCell="K25" sqref="K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1136</v>
      </c>
      <c r="I4" s="2" t="s">
        <v>4</v>
      </c>
      <c r="J4" t="s">
        <v>616</v>
      </c>
    </row>
    <row r="5" spans="1:16" x14ac:dyDescent="0.25">
      <c r="D5" s="2" t="s">
        <v>1</v>
      </c>
      <c r="F5" t="s">
        <v>1137</v>
      </c>
    </row>
    <row r="6" spans="1:16" x14ac:dyDescent="0.25">
      <c r="D6" s="2" t="s">
        <v>2</v>
      </c>
      <c r="F6" s="6">
        <v>43074</v>
      </c>
      <c r="H6" s="11"/>
    </row>
    <row r="7" spans="1:16" x14ac:dyDescent="0.25">
      <c r="D7" s="2" t="s">
        <v>3</v>
      </c>
      <c r="F7" s="5">
        <v>1530000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1189000</v>
      </c>
      <c r="H8" s="11"/>
    </row>
    <row r="9" spans="1:16" x14ac:dyDescent="0.25">
      <c r="D9" s="2" t="s">
        <v>67</v>
      </c>
      <c r="F9" s="4">
        <f>+F8-F7</f>
        <v>-341000</v>
      </c>
      <c r="G9" s="16">
        <f>+F9/F7</f>
        <v>-0.22287581699346407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-346333.33333333326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1876333.3333333333</v>
      </c>
      <c r="G12" s="14"/>
      <c r="H12" s="11">
        <f>COUNT(I23:I43)</f>
        <v>3</v>
      </c>
      <c r="I12" s="1" t="s">
        <v>31</v>
      </c>
      <c r="J12" s="4">
        <f>+F8*0.9</f>
        <v>1070100</v>
      </c>
      <c r="K12" s="1" t="s">
        <v>69</v>
      </c>
    </row>
    <row r="13" spans="1:16" x14ac:dyDescent="0.25">
      <c r="D13" s="2" t="s">
        <v>29</v>
      </c>
      <c r="F13" s="4">
        <f>MAX(I23:I43)-MIN(I23:I43)</f>
        <v>1151000</v>
      </c>
      <c r="G13" s="269">
        <f>MEDIAN(I23:I43)</f>
        <v>2100000</v>
      </c>
      <c r="H13" s="270"/>
      <c r="I13" s="1" t="s">
        <v>30</v>
      </c>
      <c r="J13" s="4">
        <f>+F12*1.1</f>
        <v>2063966.6666666667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429</v>
      </c>
      <c r="E23" s="33"/>
      <c r="F23" t="s">
        <v>131</v>
      </c>
      <c r="G23" t="s">
        <v>25</v>
      </c>
      <c r="H23">
        <f>RANK(I23,I$23:I$43,1)</f>
        <v>2</v>
      </c>
      <c r="I23" s="4">
        <v>2100000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1138</v>
      </c>
      <c r="E24" s="33"/>
      <c r="F24" t="s">
        <v>201</v>
      </c>
      <c r="G24" t="s">
        <v>25</v>
      </c>
      <c r="H24">
        <f>RANK(I24,I$23:I$43,1)</f>
        <v>1</v>
      </c>
      <c r="I24" s="4">
        <v>1189000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547</v>
      </c>
      <c r="E25" s="33"/>
      <c r="F25" t="s">
        <v>88</v>
      </c>
      <c r="G25" t="s">
        <v>25</v>
      </c>
      <c r="H25">
        <f>RANK(I25,I$23:I$43,1)</f>
        <v>3</v>
      </c>
      <c r="I25" s="4">
        <v>2340000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379" priority="18" operator="containsText" text="FAIL">
      <formula>NOT(ISERROR(SEARCH("FAIL",I9)))</formula>
    </cfRule>
  </conditionalFormatting>
  <conditionalFormatting sqref="I9">
    <cfRule type="containsText" dxfId="2378" priority="17" operator="containsText" text="GOOD">
      <formula>NOT(ISERROR(SEARCH("GOOD",I9)))</formula>
    </cfRule>
  </conditionalFormatting>
  <conditionalFormatting sqref="F11">
    <cfRule type="containsText" dxfId="2377" priority="16" operator="containsText" text="FAIL">
      <formula>NOT(ISERROR(SEARCH("FAIL",F11)))</formula>
    </cfRule>
  </conditionalFormatting>
  <conditionalFormatting sqref="F11">
    <cfRule type="containsText" dxfId="2376" priority="15" operator="containsText" text="GOOD">
      <formula>NOT(ISERROR(SEARCH("GOOD",F11)))</formula>
    </cfRule>
  </conditionalFormatting>
  <conditionalFormatting sqref="D25">
    <cfRule type="expression" dxfId="2375" priority="14" stopIfTrue="1">
      <formula>IF($H$25=1,0)</formula>
    </cfRule>
  </conditionalFormatting>
  <conditionalFormatting sqref="D23 D29:D43 D25">
    <cfRule type="expression" dxfId="2374" priority="13">
      <formula>H23=1</formula>
    </cfRule>
  </conditionalFormatting>
  <conditionalFormatting sqref="C23:C26 C29:C43">
    <cfRule type="expression" dxfId="2373" priority="12">
      <formula>H23=1</formula>
    </cfRule>
  </conditionalFormatting>
  <conditionalFormatting sqref="E23 E29:E43 E25">
    <cfRule type="expression" dxfId="2372" priority="11">
      <formula>H23=1</formula>
    </cfRule>
  </conditionalFormatting>
  <conditionalFormatting sqref="F11">
    <cfRule type="containsText" dxfId="2371" priority="10" operator="containsText" text="FAIL">
      <formula>NOT(ISERROR(SEARCH("FAIL",F11)))</formula>
    </cfRule>
  </conditionalFormatting>
  <conditionalFormatting sqref="F11">
    <cfRule type="containsText" dxfId="2370" priority="9" operator="containsText" text="GOOD">
      <formula>NOT(ISERROR(SEARCH("GOOD",F11)))</formula>
    </cfRule>
  </conditionalFormatting>
  <conditionalFormatting sqref="D27:D28">
    <cfRule type="expression" dxfId="2369" priority="8">
      <formula>H27=1</formula>
    </cfRule>
  </conditionalFormatting>
  <conditionalFormatting sqref="C27:C28">
    <cfRule type="expression" dxfId="2368" priority="7">
      <formula>H27=1</formula>
    </cfRule>
  </conditionalFormatting>
  <conditionalFormatting sqref="E27:E28">
    <cfRule type="expression" dxfId="2367" priority="6">
      <formula>H27=1</formula>
    </cfRule>
  </conditionalFormatting>
  <conditionalFormatting sqref="D24">
    <cfRule type="expression" dxfId="2366" priority="5" stopIfTrue="1">
      <formula>IF($H$25=1,0)</formula>
    </cfRule>
  </conditionalFormatting>
  <conditionalFormatting sqref="D24">
    <cfRule type="expression" dxfId="2365" priority="4">
      <formula>H24=1</formula>
    </cfRule>
  </conditionalFormatting>
  <conditionalFormatting sqref="E24">
    <cfRule type="expression" dxfId="2364" priority="3">
      <formula>H24=1</formula>
    </cfRule>
  </conditionalFormatting>
  <conditionalFormatting sqref="D26">
    <cfRule type="expression" dxfId="2363" priority="2">
      <formula>H26=1</formula>
    </cfRule>
  </conditionalFormatting>
  <conditionalFormatting sqref="E26">
    <cfRule type="expression" dxfId="2362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2:P47"/>
  <sheetViews>
    <sheetView zoomScaleNormal="100" workbookViewId="0">
      <selection activeCell="K29" sqref="K2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1135</v>
      </c>
      <c r="I4" s="2" t="s">
        <v>4</v>
      </c>
      <c r="J4" t="s">
        <v>616</v>
      </c>
    </row>
    <row r="5" spans="1:16" x14ac:dyDescent="0.25">
      <c r="D5" s="2" t="s">
        <v>1</v>
      </c>
      <c r="F5" t="s">
        <v>982</v>
      </c>
    </row>
    <row r="6" spans="1:16" x14ac:dyDescent="0.25">
      <c r="D6" s="2" t="s">
        <v>2</v>
      </c>
      <c r="F6" s="6">
        <v>43074</v>
      </c>
      <c r="H6" s="11"/>
    </row>
    <row r="7" spans="1:16" x14ac:dyDescent="0.25">
      <c r="D7" s="2" t="s">
        <v>3</v>
      </c>
      <c r="F7" s="5">
        <v>38000000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28470000</v>
      </c>
      <c r="H8" s="11"/>
    </row>
    <row r="9" spans="1:16" x14ac:dyDescent="0.25">
      <c r="D9" s="2" t="s">
        <v>67</v>
      </c>
      <c r="F9" s="4">
        <f>+F8-F7</f>
        <v>-9530000</v>
      </c>
      <c r="G9" s="16">
        <f>+F9/F7</f>
        <v>-0.25078947368421051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-1946675.75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39946675.75</v>
      </c>
      <c r="G12" s="14"/>
      <c r="H12" s="11">
        <f>COUNT(I23:I43)</f>
        <v>4</v>
      </c>
      <c r="I12" s="1" t="s">
        <v>31</v>
      </c>
      <c r="J12" s="4">
        <f>+F8*0.9</f>
        <v>25623000</v>
      </c>
      <c r="K12" s="1" t="s">
        <v>69</v>
      </c>
    </row>
    <row r="13" spans="1:16" x14ac:dyDescent="0.25">
      <c r="D13" s="2" t="s">
        <v>29</v>
      </c>
      <c r="F13" s="4">
        <f>MAX(I23:I43)-MIN(I23:I43)</f>
        <v>22323396</v>
      </c>
      <c r="G13" s="269">
        <f>MEDIAN(I23:I43)</f>
        <v>40261653.5</v>
      </c>
      <c r="H13" s="270"/>
      <c r="I13" s="1" t="s">
        <v>30</v>
      </c>
      <c r="J13" s="4">
        <f>+F12*1.1</f>
        <v>43941343.325000003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968</v>
      </c>
      <c r="E23" s="33"/>
      <c r="F23" t="s">
        <v>203</v>
      </c>
      <c r="G23" t="s">
        <v>204</v>
      </c>
      <c r="I23" s="4" t="s">
        <v>1231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1103</v>
      </c>
      <c r="E24" s="33"/>
      <c r="F24" t="s">
        <v>92</v>
      </c>
      <c r="G24" t="s">
        <v>93</v>
      </c>
      <c r="H24">
        <f>RANK(I24,I$23:I$43,1)</f>
        <v>4</v>
      </c>
      <c r="I24" s="4">
        <v>50793396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874</v>
      </c>
      <c r="E25" s="33"/>
      <c r="F25" t="s">
        <v>532</v>
      </c>
      <c r="G25" t="s">
        <v>93</v>
      </c>
      <c r="H25">
        <f>RANK(I25,I$23:I$43,1)</f>
        <v>2</v>
      </c>
      <c r="I25" s="4">
        <v>33693128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1034</v>
      </c>
      <c r="E26" s="33"/>
      <c r="F26" t="s">
        <v>413</v>
      </c>
      <c r="G26" t="s">
        <v>93</v>
      </c>
      <c r="I26" s="4" t="s">
        <v>1231</v>
      </c>
      <c r="J26" s="4"/>
      <c r="K26" s="4"/>
      <c r="L26" s="4"/>
      <c r="M26" s="22">
        <v>19988800</v>
      </c>
      <c r="N26" s="22"/>
      <c r="O26" s="22"/>
    </row>
    <row r="27" spans="3:15" x14ac:dyDescent="0.25">
      <c r="C27" s="33"/>
      <c r="D27" s="11" t="s">
        <v>450</v>
      </c>
      <c r="E27" s="33"/>
      <c r="F27" t="s">
        <v>451</v>
      </c>
      <c r="G27" t="s">
        <v>93</v>
      </c>
      <c r="H27">
        <f>RANK(I27,I$23:I$43,1)</f>
        <v>1</v>
      </c>
      <c r="I27" s="4">
        <v>28470000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640</v>
      </c>
      <c r="E28" s="33"/>
      <c r="F28" t="s">
        <v>170</v>
      </c>
      <c r="G28" t="s">
        <v>93</v>
      </c>
      <c r="H28">
        <f>RANK(I28,I$23:I$43,1)</f>
        <v>3</v>
      </c>
      <c r="I28" s="4">
        <v>46830179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361" priority="20" operator="containsText" text="FAIL">
      <formula>NOT(ISERROR(SEARCH("FAIL",I9)))</formula>
    </cfRule>
  </conditionalFormatting>
  <conditionalFormatting sqref="I9">
    <cfRule type="containsText" dxfId="2360" priority="19" operator="containsText" text="GOOD">
      <formula>NOT(ISERROR(SEARCH("GOOD",I9)))</formula>
    </cfRule>
  </conditionalFormatting>
  <conditionalFormatting sqref="F11">
    <cfRule type="containsText" dxfId="2359" priority="18" operator="containsText" text="FAIL">
      <formula>NOT(ISERROR(SEARCH("FAIL",F11)))</formula>
    </cfRule>
  </conditionalFormatting>
  <conditionalFormatting sqref="F11">
    <cfRule type="containsText" dxfId="2358" priority="17" operator="containsText" text="GOOD">
      <formula>NOT(ISERROR(SEARCH("GOOD",F11)))</formula>
    </cfRule>
  </conditionalFormatting>
  <conditionalFormatting sqref="D25">
    <cfRule type="expression" dxfId="2357" priority="16" stopIfTrue="1">
      <formula>IF($H$25=1,0)</formula>
    </cfRule>
  </conditionalFormatting>
  <conditionalFormatting sqref="D23 D29:D43 D25">
    <cfRule type="expression" dxfId="2356" priority="15">
      <formula>H23=1</formula>
    </cfRule>
  </conditionalFormatting>
  <conditionalFormatting sqref="C23:C26 C29:C43">
    <cfRule type="expression" dxfId="2355" priority="14">
      <formula>H23=1</formula>
    </cfRule>
  </conditionalFormatting>
  <conditionalFormatting sqref="E23 E29:E43 E25">
    <cfRule type="expression" dxfId="2354" priority="13">
      <formula>H23=1</formula>
    </cfRule>
  </conditionalFormatting>
  <conditionalFormatting sqref="F11">
    <cfRule type="containsText" dxfId="2353" priority="12" operator="containsText" text="FAIL">
      <formula>NOT(ISERROR(SEARCH("FAIL",F11)))</formula>
    </cfRule>
  </conditionalFormatting>
  <conditionalFormatting sqref="F11">
    <cfRule type="containsText" dxfId="2352" priority="11" operator="containsText" text="GOOD">
      <formula>NOT(ISERROR(SEARCH("GOOD",F11)))</formula>
    </cfRule>
  </conditionalFormatting>
  <conditionalFormatting sqref="D27">
    <cfRule type="expression" dxfId="2351" priority="10">
      <formula>H27=1</formula>
    </cfRule>
  </conditionalFormatting>
  <conditionalFormatting sqref="C27:C28">
    <cfRule type="expression" dxfId="2350" priority="9">
      <formula>H27=1</formula>
    </cfRule>
  </conditionalFormatting>
  <conditionalFormatting sqref="E27">
    <cfRule type="expression" dxfId="2349" priority="8">
      <formula>H27=1</formula>
    </cfRule>
  </conditionalFormatting>
  <conditionalFormatting sqref="D24">
    <cfRule type="expression" dxfId="2348" priority="7" stopIfTrue="1">
      <formula>IF($H$25=1,0)</formula>
    </cfRule>
  </conditionalFormatting>
  <conditionalFormatting sqref="D24">
    <cfRule type="expression" dxfId="2347" priority="6">
      <formula>H24=1</formula>
    </cfRule>
  </conditionalFormatting>
  <conditionalFormatting sqref="E24">
    <cfRule type="expression" dxfId="2346" priority="5">
      <formula>H24=1</formula>
    </cfRule>
  </conditionalFormatting>
  <conditionalFormatting sqref="D26">
    <cfRule type="expression" dxfId="2345" priority="4">
      <formula>H26=1</formula>
    </cfRule>
  </conditionalFormatting>
  <conditionalFormatting sqref="E26">
    <cfRule type="expression" dxfId="2344" priority="3">
      <formula>H26=1</formula>
    </cfRule>
  </conditionalFormatting>
  <conditionalFormatting sqref="D28">
    <cfRule type="expression" dxfId="2343" priority="2">
      <formula>H28=1</formula>
    </cfRule>
  </conditionalFormatting>
  <conditionalFormatting sqref="E28">
    <cfRule type="expression" dxfId="2342" priority="1">
      <formula>H28=1</formula>
    </cfRule>
  </conditionalFormatting>
  <pageMargins left="0.7" right="0.7" top="0.75" bottom="0.75" header="0.3" footer="0.3"/>
  <pageSetup scale="68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2:O56"/>
  <sheetViews>
    <sheetView zoomScaleNormal="100" workbookViewId="0">
      <selection activeCell="F30" sqref="F30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1129</v>
      </c>
      <c r="I4" s="2" t="s">
        <v>4</v>
      </c>
      <c r="J4" t="s">
        <v>616</v>
      </c>
    </row>
    <row r="5" spans="1:11" x14ac:dyDescent="0.25">
      <c r="D5" s="2" t="s">
        <v>1</v>
      </c>
      <c r="F5" t="s">
        <v>1130</v>
      </c>
    </row>
    <row r="6" spans="1:11" x14ac:dyDescent="0.25">
      <c r="D6" s="2" t="s">
        <v>2</v>
      </c>
      <c r="F6" s="6">
        <v>43068</v>
      </c>
      <c r="H6" s="11"/>
    </row>
    <row r="7" spans="1:11" x14ac:dyDescent="0.25">
      <c r="D7" s="2" t="s">
        <v>3</v>
      </c>
      <c r="F7" s="5">
        <f>+I7+J7</f>
        <v>6600000</v>
      </c>
      <c r="G7" s="2" t="s">
        <v>34</v>
      </c>
      <c r="H7" s="11"/>
      <c r="I7" s="19">
        <v>1058460</v>
      </c>
      <c r="J7" s="19">
        <v>5541540</v>
      </c>
    </row>
    <row r="8" spans="1:11" x14ac:dyDescent="0.25">
      <c r="D8" s="2" t="s">
        <v>18</v>
      </c>
      <c r="F8" s="5">
        <f>MIN(K23:K43)</f>
        <v>5189333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-1410667</v>
      </c>
      <c r="G9" s="16">
        <f>+F9/F7</f>
        <v>-0.21373742424242423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272882.42857142817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6327117.5714285718</v>
      </c>
      <c r="G12" s="14"/>
      <c r="H12" s="11">
        <f>COUNT(K23:K43)</f>
        <v>7</v>
      </c>
      <c r="I12" s="1" t="s">
        <v>31</v>
      </c>
      <c r="J12" s="4">
        <f>+F8*0.9</f>
        <v>4670399.7</v>
      </c>
      <c r="K12" s="1" t="s">
        <v>69</v>
      </c>
    </row>
    <row r="13" spans="1:11" x14ac:dyDescent="0.25">
      <c r="D13" s="2" t="s">
        <v>29</v>
      </c>
      <c r="F13" s="4">
        <f>MAX(K23:K43)-MIN(K23:K43)</f>
        <v>3067826</v>
      </c>
      <c r="G13" s="269">
        <f>MEDIAN(K23:K43)</f>
        <v>6426041</v>
      </c>
      <c r="H13" s="270"/>
      <c r="I13" s="1" t="s">
        <v>30</v>
      </c>
      <c r="J13" s="4">
        <f>+F12*1.1</f>
        <v>6959829.3285714295</v>
      </c>
      <c r="K13" s="1" t="s">
        <v>70</v>
      </c>
    </row>
    <row r="14" spans="1:11" x14ac:dyDescent="0.25">
      <c r="H14" s="11"/>
    </row>
    <row r="15" spans="1:11" hidden="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hidden="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hidden="1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0.22372881355932203</v>
      </c>
    </row>
    <row r="18" spans="3:15" hidden="1" x14ac:dyDescent="0.25">
      <c r="F18" s="4">
        <f>+F7</f>
        <v>6600000</v>
      </c>
      <c r="G18" s="1" t="s">
        <v>12</v>
      </c>
      <c r="H18" s="11"/>
      <c r="I18" t="s">
        <v>16</v>
      </c>
      <c r="J18" s="7">
        <f>+F8/F18</f>
        <v>0.78626257575757574</v>
      </c>
    </row>
    <row r="19" spans="3:15" hidden="1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0.17297776666666667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561</v>
      </c>
      <c r="E23" s="33"/>
      <c r="F23" t="s">
        <v>215</v>
      </c>
      <c r="G23" t="s">
        <v>25</v>
      </c>
      <c r="H23">
        <f>RANK(K23,K$23:K$43,1)</f>
        <v>5</v>
      </c>
      <c r="I23" s="4">
        <v>1084809</v>
      </c>
      <c r="J23" s="4">
        <v>5512986</v>
      </c>
      <c r="K23" s="4">
        <f t="shared" ref="K23:K29" si="0">+J23+I23</f>
        <v>6597795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979</v>
      </c>
      <c r="E24" s="33"/>
      <c r="F24" t="s">
        <v>201</v>
      </c>
      <c r="G24" t="s">
        <v>25</v>
      </c>
      <c r="H24">
        <f t="shared" ref="H24:H29" si="1">RANK(K24,K$23:K$43,1)</f>
        <v>4</v>
      </c>
      <c r="I24" s="4">
        <v>566990</v>
      </c>
      <c r="J24" s="4">
        <v>5859051</v>
      </c>
      <c r="K24" s="4">
        <f t="shared" si="0"/>
        <v>6426041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1132</v>
      </c>
      <c r="E25" s="33"/>
      <c r="F25" t="s">
        <v>302</v>
      </c>
      <c r="G25" t="s">
        <v>25</v>
      </c>
      <c r="H25">
        <f t="shared" si="1"/>
        <v>7</v>
      </c>
      <c r="I25" s="4">
        <v>971535</v>
      </c>
      <c r="J25" s="4">
        <v>7285624</v>
      </c>
      <c r="K25" s="4">
        <f t="shared" si="0"/>
        <v>8257159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>u</v>
      </c>
      <c r="D26" s="11" t="s">
        <v>1131</v>
      </c>
      <c r="E26" s="33"/>
      <c r="F26" t="s">
        <v>749</v>
      </c>
      <c r="G26" t="s">
        <v>25</v>
      </c>
      <c r="H26">
        <f t="shared" si="1"/>
        <v>1</v>
      </c>
      <c r="I26" s="4">
        <v>473945</v>
      </c>
      <c r="J26" s="4">
        <v>4715388</v>
      </c>
      <c r="K26" s="4">
        <f t="shared" si="0"/>
        <v>5189333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11" t="s">
        <v>676</v>
      </c>
      <c r="E27" s="33"/>
      <c r="F27" t="s">
        <v>85</v>
      </c>
      <c r="G27" t="s">
        <v>25</v>
      </c>
      <c r="H27">
        <f t="shared" si="1"/>
        <v>6</v>
      </c>
      <c r="I27" s="4">
        <v>1220975</v>
      </c>
      <c r="J27" s="4">
        <v>5425441</v>
      </c>
      <c r="K27" s="4">
        <f t="shared" si="0"/>
        <v>6646416</v>
      </c>
      <c r="L27" s="4"/>
      <c r="M27" s="22"/>
      <c r="N27" s="22"/>
      <c r="O27" s="22"/>
    </row>
    <row r="28" spans="3:15" x14ac:dyDescent="0.25">
      <c r="C28" s="33" t="str">
        <f t="shared" si="2"/>
        <v/>
      </c>
      <c r="D28" s="11" t="s">
        <v>908</v>
      </c>
      <c r="E28" s="33"/>
      <c r="F28" t="s">
        <v>131</v>
      </c>
      <c r="G28" t="s">
        <v>25</v>
      </c>
      <c r="H28">
        <f t="shared" si="1"/>
        <v>2</v>
      </c>
      <c r="I28" s="4">
        <v>789190</v>
      </c>
      <c r="J28" s="4">
        <v>4723496</v>
      </c>
      <c r="K28" s="4">
        <f t="shared" si="0"/>
        <v>5512686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11" t="s">
        <v>1133</v>
      </c>
      <c r="E29" s="33"/>
      <c r="F29" t="s">
        <v>1134</v>
      </c>
      <c r="G29" t="s">
        <v>25</v>
      </c>
      <c r="H29">
        <f t="shared" si="1"/>
        <v>3</v>
      </c>
      <c r="I29" s="4">
        <v>1164332</v>
      </c>
      <c r="J29" s="4">
        <v>4496061</v>
      </c>
      <c r="K29" s="4">
        <f t="shared" si="0"/>
        <v>5660393</v>
      </c>
      <c r="L29" s="4"/>
      <c r="M29" s="22"/>
      <c r="N29" s="22"/>
      <c r="O29" s="22"/>
    </row>
    <row r="30" spans="3:15" x14ac:dyDescent="0.25">
      <c r="C30" s="33"/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2341" priority="32" operator="containsText" text="FAIL">
      <formula>NOT(ISERROR(SEARCH("FAIL",I9)))</formula>
    </cfRule>
  </conditionalFormatting>
  <conditionalFormatting sqref="I9">
    <cfRule type="containsText" dxfId="2340" priority="31" operator="containsText" text="GOOD">
      <formula>NOT(ISERROR(SEARCH("GOOD",I9)))</formula>
    </cfRule>
  </conditionalFormatting>
  <conditionalFormatting sqref="I9">
    <cfRule type="containsText" dxfId="2339" priority="30" operator="containsText" text="FAIL">
      <formula>NOT(ISERROR(SEARCH("FAIL",I9)))</formula>
    </cfRule>
  </conditionalFormatting>
  <conditionalFormatting sqref="I9">
    <cfRule type="containsText" dxfId="2338" priority="29" operator="containsText" text="GOOD">
      <formula>NOT(ISERROR(SEARCH("GOOD",I9)))</formula>
    </cfRule>
  </conditionalFormatting>
  <conditionalFormatting sqref="I9">
    <cfRule type="containsText" dxfId="2337" priority="28" operator="containsText" text="FAIL">
      <formula>NOT(ISERROR(SEARCH("FAIL",I9)))</formula>
    </cfRule>
  </conditionalFormatting>
  <conditionalFormatting sqref="I9">
    <cfRule type="containsText" dxfId="2336" priority="27" operator="containsText" text="GOOD">
      <formula>NOT(ISERROR(SEARCH("GOOD",I9)))</formula>
    </cfRule>
  </conditionalFormatting>
  <conditionalFormatting sqref="F11">
    <cfRule type="containsText" dxfId="2335" priority="26" operator="containsText" text="FAIL">
      <formula>NOT(ISERROR(SEARCH("FAIL",F11)))</formula>
    </cfRule>
  </conditionalFormatting>
  <conditionalFormatting sqref="F11">
    <cfRule type="containsText" dxfId="2334" priority="25" operator="containsText" text="GOOD">
      <formula>NOT(ISERROR(SEARCH("GOOD",F11)))</formula>
    </cfRule>
  </conditionalFormatting>
  <conditionalFormatting sqref="I9">
    <cfRule type="containsText" dxfId="2333" priority="24" operator="containsText" text="FAIL">
      <formula>NOT(ISERROR(SEARCH("FAIL",I9)))</formula>
    </cfRule>
  </conditionalFormatting>
  <conditionalFormatting sqref="I9">
    <cfRule type="containsText" dxfId="2332" priority="23" operator="containsText" text="GOOD">
      <formula>NOT(ISERROR(SEARCH("GOOD",I9)))</formula>
    </cfRule>
  </conditionalFormatting>
  <conditionalFormatting sqref="F11">
    <cfRule type="containsText" dxfId="2331" priority="22" operator="containsText" text="FAIL">
      <formula>NOT(ISERROR(SEARCH("FAIL",F11)))</formula>
    </cfRule>
  </conditionalFormatting>
  <conditionalFormatting sqref="F11">
    <cfRule type="containsText" dxfId="2330" priority="21" operator="containsText" text="GOOD">
      <formula>NOT(ISERROR(SEARCH("GOOD",F11)))</formula>
    </cfRule>
  </conditionalFormatting>
  <conditionalFormatting sqref="D25">
    <cfRule type="expression" dxfId="2329" priority="20" stopIfTrue="1">
      <formula>IF($H$25=1,0)</formula>
    </cfRule>
  </conditionalFormatting>
  <conditionalFormatting sqref="D23 D39:D43 D25:D33">
    <cfRule type="expression" dxfId="2328" priority="19">
      <formula>H23=1</formula>
    </cfRule>
  </conditionalFormatting>
  <conditionalFormatting sqref="C23 C39:C43 C25:C33">
    <cfRule type="expression" dxfId="2327" priority="18">
      <formula>H23=1</formula>
    </cfRule>
  </conditionalFormatting>
  <conditionalFormatting sqref="E23 E39:E43 E25:E33">
    <cfRule type="expression" dxfId="2326" priority="17">
      <formula>H23=1</formula>
    </cfRule>
  </conditionalFormatting>
  <conditionalFormatting sqref="E23 E39:E43 E25:E33">
    <cfRule type="expression" dxfId="2325" priority="16">
      <formula>H23=1</formula>
    </cfRule>
  </conditionalFormatting>
  <conditionalFormatting sqref="F11">
    <cfRule type="containsText" dxfId="2324" priority="15" operator="containsText" text="FAIL">
      <formula>NOT(ISERROR(SEARCH("FAIL",F11)))</formula>
    </cfRule>
  </conditionalFormatting>
  <conditionalFormatting sqref="F11">
    <cfRule type="containsText" dxfId="2323" priority="14" operator="containsText" text="GOOD">
      <formula>NOT(ISERROR(SEARCH("GOOD",F11)))</formula>
    </cfRule>
  </conditionalFormatting>
  <conditionalFormatting sqref="D34:D37">
    <cfRule type="expression" dxfId="2322" priority="13">
      <formula>H34=1</formula>
    </cfRule>
  </conditionalFormatting>
  <conditionalFormatting sqref="C34:C37">
    <cfRule type="expression" dxfId="2321" priority="12">
      <formula>H34=1</formula>
    </cfRule>
  </conditionalFormatting>
  <conditionalFormatting sqref="E34:E37">
    <cfRule type="expression" dxfId="2320" priority="11">
      <formula>H34=1</formula>
    </cfRule>
  </conditionalFormatting>
  <conditionalFormatting sqref="E34:E37">
    <cfRule type="expression" dxfId="2319" priority="10">
      <formula>H34=1</formula>
    </cfRule>
  </conditionalFormatting>
  <conditionalFormatting sqref="D38">
    <cfRule type="expression" dxfId="2318" priority="9">
      <formula>H38=1</formula>
    </cfRule>
  </conditionalFormatting>
  <conditionalFormatting sqref="C38">
    <cfRule type="expression" dxfId="2317" priority="8">
      <formula>H38=1</formula>
    </cfRule>
  </conditionalFormatting>
  <conditionalFormatting sqref="E38">
    <cfRule type="expression" dxfId="2316" priority="7">
      <formula>H38=1</formula>
    </cfRule>
  </conditionalFormatting>
  <conditionalFormatting sqref="E38">
    <cfRule type="expression" dxfId="2315" priority="6">
      <formula>H38=1</formula>
    </cfRule>
  </conditionalFormatting>
  <conditionalFormatting sqref="E24">
    <cfRule type="expression" dxfId="2314" priority="1">
      <formula>H24=1</formula>
    </cfRule>
  </conditionalFormatting>
  <conditionalFormatting sqref="D24">
    <cfRule type="expression" dxfId="2313" priority="5" stopIfTrue="1">
      <formula>IF($H$25=1,0)</formula>
    </cfRule>
  </conditionalFormatting>
  <conditionalFormatting sqref="D24">
    <cfRule type="expression" dxfId="2312" priority="4">
      <formula>H24=1</formula>
    </cfRule>
  </conditionalFormatting>
  <conditionalFormatting sqref="C24">
    <cfRule type="expression" dxfId="2311" priority="3">
      <formula>H24=1</formula>
    </cfRule>
  </conditionalFormatting>
  <conditionalFormatting sqref="E24">
    <cfRule type="expression" dxfId="2310" priority="2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2:O56"/>
  <sheetViews>
    <sheetView zoomScaleNormal="100" workbookViewId="0">
      <selection activeCell="J24" sqref="J2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1139</v>
      </c>
      <c r="I4" s="2" t="s">
        <v>4</v>
      </c>
      <c r="J4" t="s">
        <v>784</v>
      </c>
    </row>
    <row r="5" spans="1:11" x14ac:dyDescent="0.25">
      <c r="D5" s="2" t="s">
        <v>1</v>
      </c>
      <c r="F5" t="s">
        <v>1140</v>
      </c>
    </row>
    <row r="6" spans="1:11" x14ac:dyDescent="0.25">
      <c r="D6" s="2" t="s">
        <v>2</v>
      </c>
      <c r="F6" s="6">
        <v>43054</v>
      </c>
      <c r="H6" s="11"/>
    </row>
    <row r="7" spans="1:11" x14ac:dyDescent="0.25">
      <c r="D7" s="2" t="s">
        <v>3</v>
      </c>
      <c r="F7" s="5">
        <f>+I7+J7</f>
        <v>1350000</v>
      </c>
      <c r="G7" s="2" t="s">
        <v>34</v>
      </c>
      <c r="H7" s="11"/>
      <c r="I7" s="19">
        <v>65000</v>
      </c>
      <c r="J7" s="19">
        <v>1285000</v>
      </c>
    </row>
    <row r="8" spans="1:11" x14ac:dyDescent="0.25">
      <c r="D8" s="2" t="s">
        <v>18</v>
      </c>
      <c r="F8" s="5">
        <f>MIN(K23:K43)</f>
        <v>2629000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1279000</v>
      </c>
      <c r="G9" s="16">
        <f>+F9/F7</f>
        <v>0.94740740740740736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-1279000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SUM(K23:K43)/H12</f>
        <v>2629000</v>
      </c>
      <c r="G12" s="14"/>
      <c r="H12" s="11">
        <f>COUNT(K23:K43)</f>
        <v>1</v>
      </c>
      <c r="I12" s="1" t="s">
        <v>31</v>
      </c>
      <c r="J12" s="4">
        <f>+F8*0.9</f>
        <v>2366100</v>
      </c>
      <c r="K12" s="1" t="s">
        <v>69</v>
      </c>
    </row>
    <row r="13" spans="1:11" x14ac:dyDescent="0.25">
      <c r="D13" s="2" t="s">
        <v>29</v>
      </c>
      <c r="F13" s="4">
        <f>MAX(K23:K43)-MIN(K23:K43)</f>
        <v>0</v>
      </c>
      <c r="G13" s="269">
        <f>MEDIAN(K23:K43)</f>
        <v>2629000</v>
      </c>
      <c r="H13" s="270"/>
      <c r="I13" s="1" t="s">
        <v>30</v>
      </c>
      <c r="J13" s="4">
        <f>+F12*1.1</f>
        <v>2891900.0000000005</v>
      </c>
      <c r="K13" s="1" t="s">
        <v>70</v>
      </c>
    </row>
    <row r="14" spans="1:11" x14ac:dyDescent="0.25">
      <c r="H14" s="11"/>
    </row>
    <row r="15" spans="1:11" hidden="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hidden="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hidden="1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4.576271186440678E-2</v>
      </c>
    </row>
    <row r="18" spans="3:15" hidden="1" x14ac:dyDescent="0.25">
      <c r="F18" s="4">
        <f>+F7</f>
        <v>1350000</v>
      </c>
      <c r="G18" s="1" t="s">
        <v>12</v>
      </c>
      <c r="H18" s="11"/>
      <c r="I18" t="s">
        <v>16</v>
      </c>
      <c r="J18" s="7">
        <f>+F8/F18</f>
        <v>1.9474074074074075</v>
      </c>
    </row>
    <row r="19" spans="3:15" hidden="1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8.7633333333333327E-2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979</v>
      </c>
      <c r="E23" s="33"/>
      <c r="F23" t="s">
        <v>201</v>
      </c>
      <c r="G23" t="s">
        <v>25</v>
      </c>
      <c r="H23">
        <f>RANK(K23,K$23:K$43,1)</f>
        <v>1</v>
      </c>
      <c r="I23" s="4">
        <v>420040</v>
      </c>
      <c r="J23" s="4">
        <v>2208960</v>
      </c>
      <c r="K23" s="4">
        <f>+J23+I23</f>
        <v>2629000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/>
      <c r="E24" s="33"/>
      <c r="I24" s="4"/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/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2309" priority="36" operator="containsText" text="FAIL">
      <formula>NOT(ISERROR(SEARCH("FAIL",I9)))</formula>
    </cfRule>
  </conditionalFormatting>
  <conditionalFormatting sqref="I9">
    <cfRule type="containsText" dxfId="2308" priority="35" operator="containsText" text="GOOD">
      <formula>NOT(ISERROR(SEARCH("GOOD",I9)))</formula>
    </cfRule>
  </conditionalFormatting>
  <conditionalFormatting sqref="I9">
    <cfRule type="containsText" dxfId="2307" priority="34" operator="containsText" text="FAIL">
      <formula>NOT(ISERROR(SEARCH("FAIL",I9)))</formula>
    </cfRule>
  </conditionalFormatting>
  <conditionalFormatting sqref="I9">
    <cfRule type="containsText" dxfId="2306" priority="33" operator="containsText" text="GOOD">
      <formula>NOT(ISERROR(SEARCH("GOOD",I9)))</formula>
    </cfRule>
  </conditionalFormatting>
  <conditionalFormatting sqref="I9">
    <cfRule type="containsText" dxfId="2305" priority="32" operator="containsText" text="FAIL">
      <formula>NOT(ISERROR(SEARCH("FAIL",I9)))</formula>
    </cfRule>
  </conditionalFormatting>
  <conditionalFormatting sqref="I9">
    <cfRule type="containsText" dxfId="2304" priority="31" operator="containsText" text="GOOD">
      <formula>NOT(ISERROR(SEARCH("GOOD",I9)))</formula>
    </cfRule>
  </conditionalFormatting>
  <conditionalFormatting sqref="F11">
    <cfRule type="containsText" dxfId="2303" priority="30" operator="containsText" text="FAIL">
      <formula>NOT(ISERROR(SEARCH("FAIL",F11)))</formula>
    </cfRule>
  </conditionalFormatting>
  <conditionalFormatting sqref="F11">
    <cfRule type="containsText" dxfId="2302" priority="29" operator="containsText" text="GOOD">
      <formula>NOT(ISERROR(SEARCH("GOOD",F11)))</formula>
    </cfRule>
  </conditionalFormatting>
  <conditionalFormatting sqref="I9">
    <cfRule type="containsText" dxfId="2301" priority="28" operator="containsText" text="FAIL">
      <formula>NOT(ISERROR(SEARCH("FAIL",I9)))</formula>
    </cfRule>
  </conditionalFormatting>
  <conditionalFormatting sqref="I9">
    <cfRule type="containsText" dxfId="2300" priority="27" operator="containsText" text="GOOD">
      <formula>NOT(ISERROR(SEARCH("GOOD",I9)))</formula>
    </cfRule>
  </conditionalFormatting>
  <conditionalFormatting sqref="F11">
    <cfRule type="containsText" dxfId="2299" priority="26" operator="containsText" text="FAIL">
      <formula>NOT(ISERROR(SEARCH("FAIL",F11)))</formula>
    </cfRule>
  </conditionalFormatting>
  <conditionalFormatting sqref="F11">
    <cfRule type="containsText" dxfId="2298" priority="25" operator="containsText" text="GOOD">
      <formula>NOT(ISERROR(SEARCH("GOOD",F11)))</formula>
    </cfRule>
  </conditionalFormatting>
  <conditionalFormatting sqref="D25">
    <cfRule type="expression" dxfId="2297" priority="24" stopIfTrue="1">
      <formula>IF($H$25=1,0)</formula>
    </cfRule>
  </conditionalFormatting>
  <conditionalFormatting sqref="D39:D43 D25:D33">
    <cfRule type="expression" dxfId="2296" priority="23">
      <formula>H25=1</formula>
    </cfRule>
  </conditionalFormatting>
  <conditionalFormatting sqref="C23 C39:C43 C25:C33">
    <cfRule type="expression" dxfId="2295" priority="22">
      <formula>H23=1</formula>
    </cfRule>
  </conditionalFormatting>
  <conditionalFormatting sqref="E39:E43 E25:E33">
    <cfRule type="expression" dxfId="2294" priority="21">
      <formula>H25=1</formula>
    </cfRule>
  </conditionalFormatting>
  <conditionalFormatting sqref="E39:E43 E25:E33">
    <cfRule type="expression" dxfId="2293" priority="20">
      <formula>H25=1</formula>
    </cfRule>
  </conditionalFormatting>
  <conditionalFormatting sqref="F11">
    <cfRule type="containsText" dxfId="2292" priority="19" operator="containsText" text="FAIL">
      <formula>NOT(ISERROR(SEARCH("FAIL",F11)))</formula>
    </cfRule>
  </conditionalFormatting>
  <conditionalFormatting sqref="F11">
    <cfRule type="containsText" dxfId="2291" priority="18" operator="containsText" text="GOOD">
      <formula>NOT(ISERROR(SEARCH("GOOD",F11)))</formula>
    </cfRule>
  </conditionalFormatting>
  <conditionalFormatting sqref="D34:D37">
    <cfRule type="expression" dxfId="2290" priority="17">
      <formula>H34=1</formula>
    </cfRule>
  </conditionalFormatting>
  <conditionalFormatting sqref="C34:C37">
    <cfRule type="expression" dxfId="2289" priority="16">
      <formula>H34=1</formula>
    </cfRule>
  </conditionalFormatting>
  <conditionalFormatting sqref="E34:E37">
    <cfRule type="expression" dxfId="2288" priority="15">
      <formula>H34=1</formula>
    </cfRule>
  </conditionalFormatting>
  <conditionalFormatting sqref="E34:E37">
    <cfRule type="expression" dxfId="2287" priority="14">
      <formula>H34=1</formula>
    </cfRule>
  </conditionalFormatting>
  <conditionalFormatting sqref="D38">
    <cfRule type="expression" dxfId="2286" priority="13">
      <formula>H38=1</formula>
    </cfRule>
  </conditionalFormatting>
  <conditionalFormatting sqref="C38">
    <cfRule type="expression" dxfId="2285" priority="12">
      <formula>H38=1</formula>
    </cfRule>
  </conditionalFormatting>
  <conditionalFormatting sqref="E38">
    <cfRule type="expression" dxfId="2284" priority="11">
      <formula>H38=1</formula>
    </cfRule>
  </conditionalFormatting>
  <conditionalFormatting sqref="E38">
    <cfRule type="expression" dxfId="2283" priority="10">
      <formula>H38=1</formula>
    </cfRule>
  </conditionalFormatting>
  <conditionalFormatting sqref="E24">
    <cfRule type="expression" dxfId="2282" priority="5">
      <formula>H24=1</formula>
    </cfRule>
  </conditionalFormatting>
  <conditionalFormatting sqref="D24">
    <cfRule type="expression" dxfId="2281" priority="9" stopIfTrue="1">
      <formula>IF($H$25=1,0)</formula>
    </cfRule>
  </conditionalFormatting>
  <conditionalFormatting sqref="D24">
    <cfRule type="expression" dxfId="2280" priority="8">
      <formula>H24=1</formula>
    </cfRule>
  </conditionalFormatting>
  <conditionalFormatting sqref="C24">
    <cfRule type="expression" dxfId="2279" priority="7">
      <formula>H24=1</formula>
    </cfRule>
  </conditionalFormatting>
  <conditionalFormatting sqref="E24">
    <cfRule type="expression" dxfId="2278" priority="6">
      <formula>H24=1</formula>
    </cfRule>
  </conditionalFormatting>
  <conditionalFormatting sqref="E23">
    <cfRule type="expression" dxfId="2277" priority="1">
      <formula>H23=1</formula>
    </cfRule>
  </conditionalFormatting>
  <conditionalFormatting sqref="D23">
    <cfRule type="expression" dxfId="2276" priority="4" stopIfTrue="1">
      <formula>IF($H$25=1,0)</formula>
    </cfRule>
  </conditionalFormatting>
  <conditionalFormatting sqref="D23">
    <cfRule type="expression" dxfId="2275" priority="3">
      <formula>H23=1</formula>
    </cfRule>
  </conditionalFormatting>
  <conditionalFormatting sqref="E23">
    <cfRule type="expression" dxfId="2274" priority="2">
      <formula>H23=1</formula>
    </cfRule>
  </conditionalFormatting>
  <pageMargins left="0.7" right="0.7" top="0.75" bottom="0.75" header="0.3" footer="0.3"/>
  <pageSetup scale="68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2:P47"/>
  <sheetViews>
    <sheetView zoomScaleNormal="100" workbookViewId="0">
      <selection activeCell="K2" sqref="K2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1127</v>
      </c>
      <c r="I4" s="2" t="s">
        <v>4</v>
      </c>
      <c r="J4" t="s">
        <v>447</v>
      </c>
    </row>
    <row r="5" spans="1:15" x14ac:dyDescent="0.25">
      <c r="D5" s="2" t="s">
        <v>1</v>
      </c>
      <c r="F5" t="s">
        <v>1128</v>
      </c>
    </row>
    <row r="6" spans="1:15" x14ac:dyDescent="0.25">
      <c r="D6" s="2" t="s">
        <v>2</v>
      </c>
      <c r="F6" s="6">
        <v>43053</v>
      </c>
      <c r="H6" s="11"/>
    </row>
    <row r="7" spans="1:15" x14ac:dyDescent="0.25">
      <c r="D7" s="2" t="s">
        <v>3</v>
      </c>
      <c r="F7" s="5">
        <f>+L7+K7+J7+I7+(M7*K7)-3000</f>
        <v>17250000</v>
      </c>
      <c r="G7" s="2" t="s">
        <v>756</v>
      </c>
      <c r="H7" s="11"/>
      <c r="I7" s="19">
        <v>0</v>
      </c>
      <c r="J7" s="19">
        <v>14700000</v>
      </c>
      <c r="K7" s="19">
        <v>2220000</v>
      </c>
      <c r="L7" s="19">
        <v>0</v>
      </c>
      <c r="M7" s="20">
        <v>0.15</v>
      </c>
    </row>
    <row r="8" spans="1:15" x14ac:dyDescent="0.25">
      <c r="D8" s="2" t="s">
        <v>18</v>
      </c>
      <c r="F8" s="5">
        <f>MIN(M23:M43)</f>
        <v>22616488</v>
      </c>
      <c r="H8" s="11"/>
      <c r="I8" s="18" t="s">
        <v>43</v>
      </c>
      <c r="J8" s="18" t="s">
        <v>44</v>
      </c>
      <c r="K8" s="18" t="s">
        <v>49</v>
      </c>
      <c r="L8" s="18" t="s">
        <v>934</v>
      </c>
      <c r="M8" s="18" t="s">
        <v>50</v>
      </c>
    </row>
    <row r="9" spans="1:15" x14ac:dyDescent="0.25">
      <c r="D9" s="2" t="s">
        <v>19</v>
      </c>
      <c r="F9" s="4">
        <f>+F8-F7</f>
        <v>5366488</v>
      </c>
      <c r="G9" s="16">
        <f>+F9/F7</f>
        <v>0.3111007536231884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5" x14ac:dyDescent="0.25">
      <c r="D10" s="2" t="s">
        <v>68</v>
      </c>
      <c r="F10" s="4">
        <f>+F7-F12</f>
        <v>-11211824.5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FAIL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28461824.5</v>
      </c>
      <c r="G12" s="14"/>
      <c r="H12" s="11">
        <f>COUNT(M23:M43)</f>
        <v>4</v>
      </c>
      <c r="I12" s="1" t="s">
        <v>31</v>
      </c>
      <c r="J12" s="4">
        <f>+F8*0.9</f>
        <v>20354839.199999999</v>
      </c>
      <c r="K12" s="1" t="s">
        <v>69</v>
      </c>
      <c r="L12" s="1"/>
      <c r="O12" t="str">
        <f>INDEX(D23:D43,MATCH(1,H23:H43,0))</f>
        <v>Railroad Constr</v>
      </c>
    </row>
    <row r="13" spans="1:15" x14ac:dyDescent="0.25">
      <c r="D13" s="2" t="s">
        <v>29</v>
      </c>
      <c r="F13" s="4">
        <f>MAX(M23:M43)-MIN(M23:M43)</f>
        <v>14378722</v>
      </c>
      <c r="G13" s="269">
        <f>MEDIAN(M23:M43)</f>
        <v>27117800</v>
      </c>
      <c r="H13" s="270"/>
      <c r="I13" s="1" t="s">
        <v>30</v>
      </c>
      <c r="J13" s="4">
        <f>+F12*1.1</f>
        <v>31308006.950000003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5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6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6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>IF(H23=1,"u","")</f>
        <v/>
      </c>
      <c r="D23" s="11" t="s">
        <v>1112</v>
      </c>
      <c r="E23" s="33"/>
      <c r="F23" t="s">
        <v>1113</v>
      </c>
      <c r="G23" t="s">
        <v>93</v>
      </c>
      <c r="H23">
        <f>RANK(M23,M$23:M$43,1)</f>
        <v>2</v>
      </c>
      <c r="I23" s="4">
        <v>0</v>
      </c>
      <c r="J23" s="4">
        <v>23256000</v>
      </c>
      <c r="K23" s="4">
        <v>0</v>
      </c>
      <c r="L23" s="7">
        <v>0.35</v>
      </c>
      <c r="M23" s="4">
        <f>+K23+I23+J23+(L23*K$7)+$K$7</f>
        <v>26253000</v>
      </c>
      <c r="N23" s="22"/>
      <c r="O23" s="22">
        <f>+L23*$K$7</f>
        <v>777000</v>
      </c>
      <c r="P23" s="22"/>
    </row>
    <row r="24" spans="3:16" x14ac:dyDescent="0.25">
      <c r="C24" s="33" t="str">
        <f>IF(H24=1,"u","")</f>
        <v/>
      </c>
      <c r="D24" s="11" t="s">
        <v>506</v>
      </c>
      <c r="E24" s="33"/>
      <c r="F24" t="s">
        <v>40</v>
      </c>
      <c r="G24" t="s">
        <v>25</v>
      </c>
      <c r="H24">
        <f>RANK(M24,M$23:M$43,1)</f>
        <v>3</v>
      </c>
      <c r="I24" s="4">
        <v>0</v>
      </c>
      <c r="J24" s="4">
        <v>25141000</v>
      </c>
      <c r="K24" s="4">
        <v>0</v>
      </c>
      <c r="L24" s="7">
        <v>0.28000000000000003</v>
      </c>
      <c r="M24" s="4">
        <f>+K24+I24+J24+(L24*K$7)+$K$7</f>
        <v>27982600</v>
      </c>
      <c r="N24" s="22"/>
      <c r="O24" s="22">
        <f>+L24*$K$7</f>
        <v>621600.00000000012</v>
      </c>
      <c r="P24" s="22"/>
    </row>
    <row r="25" spans="3:16" x14ac:dyDescent="0.25">
      <c r="C25" s="33" t="str">
        <f>IF(H25=1,"u","")</f>
        <v>u</v>
      </c>
      <c r="D25" s="11" t="s">
        <v>1017</v>
      </c>
      <c r="E25" s="33"/>
      <c r="F25" t="s">
        <v>201</v>
      </c>
      <c r="G25" t="s">
        <v>25</v>
      </c>
      <c r="H25">
        <f>RANK(M25,M$23:M$43,1)</f>
        <v>1</v>
      </c>
      <c r="I25" s="4">
        <v>0</v>
      </c>
      <c r="J25" s="4">
        <v>19952488</v>
      </c>
      <c r="K25" s="4">
        <v>0</v>
      </c>
      <c r="L25" s="7">
        <v>0.2</v>
      </c>
      <c r="M25" s="4">
        <f>+K25+I25+J25+(L25*K$7)+$K$7</f>
        <v>22616488</v>
      </c>
      <c r="N25" s="22"/>
      <c r="O25" s="22">
        <f>+L25*$K$7</f>
        <v>444000</v>
      </c>
      <c r="P25" s="22"/>
    </row>
    <row r="26" spans="3:16" x14ac:dyDescent="0.25">
      <c r="C26" s="33" t="str">
        <f t="shared" ref="C26:C43" si="0">IF(H26=1,"u","")</f>
        <v/>
      </c>
      <c r="D26" s="11" t="s">
        <v>491</v>
      </c>
      <c r="E26" s="33"/>
      <c r="F26" t="s">
        <v>203</v>
      </c>
      <c r="G26" t="s">
        <v>204</v>
      </c>
      <c r="H26">
        <f>RANK(M26,M$23:M$43,1)</f>
        <v>4</v>
      </c>
      <c r="I26" s="4">
        <v>0</v>
      </c>
      <c r="J26" s="4">
        <v>34686410</v>
      </c>
      <c r="K26" s="4">
        <v>0</v>
      </c>
      <c r="L26" s="7">
        <v>0.04</v>
      </c>
      <c r="M26" s="4">
        <f>+K26+I26+J26+(L26*K$7)+$K$7</f>
        <v>36995210</v>
      </c>
      <c r="N26" s="22"/>
      <c r="O26" s="22">
        <f>+L26*$K$7</f>
        <v>88800</v>
      </c>
      <c r="P26" s="22"/>
    </row>
    <row r="27" spans="3:16" x14ac:dyDescent="0.25">
      <c r="C27" s="33" t="str">
        <f t="shared" si="0"/>
        <v/>
      </c>
      <c r="D27" s="11"/>
      <c r="E27" s="33"/>
      <c r="I27" s="4"/>
      <c r="J27" s="4"/>
      <c r="K27" s="4"/>
      <c r="L27" s="7"/>
      <c r="M27" s="4"/>
      <c r="N27" s="22"/>
      <c r="O27" s="22"/>
      <c r="P27" s="22"/>
    </row>
    <row r="28" spans="3:16" x14ac:dyDescent="0.25">
      <c r="C28" s="33"/>
      <c r="D28" s="11"/>
      <c r="E28" s="33"/>
      <c r="I28" s="4"/>
      <c r="J28" s="4"/>
      <c r="K28" s="7"/>
      <c r="L28" s="7"/>
      <c r="M28" s="4"/>
      <c r="N28" s="22"/>
      <c r="O28" s="22"/>
      <c r="P28" s="22"/>
    </row>
    <row r="29" spans="3:16" x14ac:dyDescent="0.25">
      <c r="C29" s="33"/>
      <c r="D29" s="11"/>
      <c r="E29" s="33"/>
      <c r="I29" s="4"/>
      <c r="J29" s="4"/>
      <c r="K29" s="7"/>
      <c r="L29" s="7"/>
      <c r="M29" s="4"/>
      <c r="N29" s="22"/>
      <c r="O29" s="22"/>
      <c r="P29" s="22"/>
    </row>
    <row r="30" spans="3:16" x14ac:dyDescent="0.25">
      <c r="C30" s="33" t="str">
        <f t="shared" si="0"/>
        <v/>
      </c>
      <c r="D30" s="11"/>
      <c r="E30" s="33" t="str">
        <f t="shared" ref="E30:E43" si="1">IF(H30=1,"t","")</f>
        <v/>
      </c>
      <c r="I30" s="4"/>
      <c r="J30" s="4"/>
      <c r="K30" s="7"/>
      <c r="L30" s="7"/>
      <c r="M30" s="4"/>
      <c r="N30" s="22"/>
      <c r="O30" s="22"/>
      <c r="P30" s="22"/>
    </row>
    <row r="31" spans="3:16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7"/>
      <c r="L31" s="7"/>
      <c r="M31" s="4"/>
      <c r="N31" s="22"/>
      <c r="O31" s="22"/>
      <c r="P31" s="22"/>
    </row>
    <row r="32" spans="3:16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7"/>
      <c r="L32" s="7"/>
      <c r="M32" s="4"/>
      <c r="N32" s="22"/>
      <c r="O32" s="22"/>
      <c r="P32" s="22"/>
    </row>
    <row r="33" spans="3:16" x14ac:dyDescent="0.25">
      <c r="C33" s="33" t="str">
        <f t="shared" si="0"/>
        <v/>
      </c>
      <c r="D33" s="11"/>
      <c r="E33" s="33" t="str">
        <f t="shared" si="1"/>
        <v/>
      </c>
      <c r="I33" s="4"/>
      <c r="J33" s="4"/>
      <c r="K33" s="7"/>
      <c r="L33" s="7"/>
      <c r="M33" s="4"/>
      <c r="N33" s="21"/>
      <c r="O33" s="21"/>
      <c r="P33" s="21"/>
    </row>
    <row r="34" spans="3:16" x14ac:dyDescent="0.25">
      <c r="C34" s="33" t="str">
        <f t="shared" si="0"/>
        <v/>
      </c>
      <c r="D34" s="11"/>
      <c r="E34" s="33" t="str">
        <f t="shared" si="1"/>
        <v/>
      </c>
      <c r="K34" s="7"/>
      <c r="L34" s="7"/>
      <c r="N34" s="21"/>
      <c r="O34" s="21"/>
      <c r="P34" s="21"/>
    </row>
    <row r="35" spans="3:16" x14ac:dyDescent="0.25">
      <c r="C35" s="33" t="str">
        <f t="shared" si="0"/>
        <v/>
      </c>
      <c r="D35" s="11"/>
      <c r="E35" s="33" t="str">
        <f t="shared" si="1"/>
        <v/>
      </c>
      <c r="K35" s="7"/>
      <c r="L35" s="7"/>
      <c r="N35" s="21"/>
      <c r="O35" s="21"/>
      <c r="P35" s="21"/>
    </row>
    <row r="36" spans="3:16" x14ac:dyDescent="0.25">
      <c r="C36" s="33" t="str">
        <f t="shared" si="0"/>
        <v/>
      </c>
      <c r="D36" s="11"/>
      <c r="E36" s="33" t="str">
        <f t="shared" si="1"/>
        <v/>
      </c>
      <c r="K36" s="7"/>
      <c r="L36" s="7"/>
      <c r="N36" s="21"/>
      <c r="O36" s="21"/>
      <c r="P36" s="21"/>
    </row>
    <row r="37" spans="3:16" x14ac:dyDescent="0.25">
      <c r="C37" s="33" t="str">
        <f t="shared" si="0"/>
        <v/>
      </c>
      <c r="D37" s="11"/>
      <c r="E37" s="33" t="str">
        <f t="shared" si="1"/>
        <v/>
      </c>
      <c r="K37" s="7"/>
      <c r="L37" s="7"/>
      <c r="N37" s="21"/>
      <c r="O37" s="21"/>
      <c r="P37" s="21"/>
    </row>
    <row r="38" spans="3:16" x14ac:dyDescent="0.25">
      <c r="C38" s="33" t="str">
        <f t="shared" si="0"/>
        <v/>
      </c>
      <c r="D38" s="11"/>
      <c r="E38" s="33" t="str">
        <f t="shared" si="1"/>
        <v/>
      </c>
      <c r="K38" s="7"/>
      <c r="L38" s="7"/>
      <c r="N38" s="21"/>
      <c r="O38" s="21"/>
      <c r="P38" s="21"/>
    </row>
    <row r="39" spans="3:16" x14ac:dyDescent="0.25">
      <c r="C39" s="33" t="str">
        <f t="shared" si="0"/>
        <v/>
      </c>
      <c r="D39" s="11"/>
      <c r="E39" s="33" t="str">
        <f t="shared" si="1"/>
        <v/>
      </c>
      <c r="K39" s="7"/>
      <c r="L39" s="7"/>
      <c r="N39" s="21"/>
      <c r="O39" s="21"/>
      <c r="P39" s="21"/>
    </row>
    <row r="40" spans="3:16" x14ac:dyDescent="0.25">
      <c r="C40" s="33" t="str">
        <f t="shared" si="0"/>
        <v/>
      </c>
      <c r="D40" s="11"/>
      <c r="E40" s="33" t="str">
        <f t="shared" si="1"/>
        <v/>
      </c>
      <c r="K40" s="7"/>
      <c r="L40" s="7"/>
      <c r="N40" s="21"/>
      <c r="O40" s="21"/>
      <c r="P40" s="21"/>
    </row>
    <row r="41" spans="3:16" x14ac:dyDescent="0.25">
      <c r="C41" s="33" t="str">
        <f t="shared" si="0"/>
        <v/>
      </c>
      <c r="D41" s="11"/>
      <c r="E41" s="33" t="str">
        <f t="shared" si="1"/>
        <v/>
      </c>
      <c r="K41" s="7"/>
      <c r="L41" s="7"/>
      <c r="N41" s="21"/>
      <c r="O41" s="21"/>
      <c r="P41" s="21"/>
    </row>
    <row r="42" spans="3:16" x14ac:dyDescent="0.25">
      <c r="C42" s="33" t="str">
        <f t="shared" si="0"/>
        <v/>
      </c>
      <c r="D42" s="11"/>
      <c r="E42" s="33" t="str">
        <f t="shared" si="1"/>
        <v/>
      </c>
      <c r="K42" s="7"/>
      <c r="L42" s="7"/>
      <c r="N42" s="21"/>
      <c r="O42" s="21"/>
      <c r="P42" s="21"/>
    </row>
    <row r="43" spans="3:16" x14ac:dyDescent="0.25">
      <c r="C43" s="33" t="str">
        <f t="shared" si="0"/>
        <v/>
      </c>
      <c r="D43" s="11"/>
      <c r="E43" s="33" t="str">
        <f t="shared" si="1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2273" priority="8" operator="containsText" text="FAIL">
      <formula>NOT(ISERROR(SEARCH("FAIL",F9)))</formula>
    </cfRule>
  </conditionalFormatting>
  <conditionalFormatting sqref="I9 F11">
    <cfRule type="containsText" dxfId="2272" priority="7" operator="containsText" text="GOOD">
      <formula>NOT(ISERROR(SEARCH("GOOD",F9)))</formula>
    </cfRule>
  </conditionalFormatting>
  <conditionalFormatting sqref="I9">
    <cfRule type="containsText" dxfId="2271" priority="6" operator="containsText" text="FAIL">
      <formula>NOT(ISERROR(SEARCH("FAIL",I9)))</formula>
    </cfRule>
  </conditionalFormatting>
  <conditionalFormatting sqref="I9">
    <cfRule type="containsText" dxfId="2270" priority="5" operator="containsText" text="GOOD">
      <formula>NOT(ISERROR(SEARCH("GOOD",I9)))</formula>
    </cfRule>
  </conditionalFormatting>
  <conditionalFormatting sqref="D25">
    <cfRule type="expression" dxfId="2269" priority="4" stopIfTrue="1">
      <formula>IF($H$25=1,0)</formula>
    </cfRule>
  </conditionalFormatting>
  <conditionalFormatting sqref="D23:D43">
    <cfRule type="expression" dxfId="2268" priority="3">
      <formula>H23=1</formula>
    </cfRule>
  </conditionalFormatting>
  <conditionalFormatting sqref="C23:C43">
    <cfRule type="expression" dxfId="2267" priority="2">
      <formula>H23=1</formula>
    </cfRule>
  </conditionalFormatting>
  <conditionalFormatting sqref="E23:E43">
    <cfRule type="expression" dxfId="2266" priority="1">
      <formula>H23=1</formula>
    </cfRule>
  </conditionalFormatting>
  <pageMargins left="0.7" right="0.7" top="0.75" bottom="0.75" header="0.3" footer="0.3"/>
  <pageSetup scale="77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2:P47"/>
  <sheetViews>
    <sheetView zoomScaleNormal="100" workbookViewId="0">
      <selection activeCell="I23" sqref="I2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1124</v>
      </c>
      <c r="I4" s="2" t="s">
        <v>4</v>
      </c>
      <c r="J4" t="s">
        <v>616</v>
      </c>
    </row>
    <row r="5" spans="1:16" x14ac:dyDescent="0.25">
      <c r="D5" s="2" t="s">
        <v>1</v>
      </c>
      <c r="F5" t="s">
        <v>1125</v>
      </c>
    </row>
    <row r="6" spans="1:16" x14ac:dyDescent="0.25">
      <c r="D6" s="2" t="s">
        <v>2</v>
      </c>
      <c r="F6" s="6">
        <v>43053</v>
      </c>
      <c r="H6" s="11"/>
    </row>
    <row r="7" spans="1:16" x14ac:dyDescent="0.25">
      <c r="D7" s="2" t="s">
        <v>3</v>
      </c>
      <c r="F7" s="5">
        <v>820000</v>
      </c>
      <c r="G7" s="2" t="s">
        <v>693</v>
      </c>
      <c r="H7" s="11"/>
    </row>
    <row r="8" spans="1:16" x14ac:dyDescent="0.25">
      <c r="D8" s="2" t="s">
        <v>18</v>
      </c>
      <c r="F8" s="5">
        <f>MIN(I23:I43)</f>
        <v>861500</v>
      </c>
      <c r="H8" s="11"/>
    </row>
    <row r="9" spans="1:16" x14ac:dyDescent="0.25">
      <c r="D9" s="2" t="s">
        <v>67</v>
      </c>
      <c r="F9" s="4">
        <f>+F8-F7</f>
        <v>41500</v>
      </c>
      <c r="G9" s="16">
        <f>+F9/F7</f>
        <v>5.0609756097560979E-2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-935273.5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1755273.5</v>
      </c>
      <c r="G12" s="14"/>
      <c r="H12" s="11">
        <f>COUNT(I23:I43)</f>
        <v>4</v>
      </c>
      <c r="I12" s="1" t="s">
        <v>31</v>
      </c>
      <c r="J12" s="4">
        <f>+F8*0.9</f>
        <v>775350</v>
      </c>
      <c r="K12" s="1" t="s">
        <v>69</v>
      </c>
    </row>
    <row r="13" spans="1:16" x14ac:dyDescent="0.25">
      <c r="D13" s="2" t="s">
        <v>29</v>
      </c>
      <c r="F13" s="4">
        <f>MAX(I23:I43)-MIN(I23:I43)</f>
        <v>2929500</v>
      </c>
      <c r="G13" s="269">
        <f>MEDIAN(I23:I43)</f>
        <v>1184297</v>
      </c>
      <c r="H13" s="270"/>
      <c r="I13" s="1" t="s">
        <v>30</v>
      </c>
      <c r="J13" s="4">
        <f>+F12*1.1</f>
        <v>1930800.85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1126</v>
      </c>
      <c r="E23" s="33"/>
      <c r="F23" t="s">
        <v>943</v>
      </c>
      <c r="G23" t="s">
        <v>25</v>
      </c>
      <c r="H23">
        <f>RANK(I23,I$23:I$43,1)</f>
        <v>2</v>
      </c>
      <c r="I23" s="4">
        <v>877300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725</v>
      </c>
      <c r="E24" s="33"/>
      <c r="F24" t="s">
        <v>594</v>
      </c>
      <c r="G24" t="s">
        <v>25</v>
      </c>
      <c r="H24">
        <f>RANK(I24,I$23:I$43,1)</f>
        <v>4</v>
      </c>
      <c r="I24" s="4">
        <v>3791000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708</v>
      </c>
      <c r="E25" s="33"/>
      <c r="F25" t="s">
        <v>709</v>
      </c>
      <c r="G25" t="s">
        <v>93</v>
      </c>
      <c r="H25">
        <f>RANK(I25,I$23:I$43,1)</f>
        <v>3</v>
      </c>
      <c r="I25" s="4">
        <v>1491294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710</v>
      </c>
      <c r="E26" s="33"/>
      <c r="F26" t="s">
        <v>386</v>
      </c>
      <c r="G26" t="s">
        <v>25</v>
      </c>
      <c r="H26">
        <f>RANK(I26,I$23:I$43,1)</f>
        <v>1</v>
      </c>
      <c r="I26" s="4">
        <v>861500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265" priority="18" operator="containsText" text="FAIL">
      <formula>NOT(ISERROR(SEARCH("FAIL",I9)))</formula>
    </cfRule>
  </conditionalFormatting>
  <conditionalFormatting sqref="I9">
    <cfRule type="containsText" dxfId="2264" priority="17" operator="containsText" text="GOOD">
      <formula>NOT(ISERROR(SEARCH("GOOD",I9)))</formula>
    </cfRule>
  </conditionalFormatting>
  <conditionalFormatting sqref="F11">
    <cfRule type="containsText" dxfId="2263" priority="16" operator="containsText" text="FAIL">
      <formula>NOT(ISERROR(SEARCH("FAIL",F11)))</formula>
    </cfRule>
  </conditionalFormatting>
  <conditionalFormatting sqref="F11">
    <cfRule type="containsText" dxfId="2262" priority="15" operator="containsText" text="GOOD">
      <formula>NOT(ISERROR(SEARCH("GOOD",F11)))</formula>
    </cfRule>
  </conditionalFormatting>
  <conditionalFormatting sqref="D25">
    <cfRule type="expression" dxfId="2261" priority="14" stopIfTrue="1">
      <formula>IF($H$25=1,0)</formula>
    </cfRule>
  </conditionalFormatting>
  <conditionalFormatting sqref="D23 D29:D43 D25">
    <cfRule type="expression" dxfId="2260" priority="13">
      <formula>H23=1</formula>
    </cfRule>
  </conditionalFormatting>
  <conditionalFormatting sqref="C23:C26 C29:C43">
    <cfRule type="expression" dxfId="2259" priority="12">
      <formula>H23=1</formula>
    </cfRule>
  </conditionalFormatting>
  <conditionalFormatting sqref="E23 E29:E43 E25">
    <cfRule type="expression" dxfId="2258" priority="11">
      <formula>H23=1</formula>
    </cfRule>
  </conditionalFormatting>
  <conditionalFormatting sqref="F11">
    <cfRule type="containsText" dxfId="2257" priority="10" operator="containsText" text="FAIL">
      <formula>NOT(ISERROR(SEARCH("FAIL",F11)))</formula>
    </cfRule>
  </conditionalFormatting>
  <conditionalFormatting sqref="F11">
    <cfRule type="containsText" dxfId="2256" priority="9" operator="containsText" text="GOOD">
      <formula>NOT(ISERROR(SEARCH("GOOD",F11)))</formula>
    </cfRule>
  </conditionalFormatting>
  <conditionalFormatting sqref="D27:D28">
    <cfRule type="expression" dxfId="2255" priority="8">
      <formula>H27=1</formula>
    </cfRule>
  </conditionalFormatting>
  <conditionalFormatting sqref="C27:C28">
    <cfRule type="expression" dxfId="2254" priority="7">
      <formula>H27=1</formula>
    </cfRule>
  </conditionalFormatting>
  <conditionalFormatting sqref="E27:E28">
    <cfRule type="expression" dxfId="2253" priority="6">
      <formula>H27=1</formula>
    </cfRule>
  </conditionalFormatting>
  <conditionalFormatting sqref="D24">
    <cfRule type="expression" dxfId="2252" priority="5" stopIfTrue="1">
      <formula>IF($H$25=1,0)</formula>
    </cfRule>
  </conditionalFormatting>
  <conditionalFormatting sqref="D24">
    <cfRule type="expression" dxfId="2251" priority="4">
      <formula>H24=1</formula>
    </cfRule>
  </conditionalFormatting>
  <conditionalFormatting sqref="E24">
    <cfRule type="expression" dxfId="2250" priority="3">
      <formula>H24=1</formula>
    </cfRule>
  </conditionalFormatting>
  <conditionalFormatting sqref="D26">
    <cfRule type="expression" dxfId="2249" priority="2">
      <formula>H26=1</formula>
    </cfRule>
  </conditionalFormatting>
  <conditionalFormatting sqref="E26">
    <cfRule type="expression" dxfId="2248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2:O56"/>
  <sheetViews>
    <sheetView zoomScaleNormal="100" workbookViewId="0">
      <selection activeCell="N25" sqref="N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1118</v>
      </c>
      <c r="I4" s="2" t="s">
        <v>4</v>
      </c>
      <c r="J4" t="s">
        <v>816</v>
      </c>
    </row>
    <row r="5" spans="1:11" x14ac:dyDescent="0.25">
      <c r="D5" s="2" t="s">
        <v>1</v>
      </c>
      <c r="F5" t="s">
        <v>1119</v>
      </c>
    </row>
    <row r="6" spans="1:11" x14ac:dyDescent="0.25">
      <c r="D6" s="2" t="s">
        <v>2</v>
      </c>
      <c r="F6" s="6">
        <v>43048</v>
      </c>
      <c r="H6" s="11"/>
    </row>
    <row r="7" spans="1:11" x14ac:dyDescent="0.25">
      <c r="D7" s="2" t="s">
        <v>3</v>
      </c>
      <c r="F7" s="5">
        <f>+I7+J7</f>
        <v>4860000</v>
      </c>
      <c r="G7" s="2" t="s">
        <v>34</v>
      </c>
      <c r="H7" s="11"/>
      <c r="I7" s="19">
        <v>580381</v>
      </c>
      <c r="J7" s="19">
        <v>4279619</v>
      </c>
    </row>
    <row r="8" spans="1:11" x14ac:dyDescent="0.25">
      <c r="D8" s="2" t="s">
        <v>18</v>
      </c>
      <c r="F8" s="5">
        <f>MIN(K23:K43)</f>
        <v>3418000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-1442000</v>
      </c>
      <c r="G9" s="16">
        <f>+F9/F7</f>
        <v>-0.29670781893004117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236520.5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4623479.5</v>
      </c>
      <c r="G12" s="14"/>
      <c r="H12" s="11">
        <f>COUNT(K23:K43)</f>
        <v>8</v>
      </c>
      <c r="I12" s="1" t="s">
        <v>31</v>
      </c>
      <c r="J12" s="4">
        <f>+F8*0.9</f>
        <v>3076200</v>
      </c>
      <c r="K12" s="1" t="s">
        <v>69</v>
      </c>
    </row>
    <row r="13" spans="1:11" x14ac:dyDescent="0.25">
      <c r="D13" s="2" t="s">
        <v>29</v>
      </c>
      <c r="F13" s="4">
        <f>MAX(K23:K43)-MIN(K23:K43)</f>
        <v>2395566</v>
      </c>
      <c r="G13" s="269">
        <f>MEDIAN(K23:K43)</f>
        <v>4784653.5</v>
      </c>
      <c r="H13" s="270"/>
      <c r="I13" s="1" t="s">
        <v>30</v>
      </c>
      <c r="J13" s="4">
        <f>+F12*1.1</f>
        <v>5085827.45</v>
      </c>
      <c r="K13" s="1" t="s">
        <v>70</v>
      </c>
    </row>
    <row r="14" spans="1:11" x14ac:dyDescent="0.25">
      <c r="H14" s="11"/>
    </row>
    <row r="15" spans="1:11" hidden="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hidden="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hidden="1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0.16474576271186442</v>
      </c>
    </row>
    <row r="18" spans="3:15" hidden="1" x14ac:dyDescent="0.25">
      <c r="F18" s="4">
        <f>+F7</f>
        <v>4860000</v>
      </c>
      <c r="G18" s="1" t="s">
        <v>12</v>
      </c>
      <c r="H18" s="11"/>
      <c r="I18" t="s">
        <v>16</v>
      </c>
      <c r="J18" s="7">
        <f>+F8/F18</f>
        <v>0.70329218106995883</v>
      </c>
    </row>
    <row r="19" spans="3:15" hidden="1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0.11393333333333333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564</v>
      </c>
      <c r="E23" s="33"/>
      <c r="F23" t="s">
        <v>558</v>
      </c>
      <c r="G23" t="s">
        <v>25</v>
      </c>
      <c r="H23">
        <f>RANK(K23,K$23:K$43,1)</f>
        <v>3</v>
      </c>
      <c r="I23" s="4">
        <v>238890</v>
      </c>
      <c r="J23" s="4">
        <v>3989828</v>
      </c>
      <c r="K23" s="4">
        <f>+J23+I23</f>
        <v>4228718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979</v>
      </c>
      <c r="E24" s="33"/>
      <c r="F24" t="s">
        <v>201</v>
      </c>
      <c r="G24" t="s">
        <v>25</v>
      </c>
      <c r="H24">
        <f t="shared" ref="H24:H30" si="0">RANK(K24,K$23:K$43,1)</f>
        <v>5</v>
      </c>
      <c r="I24" s="4">
        <v>727099</v>
      </c>
      <c r="J24" s="4">
        <v>4204611</v>
      </c>
      <c r="K24" s="4">
        <f t="shared" ref="K24:K30" si="1">+J24+I24</f>
        <v>4931710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1120</v>
      </c>
      <c r="E25" s="33"/>
      <c r="F25" t="s">
        <v>1121</v>
      </c>
      <c r="G25" t="s">
        <v>25</v>
      </c>
      <c r="H25">
        <f t="shared" si="0"/>
        <v>2</v>
      </c>
      <c r="I25" s="4">
        <v>546407</v>
      </c>
      <c r="J25" s="4">
        <v>3129592</v>
      </c>
      <c r="K25" s="4">
        <f t="shared" si="1"/>
        <v>3675999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11" t="s">
        <v>1122</v>
      </c>
      <c r="E26" s="33"/>
      <c r="F26" t="s">
        <v>558</v>
      </c>
      <c r="G26" t="s">
        <v>25</v>
      </c>
      <c r="H26">
        <f t="shared" si="0"/>
        <v>8</v>
      </c>
      <c r="I26" s="4">
        <v>704945</v>
      </c>
      <c r="J26" s="4">
        <v>5108621</v>
      </c>
      <c r="K26" s="4">
        <f t="shared" si="1"/>
        <v>5813566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11" t="s">
        <v>907</v>
      </c>
      <c r="E27" s="33"/>
      <c r="F27" t="s">
        <v>312</v>
      </c>
      <c r="G27" t="s">
        <v>25</v>
      </c>
      <c r="H27">
        <f t="shared" si="0"/>
        <v>6</v>
      </c>
      <c r="I27" s="4">
        <v>620406</v>
      </c>
      <c r="J27" s="4">
        <v>4313898</v>
      </c>
      <c r="K27" s="4">
        <f t="shared" si="1"/>
        <v>4934304</v>
      </c>
      <c r="L27" s="4"/>
      <c r="M27" s="22"/>
      <c r="N27" s="22"/>
      <c r="O27" s="22"/>
    </row>
    <row r="28" spans="3:15" x14ac:dyDescent="0.25">
      <c r="C28" s="33" t="str">
        <f t="shared" si="2"/>
        <v/>
      </c>
      <c r="D28" s="11" t="s">
        <v>908</v>
      </c>
      <c r="E28" s="33"/>
      <c r="F28" t="s">
        <v>1123</v>
      </c>
      <c r="G28" t="s">
        <v>25</v>
      </c>
      <c r="H28">
        <f t="shared" si="0"/>
        <v>7</v>
      </c>
      <c r="I28" s="4">
        <v>661717</v>
      </c>
      <c r="J28" s="4">
        <v>4686225</v>
      </c>
      <c r="K28" s="4">
        <f t="shared" si="1"/>
        <v>5347942</v>
      </c>
      <c r="L28" s="4"/>
      <c r="M28" s="22"/>
      <c r="N28" s="22"/>
      <c r="O28" s="22"/>
    </row>
    <row r="29" spans="3:15" x14ac:dyDescent="0.25">
      <c r="C29" s="33" t="str">
        <f t="shared" si="2"/>
        <v>u</v>
      </c>
      <c r="D29" s="11" t="s">
        <v>485</v>
      </c>
      <c r="E29" s="33"/>
      <c r="F29" t="s">
        <v>486</v>
      </c>
      <c r="G29" t="s">
        <v>25</v>
      </c>
      <c r="H29">
        <f t="shared" si="0"/>
        <v>1</v>
      </c>
      <c r="I29" s="4">
        <v>440700</v>
      </c>
      <c r="J29" s="4">
        <v>2977300</v>
      </c>
      <c r="K29" s="4">
        <f t="shared" si="1"/>
        <v>3418000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11" t="s">
        <v>740</v>
      </c>
      <c r="E30" s="33"/>
      <c r="F30" t="s">
        <v>149</v>
      </c>
      <c r="G30" t="s">
        <v>25</v>
      </c>
      <c r="H30">
        <f t="shared" si="0"/>
        <v>4</v>
      </c>
      <c r="I30" s="4">
        <v>521800</v>
      </c>
      <c r="J30" s="4">
        <v>4115797</v>
      </c>
      <c r="K30" s="4">
        <f t="shared" si="1"/>
        <v>4637597</v>
      </c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2247" priority="32" operator="containsText" text="FAIL">
      <formula>NOT(ISERROR(SEARCH("FAIL",I9)))</formula>
    </cfRule>
  </conditionalFormatting>
  <conditionalFormatting sqref="I9">
    <cfRule type="containsText" dxfId="2246" priority="31" operator="containsText" text="GOOD">
      <formula>NOT(ISERROR(SEARCH("GOOD",I9)))</formula>
    </cfRule>
  </conditionalFormatting>
  <conditionalFormatting sqref="I9">
    <cfRule type="containsText" dxfId="2245" priority="30" operator="containsText" text="FAIL">
      <formula>NOT(ISERROR(SEARCH("FAIL",I9)))</formula>
    </cfRule>
  </conditionalFormatting>
  <conditionalFormatting sqref="I9">
    <cfRule type="containsText" dxfId="2244" priority="29" operator="containsText" text="GOOD">
      <formula>NOT(ISERROR(SEARCH("GOOD",I9)))</formula>
    </cfRule>
  </conditionalFormatting>
  <conditionalFormatting sqref="I9">
    <cfRule type="containsText" dxfId="2243" priority="28" operator="containsText" text="FAIL">
      <formula>NOT(ISERROR(SEARCH("FAIL",I9)))</formula>
    </cfRule>
  </conditionalFormatting>
  <conditionalFormatting sqref="I9">
    <cfRule type="containsText" dxfId="2242" priority="27" operator="containsText" text="GOOD">
      <formula>NOT(ISERROR(SEARCH("GOOD",I9)))</formula>
    </cfRule>
  </conditionalFormatting>
  <conditionalFormatting sqref="F11">
    <cfRule type="containsText" dxfId="2241" priority="26" operator="containsText" text="FAIL">
      <formula>NOT(ISERROR(SEARCH("FAIL",F11)))</formula>
    </cfRule>
  </conditionalFormatting>
  <conditionalFormatting sqref="F11">
    <cfRule type="containsText" dxfId="2240" priority="25" operator="containsText" text="GOOD">
      <formula>NOT(ISERROR(SEARCH("GOOD",F11)))</formula>
    </cfRule>
  </conditionalFormatting>
  <conditionalFormatting sqref="I9">
    <cfRule type="containsText" dxfId="2239" priority="24" operator="containsText" text="FAIL">
      <formula>NOT(ISERROR(SEARCH("FAIL",I9)))</formula>
    </cfRule>
  </conditionalFormatting>
  <conditionalFormatting sqref="I9">
    <cfRule type="containsText" dxfId="2238" priority="23" operator="containsText" text="GOOD">
      <formula>NOT(ISERROR(SEARCH("GOOD",I9)))</formula>
    </cfRule>
  </conditionalFormatting>
  <conditionalFormatting sqref="F11">
    <cfRule type="containsText" dxfId="2237" priority="22" operator="containsText" text="FAIL">
      <formula>NOT(ISERROR(SEARCH("FAIL",F11)))</formula>
    </cfRule>
  </conditionalFormatting>
  <conditionalFormatting sqref="F11">
    <cfRule type="containsText" dxfId="2236" priority="21" operator="containsText" text="GOOD">
      <formula>NOT(ISERROR(SEARCH("GOOD",F11)))</formula>
    </cfRule>
  </conditionalFormatting>
  <conditionalFormatting sqref="D25">
    <cfRule type="expression" dxfId="2235" priority="20" stopIfTrue="1">
      <formula>IF($H$25=1,0)</formula>
    </cfRule>
  </conditionalFormatting>
  <conditionalFormatting sqref="D23 D39:D43 D25:D33">
    <cfRule type="expression" dxfId="2234" priority="19">
      <formula>H23=1</formula>
    </cfRule>
  </conditionalFormatting>
  <conditionalFormatting sqref="C23 C39:C43 C25:C33">
    <cfRule type="expression" dxfId="2233" priority="18">
      <formula>H23=1</formula>
    </cfRule>
  </conditionalFormatting>
  <conditionalFormatting sqref="E23 E39:E43 E25:E33">
    <cfRule type="expression" dxfId="2232" priority="17">
      <formula>H23=1</formula>
    </cfRule>
  </conditionalFormatting>
  <conditionalFormatting sqref="E23 E39:E43 E25:E33">
    <cfRule type="expression" dxfId="2231" priority="16">
      <formula>H23=1</formula>
    </cfRule>
  </conditionalFormatting>
  <conditionalFormatting sqref="F11">
    <cfRule type="containsText" dxfId="2230" priority="15" operator="containsText" text="FAIL">
      <formula>NOT(ISERROR(SEARCH("FAIL",F11)))</formula>
    </cfRule>
  </conditionalFormatting>
  <conditionalFormatting sqref="F11">
    <cfRule type="containsText" dxfId="2229" priority="14" operator="containsText" text="GOOD">
      <formula>NOT(ISERROR(SEARCH("GOOD",F11)))</formula>
    </cfRule>
  </conditionalFormatting>
  <conditionalFormatting sqref="D34:D37">
    <cfRule type="expression" dxfId="2228" priority="13">
      <formula>H34=1</formula>
    </cfRule>
  </conditionalFormatting>
  <conditionalFormatting sqref="C34:C37">
    <cfRule type="expression" dxfId="2227" priority="12">
      <formula>H34=1</formula>
    </cfRule>
  </conditionalFormatting>
  <conditionalFormatting sqref="E34:E37">
    <cfRule type="expression" dxfId="2226" priority="11">
      <formula>H34=1</formula>
    </cfRule>
  </conditionalFormatting>
  <conditionalFormatting sqref="E34:E37">
    <cfRule type="expression" dxfId="2225" priority="10">
      <formula>H34=1</formula>
    </cfRule>
  </conditionalFormatting>
  <conditionalFormatting sqref="D38">
    <cfRule type="expression" dxfId="2224" priority="9">
      <formula>H38=1</formula>
    </cfRule>
  </conditionalFormatting>
  <conditionalFormatting sqref="C38">
    <cfRule type="expression" dxfId="2223" priority="8">
      <formula>H38=1</formula>
    </cfRule>
  </conditionalFormatting>
  <conditionalFormatting sqref="E38">
    <cfRule type="expression" dxfId="2222" priority="7">
      <formula>H38=1</formula>
    </cfRule>
  </conditionalFormatting>
  <conditionalFormatting sqref="E38">
    <cfRule type="expression" dxfId="2221" priority="6">
      <formula>H38=1</formula>
    </cfRule>
  </conditionalFormatting>
  <conditionalFormatting sqref="E24">
    <cfRule type="expression" dxfId="2220" priority="1">
      <formula>H24=1</formula>
    </cfRule>
  </conditionalFormatting>
  <conditionalFormatting sqref="D24">
    <cfRule type="expression" dxfId="2219" priority="5" stopIfTrue="1">
      <formula>IF($H$25=1,0)</formula>
    </cfRule>
  </conditionalFormatting>
  <conditionalFormatting sqref="D24">
    <cfRule type="expression" dxfId="2218" priority="4">
      <formula>H24=1</formula>
    </cfRule>
  </conditionalFormatting>
  <conditionalFormatting sqref="C24">
    <cfRule type="expression" dxfId="2217" priority="3">
      <formula>H24=1</formula>
    </cfRule>
  </conditionalFormatting>
  <conditionalFormatting sqref="E24">
    <cfRule type="expression" dxfId="2216" priority="2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2:O56"/>
  <sheetViews>
    <sheetView zoomScaleNormal="100" workbookViewId="0">
      <selection activeCell="I36" sqref="I3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1116</v>
      </c>
      <c r="I4" s="2" t="s">
        <v>4</v>
      </c>
      <c r="J4" t="s">
        <v>616</v>
      </c>
    </row>
    <row r="5" spans="1:11" x14ac:dyDescent="0.25">
      <c r="D5" s="2" t="s">
        <v>1</v>
      </c>
      <c r="F5" t="s">
        <v>1117</v>
      </c>
    </row>
    <row r="6" spans="1:11" x14ac:dyDescent="0.25">
      <c r="D6" s="2" t="s">
        <v>2</v>
      </c>
      <c r="F6" s="6">
        <v>43047</v>
      </c>
      <c r="H6" s="11"/>
    </row>
    <row r="7" spans="1:11" x14ac:dyDescent="0.25">
      <c r="D7" s="2" t="s">
        <v>3</v>
      </c>
      <c r="F7" s="5">
        <f>+I7+J7</f>
        <v>26900000</v>
      </c>
      <c r="G7" s="2" t="s">
        <v>190</v>
      </c>
      <c r="H7" s="11"/>
      <c r="I7" s="19">
        <v>19700000</v>
      </c>
      <c r="J7" s="19">
        <v>7200000</v>
      </c>
    </row>
    <row r="8" spans="1:11" x14ac:dyDescent="0.25">
      <c r="D8" s="2" t="s">
        <v>18</v>
      </c>
      <c r="F8" s="5">
        <f>MIN(K23:K43)</f>
        <v>26600000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-300000</v>
      </c>
      <c r="G9" s="16">
        <f>+F9/F7</f>
        <v>-1.1152416356877323E-2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1" x14ac:dyDescent="0.25">
      <c r="D10" s="2" t="s">
        <v>68</v>
      </c>
      <c r="F10" s="4">
        <f>+F7-F12</f>
        <v>-1759203.6666666679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28659203.666666668</v>
      </c>
      <c r="G12" s="14"/>
      <c r="H12" s="11">
        <f>COUNT(K23:K43)</f>
        <v>3</v>
      </c>
      <c r="I12" s="1" t="s">
        <v>31</v>
      </c>
      <c r="J12" s="4">
        <f>+F8*0.9</f>
        <v>23940000</v>
      </c>
      <c r="K12" s="1" t="s">
        <v>69</v>
      </c>
    </row>
    <row r="13" spans="1:11" x14ac:dyDescent="0.25">
      <c r="D13" s="2" t="s">
        <v>29</v>
      </c>
      <c r="F13" s="4">
        <f>MAX(K23:K43)-MIN(K23:K43)</f>
        <v>3303900</v>
      </c>
      <c r="G13" s="269">
        <f>MEDIAN(K23:K43)</f>
        <v>29473711</v>
      </c>
      <c r="H13" s="270"/>
      <c r="I13" s="1" t="s">
        <v>30</v>
      </c>
      <c r="J13" s="4">
        <f>+F12*1.1</f>
        <v>31525124.033333339</v>
      </c>
      <c r="K13" s="1" t="s">
        <v>70</v>
      </c>
    </row>
    <row r="14" spans="1:11" x14ac:dyDescent="0.25">
      <c r="H14" s="11"/>
    </row>
    <row r="15" spans="1:11" hidden="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hidden="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hidden="1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0.91186440677966096</v>
      </c>
    </row>
    <row r="18" spans="3:15" hidden="1" x14ac:dyDescent="0.25">
      <c r="F18" s="4">
        <f>+F7</f>
        <v>26900000</v>
      </c>
      <c r="G18" s="1" t="s">
        <v>12</v>
      </c>
      <c r="H18" s="11"/>
      <c r="I18" t="s">
        <v>16</v>
      </c>
      <c r="J18" s="7">
        <f>+F8/F18</f>
        <v>0.98884758364312264</v>
      </c>
    </row>
    <row r="19" spans="3:15" hidden="1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0.88666666666666671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440</v>
      </c>
      <c r="E23" s="33"/>
      <c r="F23" t="s">
        <v>193</v>
      </c>
      <c r="G23" t="s">
        <v>25</v>
      </c>
      <c r="H23">
        <f>RANK(K23,K$23:K$43,1)</f>
        <v>2</v>
      </c>
      <c r="I23" s="4">
        <v>20025300</v>
      </c>
      <c r="J23" s="4">
        <v>9448411</v>
      </c>
      <c r="K23" s="4">
        <f>+J23+I23</f>
        <v>29473711</v>
      </c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788</v>
      </c>
      <c r="E24" s="33"/>
      <c r="F24" t="s">
        <v>115</v>
      </c>
      <c r="G24" t="s">
        <v>25</v>
      </c>
      <c r="H24">
        <f>RANK(K24,K$23:K$43,1)</f>
        <v>1</v>
      </c>
      <c r="I24" s="4">
        <v>18593700</v>
      </c>
      <c r="J24" s="4">
        <v>8006300</v>
      </c>
      <c r="K24" s="4">
        <f>+J24+I24</f>
        <v>26600000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745</v>
      </c>
      <c r="E25" s="33"/>
      <c r="F25" t="s">
        <v>159</v>
      </c>
      <c r="G25" t="s">
        <v>93</v>
      </c>
      <c r="H25">
        <f>RANK(K25,K$23:K$43,1)</f>
        <v>3</v>
      </c>
      <c r="I25" s="4">
        <v>18133900</v>
      </c>
      <c r="J25" s="4">
        <v>11770000</v>
      </c>
      <c r="K25" s="4">
        <f>+J25+I25</f>
        <v>29903900</v>
      </c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2215" priority="32" operator="containsText" text="FAIL">
      <formula>NOT(ISERROR(SEARCH("FAIL",I9)))</formula>
    </cfRule>
  </conditionalFormatting>
  <conditionalFormatting sqref="I9">
    <cfRule type="containsText" dxfId="2214" priority="31" operator="containsText" text="GOOD">
      <formula>NOT(ISERROR(SEARCH("GOOD",I9)))</formula>
    </cfRule>
  </conditionalFormatting>
  <conditionalFormatting sqref="I9">
    <cfRule type="containsText" dxfId="2213" priority="30" operator="containsText" text="FAIL">
      <formula>NOT(ISERROR(SEARCH("FAIL",I9)))</formula>
    </cfRule>
  </conditionalFormatting>
  <conditionalFormatting sqref="I9">
    <cfRule type="containsText" dxfId="2212" priority="29" operator="containsText" text="GOOD">
      <formula>NOT(ISERROR(SEARCH("GOOD",I9)))</formula>
    </cfRule>
  </conditionalFormatting>
  <conditionalFormatting sqref="I9">
    <cfRule type="containsText" dxfId="2211" priority="28" operator="containsText" text="FAIL">
      <formula>NOT(ISERROR(SEARCH("FAIL",I9)))</formula>
    </cfRule>
  </conditionalFormatting>
  <conditionalFormatting sqref="I9">
    <cfRule type="containsText" dxfId="2210" priority="27" operator="containsText" text="GOOD">
      <formula>NOT(ISERROR(SEARCH("GOOD",I9)))</formula>
    </cfRule>
  </conditionalFormatting>
  <conditionalFormatting sqref="F11">
    <cfRule type="containsText" dxfId="2209" priority="26" operator="containsText" text="FAIL">
      <formula>NOT(ISERROR(SEARCH("FAIL",F11)))</formula>
    </cfRule>
  </conditionalFormatting>
  <conditionalFormatting sqref="F11">
    <cfRule type="containsText" dxfId="2208" priority="25" operator="containsText" text="GOOD">
      <formula>NOT(ISERROR(SEARCH("GOOD",F11)))</formula>
    </cfRule>
  </conditionalFormatting>
  <conditionalFormatting sqref="I9">
    <cfRule type="containsText" dxfId="2207" priority="24" operator="containsText" text="FAIL">
      <formula>NOT(ISERROR(SEARCH("FAIL",I9)))</formula>
    </cfRule>
  </conditionalFormatting>
  <conditionalFormatting sqref="I9">
    <cfRule type="containsText" dxfId="2206" priority="23" operator="containsText" text="GOOD">
      <formula>NOT(ISERROR(SEARCH("GOOD",I9)))</formula>
    </cfRule>
  </conditionalFormatting>
  <conditionalFormatting sqref="F11">
    <cfRule type="containsText" dxfId="2205" priority="22" operator="containsText" text="FAIL">
      <formula>NOT(ISERROR(SEARCH("FAIL",F11)))</formula>
    </cfRule>
  </conditionalFormatting>
  <conditionalFormatting sqref="F11">
    <cfRule type="containsText" dxfId="2204" priority="21" operator="containsText" text="GOOD">
      <formula>NOT(ISERROR(SEARCH("GOOD",F11)))</formula>
    </cfRule>
  </conditionalFormatting>
  <conditionalFormatting sqref="D25">
    <cfRule type="expression" dxfId="2203" priority="20" stopIfTrue="1">
      <formula>IF($H$25=1,0)</formula>
    </cfRule>
  </conditionalFormatting>
  <conditionalFormatting sqref="D23 D39:D43 D25:D33">
    <cfRule type="expression" dxfId="2202" priority="19">
      <formula>H23=1</formula>
    </cfRule>
  </conditionalFormatting>
  <conditionalFormatting sqref="C23 C39:C43 C25:C33">
    <cfRule type="expression" dxfId="2201" priority="18">
      <formula>H23=1</formula>
    </cfRule>
  </conditionalFormatting>
  <conditionalFormatting sqref="E23 E39:E43 E25:E33">
    <cfRule type="expression" dxfId="2200" priority="17">
      <formula>H23=1</formula>
    </cfRule>
  </conditionalFormatting>
  <conditionalFormatting sqref="E23 E39:E43 E25:E33">
    <cfRule type="expression" dxfId="2199" priority="16">
      <formula>H23=1</formula>
    </cfRule>
  </conditionalFormatting>
  <conditionalFormatting sqref="F11">
    <cfRule type="containsText" dxfId="2198" priority="15" operator="containsText" text="FAIL">
      <formula>NOT(ISERROR(SEARCH("FAIL",F11)))</formula>
    </cfRule>
  </conditionalFormatting>
  <conditionalFormatting sqref="F11">
    <cfRule type="containsText" dxfId="2197" priority="14" operator="containsText" text="GOOD">
      <formula>NOT(ISERROR(SEARCH("GOOD",F11)))</formula>
    </cfRule>
  </conditionalFormatting>
  <conditionalFormatting sqref="D34:D37">
    <cfRule type="expression" dxfId="2196" priority="13">
      <formula>H34=1</formula>
    </cfRule>
  </conditionalFormatting>
  <conditionalFormatting sqref="C34:C37">
    <cfRule type="expression" dxfId="2195" priority="12">
      <formula>H34=1</formula>
    </cfRule>
  </conditionalFormatting>
  <conditionalFormatting sqref="E34:E37">
    <cfRule type="expression" dxfId="2194" priority="11">
      <formula>H34=1</formula>
    </cfRule>
  </conditionalFormatting>
  <conditionalFormatting sqref="E34:E37">
    <cfRule type="expression" dxfId="2193" priority="10">
      <formula>H34=1</formula>
    </cfRule>
  </conditionalFormatting>
  <conditionalFormatting sqref="D38">
    <cfRule type="expression" dxfId="2192" priority="9">
      <formula>H38=1</formula>
    </cfRule>
  </conditionalFormatting>
  <conditionalFormatting sqref="C38">
    <cfRule type="expression" dxfId="2191" priority="8">
      <formula>H38=1</formula>
    </cfRule>
  </conditionalFormatting>
  <conditionalFormatting sqref="E38">
    <cfRule type="expression" dxfId="2190" priority="7">
      <formula>H38=1</formula>
    </cfRule>
  </conditionalFormatting>
  <conditionalFormatting sqref="E38">
    <cfRule type="expression" dxfId="2189" priority="6">
      <formula>H38=1</formula>
    </cfRule>
  </conditionalFormatting>
  <conditionalFormatting sqref="E24">
    <cfRule type="expression" dxfId="2188" priority="1">
      <formula>H24=1</formula>
    </cfRule>
  </conditionalFormatting>
  <conditionalFormatting sqref="D24">
    <cfRule type="expression" dxfId="2187" priority="5" stopIfTrue="1">
      <formula>IF($H$25=1,0)</formula>
    </cfRule>
  </conditionalFormatting>
  <conditionalFormatting sqref="D24">
    <cfRule type="expression" dxfId="2186" priority="4">
      <formula>H24=1</formula>
    </cfRule>
  </conditionalFormatting>
  <conditionalFormatting sqref="C24">
    <cfRule type="expression" dxfId="2185" priority="3">
      <formula>H24=1</formula>
    </cfRule>
  </conditionalFormatting>
  <conditionalFormatting sqref="E24">
    <cfRule type="expression" dxfId="2184" priority="2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2:P47"/>
  <sheetViews>
    <sheetView zoomScaleNormal="100" workbookViewId="0">
      <selection activeCell="D29" sqref="D2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1110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1111</v>
      </c>
    </row>
    <row r="6" spans="1:16" x14ac:dyDescent="0.25">
      <c r="D6" s="2" t="s">
        <v>2</v>
      </c>
      <c r="F6" s="6">
        <v>43047</v>
      </c>
      <c r="H6" s="11"/>
    </row>
    <row r="7" spans="1:16" x14ac:dyDescent="0.25">
      <c r="D7" s="2" t="s">
        <v>3</v>
      </c>
      <c r="F7" s="5">
        <v>1650000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2278990</v>
      </c>
      <c r="H8" s="11"/>
    </row>
    <row r="9" spans="1:16" x14ac:dyDescent="0.25">
      <c r="D9" s="2" t="s">
        <v>67</v>
      </c>
      <c r="F9" s="4">
        <f>+F8-F7</f>
        <v>628990</v>
      </c>
      <c r="G9" s="16">
        <f>+F9/F7</f>
        <v>0.3812060606060606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-1105998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2755998</v>
      </c>
      <c r="G12" s="14"/>
      <c r="H12" s="11">
        <f>COUNT(I23:I43)</f>
        <v>5</v>
      </c>
      <c r="I12" s="1" t="s">
        <v>31</v>
      </c>
      <c r="J12" s="4">
        <f>+F8*0.9</f>
        <v>2051091</v>
      </c>
      <c r="K12" s="1" t="s">
        <v>69</v>
      </c>
    </row>
    <row r="13" spans="1:16" x14ac:dyDescent="0.25">
      <c r="D13" s="2" t="s">
        <v>29</v>
      </c>
      <c r="F13" s="4">
        <f>MAX(I23:I43)-MIN(I23:I43)</f>
        <v>781010</v>
      </c>
      <c r="G13" s="269">
        <f>MEDIAN(I23:I43)</f>
        <v>2800000</v>
      </c>
      <c r="H13" s="270"/>
      <c r="I13" s="1" t="s">
        <v>30</v>
      </c>
      <c r="J13" s="4">
        <f>+F12*1.1</f>
        <v>3031597.8000000003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738</v>
      </c>
      <c r="E23" s="33"/>
      <c r="F23" t="s">
        <v>739</v>
      </c>
      <c r="G23" t="s">
        <v>93</v>
      </c>
      <c r="H23">
        <f>RANK(I23,I$23:I$43,1)</f>
        <v>2</v>
      </c>
      <c r="I23" s="4">
        <v>2656000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429</v>
      </c>
      <c r="E24" s="33"/>
      <c r="F24" t="s">
        <v>131</v>
      </c>
      <c r="G24" t="s">
        <v>25</v>
      </c>
      <c r="H24">
        <f>RANK(I24,I$23:I$43,1)</f>
        <v>3</v>
      </c>
      <c r="I24" s="4">
        <v>2800000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1112</v>
      </c>
      <c r="E25" s="33"/>
      <c r="F25" t="s">
        <v>1113</v>
      </c>
      <c r="G25" t="s">
        <v>93</v>
      </c>
      <c r="H25">
        <f>RANK(I25,I$23:I$43,1)</f>
        <v>5</v>
      </c>
      <c r="I25" s="4">
        <v>3060000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1016</v>
      </c>
      <c r="E26" s="33"/>
      <c r="F26" t="s">
        <v>159</v>
      </c>
      <c r="G26" t="s">
        <v>93</v>
      </c>
      <c r="H26">
        <f>RANK(I26,I$23:I$43,1)</f>
        <v>4</v>
      </c>
      <c r="I26" s="4">
        <v>2985000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1114</v>
      </c>
      <c r="E27" s="33"/>
      <c r="F27" t="s">
        <v>1115</v>
      </c>
      <c r="G27" t="s">
        <v>25</v>
      </c>
      <c r="H27">
        <f>RANK(I27,I$23:I$43,1)</f>
        <v>1</v>
      </c>
      <c r="I27" s="4">
        <v>2278990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183" priority="18" operator="containsText" text="FAIL">
      <formula>NOT(ISERROR(SEARCH("FAIL",I9)))</formula>
    </cfRule>
  </conditionalFormatting>
  <conditionalFormatting sqref="I9">
    <cfRule type="containsText" dxfId="2182" priority="17" operator="containsText" text="GOOD">
      <formula>NOT(ISERROR(SEARCH("GOOD",I9)))</formula>
    </cfRule>
  </conditionalFormatting>
  <conditionalFormatting sqref="F11">
    <cfRule type="containsText" dxfId="2181" priority="16" operator="containsText" text="FAIL">
      <formula>NOT(ISERROR(SEARCH("FAIL",F11)))</formula>
    </cfRule>
  </conditionalFormatting>
  <conditionalFormatting sqref="F11">
    <cfRule type="containsText" dxfId="2180" priority="15" operator="containsText" text="GOOD">
      <formula>NOT(ISERROR(SEARCH("GOOD",F11)))</formula>
    </cfRule>
  </conditionalFormatting>
  <conditionalFormatting sqref="D25">
    <cfRule type="expression" dxfId="2179" priority="14" stopIfTrue="1">
      <formula>IF($H$25=1,0)</formula>
    </cfRule>
  </conditionalFormatting>
  <conditionalFormatting sqref="D23 D29:D43 D25">
    <cfRule type="expression" dxfId="2178" priority="13">
      <formula>H23=1</formula>
    </cfRule>
  </conditionalFormatting>
  <conditionalFormatting sqref="C23:C26 C29:C43">
    <cfRule type="expression" dxfId="2177" priority="12">
      <formula>H23=1</formula>
    </cfRule>
  </conditionalFormatting>
  <conditionalFormatting sqref="E23 E29:E43 E25">
    <cfRule type="expression" dxfId="2176" priority="11">
      <formula>H23=1</formula>
    </cfRule>
  </conditionalFormatting>
  <conditionalFormatting sqref="F11">
    <cfRule type="containsText" dxfId="2175" priority="10" operator="containsText" text="FAIL">
      <formula>NOT(ISERROR(SEARCH("FAIL",F11)))</formula>
    </cfRule>
  </conditionalFormatting>
  <conditionalFormatting sqref="F11">
    <cfRule type="containsText" dxfId="2174" priority="9" operator="containsText" text="GOOD">
      <formula>NOT(ISERROR(SEARCH("GOOD",F11)))</formula>
    </cfRule>
  </conditionalFormatting>
  <conditionalFormatting sqref="D27:D28">
    <cfRule type="expression" dxfId="2173" priority="8">
      <formula>H27=1</formula>
    </cfRule>
  </conditionalFormatting>
  <conditionalFormatting sqref="C27:C28">
    <cfRule type="expression" dxfId="2172" priority="7">
      <formula>H27=1</formula>
    </cfRule>
  </conditionalFormatting>
  <conditionalFormatting sqref="E27:E28">
    <cfRule type="expression" dxfId="2171" priority="6">
      <formula>H27=1</formula>
    </cfRule>
  </conditionalFormatting>
  <conditionalFormatting sqref="D24">
    <cfRule type="expression" dxfId="2170" priority="5" stopIfTrue="1">
      <formula>IF($H$25=1,0)</formula>
    </cfRule>
  </conditionalFormatting>
  <conditionalFormatting sqref="D24">
    <cfRule type="expression" dxfId="2169" priority="4">
      <formula>H24=1</formula>
    </cfRule>
  </conditionalFormatting>
  <conditionalFormatting sqref="E24">
    <cfRule type="expression" dxfId="2168" priority="3">
      <formula>H24=1</formula>
    </cfRule>
  </conditionalFormatting>
  <conditionalFormatting sqref="D26">
    <cfRule type="expression" dxfId="2167" priority="2">
      <formula>H26=1</formula>
    </cfRule>
  </conditionalFormatting>
  <conditionalFormatting sqref="E26">
    <cfRule type="expression" dxfId="2166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2:P47"/>
  <sheetViews>
    <sheetView zoomScaleNormal="100" workbookViewId="0">
      <selection activeCell="G8" sqref="G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1107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1109</v>
      </c>
    </row>
    <row r="6" spans="1:16" x14ac:dyDescent="0.25">
      <c r="D6" s="2" t="s">
        <v>2</v>
      </c>
      <c r="F6" s="6">
        <v>43034</v>
      </c>
      <c r="H6" s="11"/>
    </row>
    <row r="7" spans="1:16" x14ac:dyDescent="0.25">
      <c r="D7" s="2" t="s">
        <v>3</v>
      </c>
      <c r="F7" s="5">
        <v>2194000</v>
      </c>
      <c r="G7" s="2" t="s">
        <v>756</v>
      </c>
      <c r="H7" s="11"/>
    </row>
    <row r="8" spans="1:16" x14ac:dyDescent="0.25">
      <c r="D8" s="2" t="s">
        <v>18</v>
      </c>
      <c r="F8" s="5">
        <f>MIN(I23:I43)</f>
        <v>1361078</v>
      </c>
      <c r="H8" s="11"/>
    </row>
    <row r="9" spans="1:16" x14ac:dyDescent="0.25">
      <c r="D9" s="2" t="s">
        <v>67</v>
      </c>
      <c r="F9" s="4">
        <f>+F8-F7</f>
        <v>-832922</v>
      </c>
      <c r="G9" s="16">
        <f>+F9/F7</f>
        <v>-0.3796362807657247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367165.66666666674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1826834.3333333333</v>
      </c>
      <c r="G12" s="14"/>
      <c r="H12" s="11">
        <f>COUNT(I23:I43)</f>
        <v>6</v>
      </c>
      <c r="I12" s="1" t="s">
        <v>31</v>
      </c>
      <c r="J12" s="4">
        <f>+F8*0.9</f>
        <v>1224970.2</v>
      </c>
      <c r="K12" s="1" t="s">
        <v>69</v>
      </c>
    </row>
    <row r="13" spans="1:16" x14ac:dyDescent="0.25">
      <c r="D13" s="2" t="s">
        <v>29</v>
      </c>
      <c r="F13" s="4">
        <f>MAX(I23:I43)-MIN(I23:I43)</f>
        <v>1327922</v>
      </c>
      <c r="G13" s="269">
        <f>MEDIAN(I23:I43)</f>
        <v>1745400</v>
      </c>
      <c r="H13" s="270"/>
      <c r="I13" s="1" t="s">
        <v>30</v>
      </c>
      <c r="J13" s="4">
        <f>+F12*1.1</f>
        <v>2009517.7666666668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929</v>
      </c>
      <c r="E23" s="33"/>
      <c r="F23" t="s">
        <v>930</v>
      </c>
      <c r="G23" t="s">
        <v>25</v>
      </c>
      <c r="H23">
        <f t="shared" ref="H23:H28" si="0">RANK(I23,I$23:I$43,1)</f>
        <v>2</v>
      </c>
      <c r="I23" s="4">
        <v>1488028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1017</v>
      </c>
      <c r="E24" s="33"/>
      <c r="F24" t="s">
        <v>201</v>
      </c>
      <c r="G24" t="s">
        <v>25</v>
      </c>
      <c r="H24">
        <f t="shared" si="0"/>
        <v>6</v>
      </c>
      <c r="I24" s="4">
        <v>2689000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676</v>
      </c>
      <c r="E25" s="33"/>
      <c r="F25" t="s">
        <v>85</v>
      </c>
      <c r="G25" t="s">
        <v>25</v>
      </c>
      <c r="H25">
        <f t="shared" si="0"/>
        <v>1</v>
      </c>
      <c r="I25" s="4">
        <v>1361078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1108</v>
      </c>
      <c r="E26" s="33"/>
      <c r="F26" t="s">
        <v>215</v>
      </c>
      <c r="G26" t="s">
        <v>25</v>
      </c>
      <c r="H26">
        <f t="shared" si="0"/>
        <v>5</v>
      </c>
      <c r="I26" s="4">
        <v>1932100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487</v>
      </c>
      <c r="E27" s="33"/>
      <c r="F27" t="s">
        <v>113</v>
      </c>
      <c r="G27" t="s">
        <v>25</v>
      </c>
      <c r="H27">
        <f t="shared" si="0"/>
        <v>4</v>
      </c>
      <c r="I27" s="4">
        <v>1808000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485</v>
      </c>
      <c r="E28" s="33"/>
      <c r="F28" t="s">
        <v>486</v>
      </c>
      <c r="G28" t="s">
        <v>25</v>
      </c>
      <c r="H28">
        <f t="shared" si="0"/>
        <v>3</v>
      </c>
      <c r="I28" s="4">
        <v>1682800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165" priority="18" operator="containsText" text="FAIL">
      <formula>NOT(ISERROR(SEARCH("FAIL",I9)))</formula>
    </cfRule>
  </conditionalFormatting>
  <conditionalFormatting sqref="I9">
    <cfRule type="containsText" dxfId="2164" priority="17" operator="containsText" text="GOOD">
      <formula>NOT(ISERROR(SEARCH("GOOD",I9)))</formula>
    </cfRule>
  </conditionalFormatting>
  <conditionalFormatting sqref="F11">
    <cfRule type="containsText" dxfId="2163" priority="16" operator="containsText" text="FAIL">
      <formula>NOT(ISERROR(SEARCH("FAIL",F11)))</formula>
    </cfRule>
  </conditionalFormatting>
  <conditionalFormatting sqref="F11">
    <cfRule type="containsText" dxfId="2162" priority="15" operator="containsText" text="GOOD">
      <formula>NOT(ISERROR(SEARCH("GOOD",F11)))</formula>
    </cfRule>
  </conditionalFormatting>
  <conditionalFormatting sqref="D25">
    <cfRule type="expression" dxfId="2161" priority="14" stopIfTrue="1">
      <formula>IF($H$25=1,0)</formula>
    </cfRule>
  </conditionalFormatting>
  <conditionalFormatting sqref="D23 D29:D43 D25">
    <cfRule type="expression" dxfId="2160" priority="13">
      <formula>H23=1</formula>
    </cfRule>
  </conditionalFormatting>
  <conditionalFormatting sqref="C23:C26 C29:C43">
    <cfRule type="expression" dxfId="2159" priority="12">
      <formula>H23=1</formula>
    </cfRule>
  </conditionalFormatting>
  <conditionalFormatting sqref="E23 E29:E43 E25">
    <cfRule type="expression" dxfId="2158" priority="11">
      <formula>H23=1</formula>
    </cfRule>
  </conditionalFormatting>
  <conditionalFormatting sqref="F11">
    <cfRule type="containsText" dxfId="2157" priority="10" operator="containsText" text="FAIL">
      <formula>NOT(ISERROR(SEARCH("FAIL",F11)))</formula>
    </cfRule>
  </conditionalFormatting>
  <conditionalFormatting sqref="F11">
    <cfRule type="containsText" dxfId="2156" priority="9" operator="containsText" text="GOOD">
      <formula>NOT(ISERROR(SEARCH("GOOD",F11)))</formula>
    </cfRule>
  </conditionalFormatting>
  <conditionalFormatting sqref="D27:D28">
    <cfRule type="expression" dxfId="2155" priority="8">
      <formula>H27=1</formula>
    </cfRule>
  </conditionalFormatting>
  <conditionalFormatting sqref="C27:C28">
    <cfRule type="expression" dxfId="2154" priority="7">
      <formula>H27=1</formula>
    </cfRule>
  </conditionalFormatting>
  <conditionalFormatting sqref="E27:E28">
    <cfRule type="expression" dxfId="2153" priority="6">
      <formula>H27=1</formula>
    </cfRule>
  </conditionalFormatting>
  <conditionalFormatting sqref="D24">
    <cfRule type="expression" dxfId="2152" priority="5" stopIfTrue="1">
      <formula>IF($H$25=1,0)</formula>
    </cfRule>
  </conditionalFormatting>
  <conditionalFormatting sqref="D24">
    <cfRule type="expression" dxfId="2151" priority="4">
      <formula>H24=1</formula>
    </cfRule>
  </conditionalFormatting>
  <conditionalFormatting sqref="E24">
    <cfRule type="expression" dxfId="2150" priority="3">
      <formula>H24=1</formula>
    </cfRule>
  </conditionalFormatting>
  <conditionalFormatting sqref="D26">
    <cfRule type="expression" dxfId="2149" priority="2">
      <formula>H26=1</formula>
    </cfRule>
  </conditionalFormatting>
  <conditionalFormatting sqref="E26">
    <cfRule type="expression" dxfId="2148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2:O56"/>
  <sheetViews>
    <sheetView zoomScaleNormal="100" workbookViewId="0">
      <selection activeCell="J14" sqref="J1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1101</v>
      </c>
      <c r="I4" s="2" t="s">
        <v>4</v>
      </c>
      <c r="J4" t="s">
        <v>616</v>
      </c>
    </row>
    <row r="5" spans="1:11" x14ac:dyDescent="0.25">
      <c r="D5" s="2" t="s">
        <v>1</v>
      </c>
      <c r="F5" t="s">
        <v>1102</v>
      </c>
    </row>
    <row r="6" spans="1:11" x14ac:dyDescent="0.25">
      <c r="D6" s="2" t="s">
        <v>2</v>
      </c>
      <c r="F6" s="6">
        <v>43025</v>
      </c>
      <c r="H6" s="11"/>
    </row>
    <row r="7" spans="1:11" x14ac:dyDescent="0.25">
      <c r="D7" s="2" t="s">
        <v>3</v>
      </c>
      <c r="F7" s="5">
        <f>+I7+J7</f>
        <v>2800000</v>
      </c>
      <c r="G7" s="2" t="s">
        <v>34</v>
      </c>
      <c r="H7" s="11"/>
      <c r="I7" s="19">
        <v>20000</v>
      </c>
      <c r="J7" s="19">
        <v>2780000</v>
      </c>
    </row>
    <row r="8" spans="1:11" x14ac:dyDescent="0.25">
      <c r="D8" s="2" t="s">
        <v>18</v>
      </c>
      <c r="F8" s="5">
        <f>MIN(K23:K43)</f>
        <v>2847000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47000</v>
      </c>
      <c r="G9" s="16">
        <f>+F9/F7</f>
        <v>1.6785714285714286E-2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1" x14ac:dyDescent="0.25">
      <c r="D10" s="2" t="s">
        <v>68</v>
      </c>
      <c r="F10" s="4">
        <f>+F7-F12</f>
        <v>-921299.77777777798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3721299.777777778</v>
      </c>
      <c r="G12" s="14"/>
      <c r="H12" s="11">
        <f>COUNT(K23:K43)</f>
        <v>9</v>
      </c>
      <c r="I12" s="1" t="s">
        <v>31</v>
      </c>
      <c r="J12" s="4">
        <f>+F8*0.9</f>
        <v>2562300</v>
      </c>
      <c r="K12" s="1" t="s">
        <v>69</v>
      </c>
    </row>
    <row r="13" spans="1:11" x14ac:dyDescent="0.25">
      <c r="D13" s="2" t="s">
        <v>29</v>
      </c>
      <c r="F13" s="4">
        <f>MAX(K23:K43)-MIN(K23:K43)</f>
        <v>1497200</v>
      </c>
      <c r="G13" s="269">
        <f>MEDIAN(K23:K43)</f>
        <v>3888888</v>
      </c>
      <c r="H13" s="270"/>
      <c r="I13" s="1" t="s">
        <v>30</v>
      </c>
      <c r="J13" s="4">
        <f>+F12*1.1</f>
        <v>4093429.7555555562</v>
      </c>
      <c r="K13" s="1" t="s">
        <v>70</v>
      </c>
    </row>
    <row r="14" spans="1:11" x14ac:dyDescent="0.25">
      <c r="H14" s="11"/>
    </row>
    <row r="15" spans="1:11" hidden="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hidden="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hidden="1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9.4915254237288138E-2</v>
      </c>
    </row>
    <row r="18" spans="3:15" hidden="1" x14ac:dyDescent="0.25">
      <c r="F18" s="4">
        <f>+F7</f>
        <v>2800000</v>
      </c>
      <c r="G18" s="1" t="s">
        <v>12</v>
      </c>
      <c r="H18" s="11"/>
      <c r="I18" t="s">
        <v>16</v>
      </c>
      <c r="J18" s="7">
        <f>+F8/F18</f>
        <v>1.0167857142857142</v>
      </c>
    </row>
    <row r="19" spans="3:15" hidden="1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9.4899999999999998E-2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1103</v>
      </c>
      <c r="E23" s="33"/>
      <c r="F23" t="s">
        <v>92</v>
      </c>
      <c r="G23" t="s">
        <v>93</v>
      </c>
      <c r="H23">
        <f>RANK(K23,K$23:K$43,1)</f>
        <v>9</v>
      </c>
      <c r="I23" s="4">
        <v>38400</v>
      </c>
      <c r="J23" s="4">
        <v>4305800</v>
      </c>
      <c r="K23" s="4">
        <f>+J23+I23</f>
        <v>4344200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968</v>
      </c>
      <c r="E24" s="33"/>
      <c r="F24" t="s">
        <v>203</v>
      </c>
      <c r="G24" t="s">
        <v>204</v>
      </c>
      <c r="H24">
        <f t="shared" ref="H24:H31" si="0">RANK(K24,K$23:K$43,1)</f>
        <v>3</v>
      </c>
      <c r="I24" s="4">
        <v>19200</v>
      </c>
      <c r="J24" s="4">
        <v>3402360</v>
      </c>
      <c r="K24" s="4">
        <f t="shared" ref="K24:K31" si="1">+J24+I24</f>
        <v>3421560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499</v>
      </c>
      <c r="E25" s="33"/>
      <c r="F25" t="s">
        <v>1104</v>
      </c>
      <c r="G25" t="s">
        <v>93</v>
      </c>
      <c r="H25">
        <f t="shared" si="0"/>
        <v>8</v>
      </c>
      <c r="I25" s="4">
        <v>11200</v>
      </c>
      <c r="J25" s="4">
        <v>4117970</v>
      </c>
      <c r="K25" s="4">
        <f t="shared" si="1"/>
        <v>4129170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>u</v>
      </c>
      <c r="D26" s="11" t="s">
        <v>450</v>
      </c>
      <c r="E26" s="33"/>
      <c r="F26" t="s">
        <v>451</v>
      </c>
      <c r="G26" t="s">
        <v>93</v>
      </c>
      <c r="H26">
        <f t="shared" si="0"/>
        <v>1</v>
      </c>
      <c r="I26" s="4">
        <v>16000</v>
      </c>
      <c r="J26" s="4">
        <v>2831000</v>
      </c>
      <c r="K26" s="4">
        <f t="shared" si="1"/>
        <v>2847000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11" t="s">
        <v>607</v>
      </c>
      <c r="E27" s="33"/>
      <c r="F27" t="s">
        <v>170</v>
      </c>
      <c r="G27" t="s">
        <v>93</v>
      </c>
      <c r="H27">
        <f t="shared" si="0"/>
        <v>4</v>
      </c>
      <c r="I27" s="4">
        <v>37120</v>
      </c>
      <c r="J27" s="4">
        <v>3838420</v>
      </c>
      <c r="K27" s="4">
        <f t="shared" si="1"/>
        <v>3875540</v>
      </c>
      <c r="L27" s="4"/>
      <c r="M27" s="22"/>
      <c r="N27" s="22"/>
      <c r="O27" s="22"/>
    </row>
    <row r="28" spans="3:15" x14ac:dyDescent="0.25">
      <c r="C28" s="33" t="str">
        <f t="shared" si="2"/>
        <v/>
      </c>
      <c r="D28" s="11" t="s">
        <v>1105</v>
      </c>
      <c r="E28" s="33"/>
      <c r="F28" t="s">
        <v>413</v>
      </c>
      <c r="G28" t="s">
        <v>93</v>
      </c>
      <c r="H28">
        <f t="shared" si="0"/>
        <v>2</v>
      </c>
      <c r="I28" s="4">
        <v>24000</v>
      </c>
      <c r="J28" s="4">
        <v>3023960</v>
      </c>
      <c r="K28" s="4">
        <f t="shared" si="1"/>
        <v>3047960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11" t="s">
        <v>1106</v>
      </c>
      <c r="E29" s="33"/>
      <c r="F29" t="s">
        <v>95</v>
      </c>
      <c r="G29" t="s">
        <v>93</v>
      </c>
      <c r="H29">
        <f t="shared" si="0"/>
        <v>6</v>
      </c>
      <c r="I29" s="4">
        <v>20800</v>
      </c>
      <c r="J29" s="4">
        <v>3946200</v>
      </c>
      <c r="K29" s="4">
        <f t="shared" si="1"/>
        <v>3967000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11" t="s">
        <v>874</v>
      </c>
      <c r="E30" s="33"/>
      <c r="F30" t="s">
        <v>532</v>
      </c>
      <c r="G30" t="s">
        <v>93</v>
      </c>
      <c r="H30">
        <f t="shared" si="0"/>
        <v>7</v>
      </c>
      <c r="I30" s="4">
        <v>32000</v>
      </c>
      <c r="J30" s="4">
        <v>3938380</v>
      </c>
      <c r="K30" s="4">
        <f t="shared" si="1"/>
        <v>3970380</v>
      </c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 t="s">
        <v>347</v>
      </c>
      <c r="E31" s="33"/>
      <c r="F31" t="s">
        <v>147</v>
      </c>
      <c r="G31" t="s">
        <v>93</v>
      </c>
      <c r="H31">
        <f t="shared" si="0"/>
        <v>5</v>
      </c>
      <c r="I31" s="4">
        <v>48000</v>
      </c>
      <c r="J31" s="4">
        <v>3840888</v>
      </c>
      <c r="K31" s="4">
        <f t="shared" si="1"/>
        <v>3888888</v>
      </c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2147" priority="32" operator="containsText" text="FAIL">
      <formula>NOT(ISERROR(SEARCH("FAIL",I9)))</formula>
    </cfRule>
  </conditionalFormatting>
  <conditionalFormatting sqref="I9">
    <cfRule type="containsText" dxfId="2146" priority="31" operator="containsText" text="GOOD">
      <formula>NOT(ISERROR(SEARCH("GOOD",I9)))</formula>
    </cfRule>
  </conditionalFormatting>
  <conditionalFormatting sqref="I9">
    <cfRule type="containsText" dxfId="2145" priority="30" operator="containsText" text="FAIL">
      <formula>NOT(ISERROR(SEARCH("FAIL",I9)))</formula>
    </cfRule>
  </conditionalFormatting>
  <conditionalFormatting sqref="I9">
    <cfRule type="containsText" dxfId="2144" priority="29" operator="containsText" text="GOOD">
      <formula>NOT(ISERROR(SEARCH("GOOD",I9)))</formula>
    </cfRule>
  </conditionalFormatting>
  <conditionalFormatting sqref="I9">
    <cfRule type="containsText" dxfId="2143" priority="28" operator="containsText" text="FAIL">
      <formula>NOT(ISERROR(SEARCH("FAIL",I9)))</formula>
    </cfRule>
  </conditionalFormatting>
  <conditionalFormatting sqref="I9">
    <cfRule type="containsText" dxfId="2142" priority="27" operator="containsText" text="GOOD">
      <formula>NOT(ISERROR(SEARCH("GOOD",I9)))</formula>
    </cfRule>
  </conditionalFormatting>
  <conditionalFormatting sqref="F11">
    <cfRule type="containsText" dxfId="2141" priority="26" operator="containsText" text="FAIL">
      <formula>NOT(ISERROR(SEARCH("FAIL",F11)))</formula>
    </cfRule>
  </conditionalFormatting>
  <conditionalFormatting sqref="F11">
    <cfRule type="containsText" dxfId="2140" priority="25" operator="containsText" text="GOOD">
      <formula>NOT(ISERROR(SEARCH("GOOD",F11)))</formula>
    </cfRule>
  </conditionalFormatting>
  <conditionalFormatting sqref="I9">
    <cfRule type="containsText" dxfId="2139" priority="24" operator="containsText" text="FAIL">
      <formula>NOT(ISERROR(SEARCH("FAIL",I9)))</formula>
    </cfRule>
  </conditionalFormatting>
  <conditionalFormatting sqref="I9">
    <cfRule type="containsText" dxfId="2138" priority="23" operator="containsText" text="GOOD">
      <formula>NOT(ISERROR(SEARCH("GOOD",I9)))</formula>
    </cfRule>
  </conditionalFormatting>
  <conditionalFormatting sqref="F11">
    <cfRule type="containsText" dxfId="2137" priority="22" operator="containsText" text="FAIL">
      <formula>NOT(ISERROR(SEARCH("FAIL",F11)))</formula>
    </cfRule>
  </conditionalFormatting>
  <conditionalFormatting sqref="F11">
    <cfRule type="containsText" dxfId="2136" priority="21" operator="containsText" text="GOOD">
      <formula>NOT(ISERROR(SEARCH("GOOD",F11)))</formula>
    </cfRule>
  </conditionalFormatting>
  <conditionalFormatting sqref="D25">
    <cfRule type="expression" dxfId="2135" priority="20" stopIfTrue="1">
      <formula>IF($H$25=1,0)</formula>
    </cfRule>
  </conditionalFormatting>
  <conditionalFormatting sqref="D23 D39:D43 D25:D33">
    <cfRule type="expression" dxfId="2134" priority="19">
      <formula>H23=1</formula>
    </cfRule>
  </conditionalFormatting>
  <conditionalFormatting sqref="C23 C39:C43 C25:C33">
    <cfRule type="expression" dxfId="2133" priority="18">
      <formula>H23=1</formula>
    </cfRule>
  </conditionalFormatting>
  <conditionalFormatting sqref="E23 E39:E43 E25:E33">
    <cfRule type="expression" dxfId="2132" priority="17">
      <formula>H23=1</formula>
    </cfRule>
  </conditionalFormatting>
  <conditionalFormatting sqref="E23 E39:E43 E25:E33">
    <cfRule type="expression" dxfId="2131" priority="16">
      <formula>H23=1</formula>
    </cfRule>
  </conditionalFormatting>
  <conditionalFormatting sqref="F11">
    <cfRule type="containsText" dxfId="2130" priority="15" operator="containsText" text="FAIL">
      <formula>NOT(ISERROR(SEARCH("FAIL",F11)))</formula>
    </cfRule>
  </conditionalFormatting>
  <conditionalFormatting sqref="F11">
    <cfRule type="containsText" dxfId="2129" priority="14" operator="containsText" text="GOOD">
      <formula>NOT(ISERROR(SEARCH("GOOD",F11)))</formula>
    </cfRule>
  </conditionalFormatting>
  <conditionalFormatting sqref="D34:D37">
    <cfRule type="expression" dxfId="2128" priority="13">
      <formula>H34=1</formula>
    </cfRule>
  </conditionalFormatting>
  <conditionalFormatting sqref="C34:C37">
    <cfRule type="expression" dxfId="2127" priority="12">
      <formula>H34=1</formula>
    </cfRule>
  </conditionalFormatting>
  <conditionalFormatting sqref="E34:E37">
    <cfRule type="expression" dxfId="2126" priority="11">
      <formula>H34=1</formula>
    </cfRule>
  </conditionalFormatting>
  <conditionalFormatting sqref="E34:E37">
    <cfRule type="expression" dxfId="2125" priority="10">
      <formula>H34=1</formula>
    </cfRule>
  </conditionalFormatting>
  <conditionalFormatting sqref="D38">
    <cfRule type="expression" dxfId="2124" priority="9">
      <formula>H38=1</formula>
    </cfRule>
  </conditionalFormatting>
  <conditionalFormatting sqref="C38">
    <cfRule type="expression" dxfId="2123" priority="8">
      <formula>H38=1</formula>
    </cfRule>
  </conditionalFormatting>
  <conditionalFormatting sqref="E38">
    <cfRule type="expression" dxfId="2122" priority="7">
      <formula>H38=1</formula>
    </cfRule>
  </conditionalFormatting>
  <conditionalFormatting sqref="E38">
    <cfRule type="expression" dxfId="2121" priority="6">
      <formula>H38=1</formula>
    </cfRule>
  </conditionalFormatting>
  <conditionalFormatting sqref="E24">
    <cfRule type="expression" dxfId="2120" priority="1">
      <formula>H24=1</formula>
    </cfRule>
  </conditionalFormatting>
  <conditionalFormatting sqref="D24">
    <cfRule type="expression" dxfId="2119" priority="5" stopIfTrue="1">
      <formula>IF($H$25=1,0)</formula>
    </cfRule>
  </conditionalFormatting>
  <conditionalFormatting sqref="D24">
    <cfRule type="expression" dxfId="2118" priority="4">
      <formula>H24=1</formula>
    </cfRule>
  </conditionalFormatting>
  <conditionalFormatting sqref="C24">
    <cfRule type="expression" dxfId="2117" priority="3">
      <formula>H24=1</formula>
    </cfRule>
  </conditionalFormatting>
  <conditionalFormatting sqref="E24">
    <cfRule type="expression" dxfId="2116" priority="2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2:P47"/>
  <sheetViews>
    <sheetView zoomScaleNormal="100" workbookViewId="0">
      <selection activeCell="J25" sqref="J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1099</v>
      </c>
      <c r="I4" s="2" t="s">
        <v>4</v>
      </c>
      <c r="J4" t="s">
        <v>616</v>
      </c>
    </row>
    <row r="5" spans="1:16" x14ac:dyDescent="0.25">
      <c r="D5" s="2" t="s">
        <v>1</v>
      </c>
      <c r="F5" t="s">
        <v>1100</v>
      </c>
    </row>
    <row r="6" spans="1:16" x14ac:dyDescent="0.25">
      <c r="D6" s="2" t="s">
        <v>2</v>
      </c>
      <c r="F6" s="6">
        <v>43025</v>
      </c>
      <c r="H6" s="11"/>
    </row>
    <row r="7" spans="1:16" x14ac:dyDescent="0.25">
      <c r="D7" s="2" t="s">
        <v>3</v>
      </c>
      <c r="F7" s="5">
        <v>3000000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2812500</v>
      </c>
      <c r="H8" s="11"/>
    </row>
    <row r="9" spans="1:16" x14ac:dyDescent="0.25">
      <c r="D9" s="2" t="s">
        <v>67</v>
      </c>
      <c r="F9" s="4">
        <f>+F8-F7</f>
        <v>-187500</v>
      </c>
      <c r="G9" s="16">
        <f>+F9/F7</f>
        <v>-6.25E-2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-481750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3481750</v>
      </c>
      <c r="G12" s="14"/>
      <c r="H12" s="11">
        <f>COUNT(I23:I43)</f>
        <v>2</v>
      </c>
      <c r="I12" s="1" t="s">
        <v>31</v>
      </c>
      <c r="J12" s="4">
        <f>+F8*0.9</f>
        <v>2531250</v>
      </c>
      <c r="K12" s="1" t="s">
        <v>69</v>
      </c>
    </row>
    <row r="13" spans="1:16" x14ac:dyDescent="0.25">
      <c r="D13" s="2" t="s">
        <v>29</v>
      </c>
      <c r="F13" s="4">
        <f>MAX(I23:I43)-MIN(I23:I43)</f>
        <v>1338500</v>
      </c>
      <c r="G13" s="269">
        <f>MEDIAN(I23:I43)</f>
        <v>3481750</v>
      </c>
      <c r="H13" s="270"/>
      <c r="I13" s="1" t="s">
        <v>30</v>
      </c>
      <c r="J13" s="4">
        <f>+F12*1.1</f>
        <v>3829925.0000000005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824</v>
      </c>
      <c r="E23" s="33"/>
      <c r="F23" t="s">
        <v>186</v>
      </c>
      <c r="G23" t="s">
        <v>25</v>
      </c>
      <c r="H23">
        <f>RANK(I23,I$23:I$43,1)</f>
        <v>1</v>
      </c>
      <c r="I23" s="4">
        <v>2812500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907</v>
      </c>
      <c r="E24" s="33"/>
      <c r="F24" t="s">
        <v>312</v>
      </c>
      <c r="G24" t="s">
        <v>25</v>
      </c>
      <c r="H24">
        <f>RANK(I24,I$23:I$43,1)</f>
        <v>2</v>
      </c>
      <c r="I24" s="4">
        <v>4151000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115" priority="18" operator="containsText" text="FAIL">
      <formula>NOT(ISERROR(SEARCH("FAIL",I9)))</formula>
    </cfRule>
  </conditionalFormatting>
  <conditionalFormatting sqref="I9">
    <cfRule type="containsText" dxfId="2114" priority="17" operator="containsText" text="GOOD">
      <formula>NOT(ISERROR(SEARCH("GOOD",I9)))</formula>
    </cfRule>
  </conditionalFormatting>
  <conditionalFormatting sqref="F11">
    <cfRule type="containsText" dxfId="2113" priority="16" operator="containsText" text="FAIL">
      <formula>NOT(ISERROR(SEARCH("FAIL",F11)))</formula>
    </cfRule>
  </conditionalFormatting>
  <conditionalFormatting sqref="F11">
    <cfRule type="containsText" dxfId="2112" priority="15" operator="containsText" text="GOOD">
      <formula>NOT(ISERROR(SEARCH("GOOD",F11)))</formula>
    </cfRule>
  </conditionalFormatting>
  <conditionalFormatting sqref="D25">
    <cfRule type="expression" dxfId="2111" priority="14" stopIfTrue="1">
      <formula>IF($H$25=1,0)</formula>
    </cfRule>
  </conditionalFormatting>
  <conditionalFormatting sqref="D23 D29:D43 D25">
    <cfRule type="expression" dxfId="2110" priority="13">
      <formula>H23=1</formula>
    </cfRule>
  </conditionalFormatting>
  <conditionalFormatting sqref="C23:C26 C29:C43">
    <cfRule type="expression" dxfId="2109" priority="12">
      <formula>H23=1</formula>
    </cfRule>
  </conditionalFormatting>
  <conditionalFormatting sqref="E23 E29:E43 E25">
    <cfRule type="expression" dxfId="2108" priority="11">
      <formula>H23=1</formula>
    </cfRule>
  </conditionalFormatting>
  <conditionalFormatting sqref="F11">
    <cfRule type="containsText" dxfId="2107" priority="10" operator="containsText" text="FAIL">
      <formula>NOT(ISERROR(SEARCH("FAIL",F11)))</formula>
    </cfRule>
  </conditionalFormatting>
  <conditionalFormatting sqref="F11">
    <cfRule type="containsText" dxfId="2106" priority="9" operator="containsText" text="GOOD">
      <formula>NOT(ISERROR(SEARCH("GOOD",F11)))</formula>
    </cfRule>
  </conditionalFormatting>
  <conditionalFormatting sqref="D27:D28">
    <cfRule type="expression" dxfId="2105" priority="8">
      <formula>H27=1</formula>
    </cfRule>
  </conditionalFormatting>
  <conditionalFormatting sqref="C27:C28">
    <cfRule type="expression" dxfId="2104" priority="7">
      <formula>H27=1</formula>
    </cfRule>
  </conditionalFormatting>
  <conditionalFormatting sqref="E27:E28">
    <cfRule type="expression" dxfId="2103" priority="6">
      <formula>H27=1</formula>
    </cfRule>
  </conditionalFormatting>
  <conditionalFormatting sqref="D24">
    <cfRule type="expression" dxfId="2102" priority="5" stopIfTrue="1">
      <formula>IF($H$25=1,0)</formula>
    </cfRule>
  </conditionalFormatting>
  <conditionalFormatting sqref="D24">
    <cfRule type="expression" dxfId="2101" priority="4">
      <formula>H24=1</formula>
    </cfRule>
  </conditionalFormatting>
  <conditionalFormatting sqref="E24">
    <cfRule type="expression" dxfId="2100" priority="3">
      <formula>H24=1</formula>
    </cfRule>
  </conditionalFormatting>
  <conditionalFormatting sqref="D26">
    <cfRule type="expression" dxfId="2099" priority="2">
      <formula>H26=1</formula>
    </cfRule>
  </conditionalFormatting>
  <conditionalFormatting sqref="E26">
    <cfRule type="expression" dxfId="2098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2:P47"/>
  <sheetViews>
    <sheetView zoomScaleNormal="100" workbookViewId="0">
      <selection activeCell="K28" sqref="K2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1093</v>
      </c>
      <c r="I4" s="2" t="s">
        <v>4</v>
      </c>
      <c r="J4" t="s">
        <v>616</v>
      </c>
    </row>
    <row r="5" spans="1:16" x14ac:dyDescent="0.25">
      <c r="D5" s="2" t="s">
        <v>1</v>
      </c>
      <c r="F5" t="s">
        <v>1094</v>
      </c>
    </row>
    <row r="6" spans="1:16" x14ac:dyDescent="0.25">
      <c r="D6" s="2" t="s">
        <v>2</v>
      </c>
      <c r="F6" s="6">
        <v>43013</v>
      </c>
      <c r="H6" s="11"/>
    </row>
    <row r="7" spans="1:16" x14ac:dyDescent="0.25">
      <c r="D7" s="2" t="s">
        <v>3</v>
      </c>
      <c r="F7" s="5">
        <v>970000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1285000</v>
      </c>
      <c r="H8" s="11"/>
    </row>
    <row r="9" spans="1:16" x14ac:dyDescent="0.25">
      <c r="D9" s="2" t="s">
        <v>67</v>
      </c>
      <c r="F9" s="4">
        <f>+F8-F7</f>
        <v>315000</v>
      </c>
      <c r="G9" s="16">
        <f>+F9/F7</f>
        <v>0.32474226804123713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-839866.66666666674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1809866.6666666667</v>
      </c>
      <c r="G12" s="14"/>
      <c r="H12" s="11">
        <f>COUNT(I23:I43)</f>
        <v>6</v>
      </c>
      <c r="I12" s="1" t="s">
        <v>31</v>
      </c>
      <c r="J12" s="4">
        <f>+F8*0.9</f>
        <v>1156500</v>
      </c>
      <c r="K12" s="1" t="s">
        <v>69</v>
      </c>
    </row>
    <row r="13" spans="1:16" x14ac:dyDescent="0.25">
      <c r="D13" s="2" t="s">
        <v>29</v>
      </c>
      <c r="F13" s="4">
        <f>MAX(I23:I43)-MIN(I23:I43)</f>
        <v>865000</v>
      </c>
      <c r="G13" s="269">
        <f>MEDIAN(I23:I43)</f>
        <v>1869850</v>
      </c>
      <c r="H13" s="270"/>
      <c r="I13" s="1" t="s">
        <v>30</v>
      </c>
      <c r="J13" s="4">
        <f>+F12*1.1</f>
        <v>1990853.3333333335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824</v>
      </c>
      <c r="E23" s="33"/>
      <c r="F23" t="s">
        <v>186</v>
      </c>
      <c r="G23" t="s">
        <v>25</v>
      </c>
      <c r="H23">
        <f t="shared" ref="H23:H28" si="0">RANK(I23,I$23:I$43,1)</f>
        <v>2</v>
      </c>
      <c r="I23" s="4">
        <v>1541500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1095</v>
      </c>
      <c r="E24" s="33"/>
      <c r="F24" t="s">
        <v>1096</v>
      </c>
      <c r="G24" t="s">
        <v>25</v>
      </c>
      <c r="H24">
        <f t="shared" si="0"/>
        <v>1</v>
      </c>
      <c r="I24" s="4">
        <v>1285000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722</v>
      </c>
      <c r="E25" s="33"/>
      <c r="F25" t="s">
        <v>179</v>
      </c>
      <c r="G25" t="s">
        <v>25</v>
      </c>
      <c r="H25">
        <f t="shared" si="0"/>
        <v>4</v>
      </c>
      <c r="I25" s="4">
        <v>2091700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1097</v>
      </c>
      <c r="E26" s="33"/>
      <c r="F26" t="s">
        <v>131</v>
      </c>
      <c r="G26" t="s">
        <v>25</v>
      </c>
      <c r="H26">
        <f t="shared" si="0"/>
        <v>6</v>
      </c>
      <c r="I26" s="4">
        <v>2150000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882</v>
      </c>
      <c r="E27" s="33"/>
      <c r="F27" t="s">
        <v>95</v>
      </c>
      <c r="G27" t="s">
        <v>93</v>
      </c>
      <c r="H27">
        <f t="shared" si="0"/>
        <v>3</v>
      </c>
      <c r="I27" s="4">
        <v>1648000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1098</v>
      </c>
      <c r="E28" s="33"/>
      <c r="F28" t="s">
        <v>95</v>
      </c>
      <c r="G28" t="s">
        <v>93</v>
      </c>
      <c r="H28">
        <f t="shared" si="0"/>
        <v>5</v>
      </c>
      <c r="I28" s="4">
        <v>2143000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097" priority="18" operator="containsText" text="FAIL">
      <formula>NOT(ISERROR(SEARCH("FAIL",I9)))</formula>
    </cfRule>
  </conditionalFormatting>
  <conditionalFormatting sqref="I9">
    <cfRule type="containsText" dxfId="2096" priority="17" operator="containsText" text="GOOD">
      <formula>NOT(ISERROR(SEARCH("GOOD",I9)))</formula>
    </cfRule>
  </conditionalFormatting>
  <conditionalFormatting sqref="F11">
    <cfRule type="containsText" dxfId="2095" priority="16" operator="containsText" text="FAIL">
      <formula>NOT(ISERROR(SEARCH("FAIL",F11)))</formula>
    </cfRule>
  </conditionalFormatting>
  <conditionalFormatting sqref="F11">
    <cfRule type="containsText" dxfId="2094" priority="15" operator="containsText" text="GOOD">
      <formula>NOT(ISERROR(SEARCH("GOOD",F11)))</formula>
    </cfRule>
  </conditionalFormatting>
  <conditionalFormatting sqref="D25">
    <cfRule type="expression" dxfId="2093" priority="14" stopIfTrue="1">
      <formula>IF($H$25=1,0)</formula>
    </cfRule>
  </conditionalFormatting>
  <conditionalFormatting sqref="D23 D29:D43 D25">
    <cfRule type="expression" dxfId="2092" priority="13">
      <formula>H23=1</formula>
    </cfRule>
  </conditionalFormatting>
  <conditionalFormatting sqref="C23:C26 C29:C43">
    <cfRule type="expression" dxfId="2091" priority="12">
      <formula>H23=1</formula>
    </cfRule>
  </conditionalFormatting>
  <conditionalFormatting sqref="E23 E29:E43 E25">
    <cfRule type="expression" dxfId="2090" priority="11">
      <formula>H23=1</formula>
    </cfRule>
  </conditionalFormatting>
  <conditionalFormatting sqref="F11">
    <cfRule type="containsText" dxfId="2089" priority="10" operator="containsText" text="FAIL">
      <formula>NOT(ISERROR(SEARCH("FAIL",F11)))</formula>
    </cfRule>
  </conditionalFormatting>
  <conditionalFormatting sqref="F11">
    <cfRule type="containsText" dxfId="2088" priority="9" operator="containsText" text="GOOD">
      <formula>NOT(ISERROR(SEARCH("GOOD",F11)))</formula>
    </cfRule>
  </conditionalFormatting>
  <conditionalFormatting sqref="D27:D28">
    <cfRule type="expression" dxfId="2087" priority="8">
      <formula>H27=1</formula>
    </cfRule>
  </conditionalFormatting>
  <conditionalFormatting sqref="C27:C28">
    <cfRule type="expression" dxfId="2086" priority="7">
      <formula>H27=1</formula>
    </cfRule>
  </conditionalFormatting>
  <conditionalFormatting sqref="E27:E28">
    <cfRule type="expression" dxfId="2085" priority="6">
      <formula>H27=1</formula>
    </cfRule>
  </conditionalFormatting>
  <conditionalFormatting sqref="D24">
    <cfRule type="expression" dxfId="2084" priority="5" stopIfTrue="1">
      <formula>IF($H$25=1,0)</formula>
    </cfRule>
  </conditionalFormatting>
  <conditionalFormatting sqref="D24">
    <cfRule type="expression" dxfId="2083" priority="4">
      <formula>H24=1</formula>
    </cfRule>
  </conditionalFormatting>
  <conditionalFormatting sqref="E24">
    <cfRule type="expression" dxfId="2082" priority="3">
      <formula>H24=1</formula>
    </cfRule>
  </conditionalFormatting>
  <conditionalFormatting sqref="D26">
    <cfRule type="expression" dxfId="2081" priority="2">
      <formula>H26=1</formula>
    </cfRule>
  </conditionalFormatting>
  <conditionalFormatting sqref="E26">
    <cfRule type="expression" dxfId="2080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2:P47"/>
  <sheetViews>
    <sheetView zoomScaleNormal="100" workbookViewId="0">
      <selection activeCell="M3" sqref="M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1091</v>
      </c>
      <c r="I4" s="2" t="s">
        <v>4</v>
      </c>
      <c r="J4" t="s">
        <v>962</v>
      </c>
    </row>
    <row r="5" spans="1:16" x14ac:dyDescent="0.25">
      <c r="D5" s="2" t="s">
        <v>1</v>
      </c>
      <c r="F5" t="s">
        <v>1092</v>
      </c>
    </row>
    <row r="6" spans="1:16" x14ac:dyDescent="0.25">
      <c r="D6" s="2" t="s">
        <v>2</v>
      </c>
      <c r="F6" s="6">
        <v>43006</v>
      </c>
      <c r="H6" s="11"/>
    </row>
    <row r="7" spans="1:16" x14ac:dyDescent="0.25">
      <c r="D7" s="2" t="s">
        <v>3</v>
      </c>
      <c r="F7" s="5">
        <v>609000</v>
      </c>
      <c r="G7" s="2" t="s">
        <v>693</v>
      </c>
      <c r="H7" s="11"/>
    </row>
    <row r="8" spans="1:16" x14ac:dyDescent="0.25">
      <c r="D8" s="2" t="s">
        <v>18</v>
      </c>
      <c r="F8" s="5">
        <f>MIN(I23:I43)</f>
        <v>579300</v>
      </c>
      <c r="H8" s="11"/>
    </row>
    <row r="9" spans="1:16" x14ac:dyDescent="0.25">
      <c r="D9" s="2" t="s">
        <v>67</v>
      </c>
      <c r="F9" s="4">
        <f>+F8-F7</f>
        <v>-29700</v>
      </c>
      <c r="G9" s="16">
        <f>+F9/F7</f>
        <v>-4.8768472906403938E-2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-1468912.5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2077912.5</v>
      </c>
      <c r="G12" s="14"/>
      <c r="H12" s="11">
        <f>COUNT(I23:I43)</f>
        <v>4</v>
      </c>
      <c r="I12" s="1" t="s">
        <v>31</v>
      </c>
      <c r="J12" s="4">
        <f>+F8*0.9</f>
        <v>521370</v>
      </c>
      <c r="K12" s="1" t="s">
        <v>69</v>
      </c>
    </row>
    <row r="13" spans="1:16" x14ac:dyDescent="0.25">
      <c r="D13" s="2" t="s">
        <v>29</v>
      </c>
      <c r="F13" s="4">
        <f>MAX(I23:I43)-MIN(I23:I43)</f>
        <v>2534750</v>
      </c>
      <c r="G13" s="269">
        <f>MEDIAN(I23:I43)</f>
        <v>2309150</v>
      </c>
      <c r="H13" s="270"/>
      <c r="I13" s="1" t="s">
        <v>30</v>
      </c>
      <c r="J13" s="4">
        <f>+F12*1.1</f>
        <v>2285703.75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793</v>
      </c>
      <c r="E23" s="33"/>
      <c r="F23" t="s">
        <v>181</v>
      </c>
      <c r="G23" t="s">
        <v>93</v>
      </c>
      <c r="H23">
        <f>RANK(I23,I$23:I$43,1)</f>
        <v>4</v>
      </c>
      <c r="I23" s="4">
        <v>3114050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708</v>
      </c>
      <c r="E24" s="33"/>
      <c r="F24" t="s">
        <v>709</v>
      </c>
      <c r="G24" t="s">
        <v>93</v>
      </c>
      <c r="H24">
        <f>RANK(I24,I$23:I$43,1)</f>
        <v>2</v>
      </c>
      <c r="I24" s="4">
        <v>1699000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725</v>
      </c>
      <c r="E25" s="33"/>
      <c r="F25" t="s">
        <v>594</v>
      </c>
      <c r="G25" t="s">
        <v>25</v>
      </c>
      <c r="H25">
        <f>RANK(I25,I$23:I$43,1)</f>
        <v>3</v>
      </c>
      <c r="I25" s="4">
        <v>2919300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942</v>
      </c>
      <c r="E26" s="33"/>
      <c r="F26" t="s">
        <v>943</v>
      </c>
      <c r="G26" t="s">
        <v>25</v>
      </c>
      <c r="H26">
        <f>RANK(I26,I$23:I$43,1)</f>
        <v>1</v>
      </c>
      <c r="I26" s="4">
        <v>579300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1">IF(H36=1,"t","")</f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079" priority="18" operator="containsText" text="FAIL">
      <formula>NOT(ISERROR(SEARCH("FAIL",I9)))</formula>
    </cfRule>
  </conditionalFormatting>
  <conditionalFormatting sqref="I9">
    <cfRule type="containsText" dxfId="2078" priority="17" operator="containsText" text="GOOD">
      <formula>NOT(ISERROR(SEARCH("GOOD",I9)))</formula>
    </cfRule>
  </conditionalFormatting>
  <conditionalFormatting sqref="F11">
    <cfRule type="containsText" dxfId="2077" priority="16" operator="containsText" text="FAIL">
      <formula>NOT(ISERROR(SEARCH("FAIL",F11)))</formula>
    </cfRule>
  </conditionalFormatting>
  <conditionalFormatting sqref="F11">
    <cfRule type="containsText" dxfId="2076" priority="15" operator="containsText" text="GOOD">
      <formula>NOT(ISERROR(SEARCH("GOOD",F11)))</formula>
    </cfRule>
  </conditionalFormatting>
  <conditionalFormatting sqref="D25">
    <cfRule type="expression" dxfId="2075" priority="14" stopIfTrue="1">
      <formula>IF($H$25=1,0)</formula>
    </cfRule>
  </conditionalFormatting>
  <conditionalFormatting sqref="D23 D29:D43 D25">
    <cfRule type="expression" dxfId="2074" priority="13">
      <formula>H23=1</formula>
    </cfRule>
  </conditionalFormatting>
  <conditionalFormatting sqref="C23:C26 C29:C43">
    <cfRule type="expression" dxfId="2073" priority="12">
      <formula>H23=1</formula>
    </cfRule>
  </conditionalFormatting>
  <conditionalFormatting sqref="E23 E29:E43 E25">
    <cfRule type="expression" dxfId="2072" priority="11">
      <formula>H23=1</formula>
    </cfRule>
  </conditionalFormatting>
  <conditionalFormatting sqref="F11">
    <cfRule type="containsText" dxfId="2071" priority="10" operator="containsText" text="FAIL">
      <formula>NOT(ISERROR(SEARCH("FAIL",F11)))</formula>
    </cfRule>
  </conditionalFormatting>
  <conditionalFormatting sqref="F11">
    <cfRule type="containsText" dxfId="2070" priority="9" operator="containsText" text="GOOD">
      <formula>NOT(ISERROR(SEARCH("GOOD",F11)))</formula>
    </cfRule>
  </conditionalFormatting>
  <conditionalFormatting sqref="D27:D28">
    <cfRule type="expression" dxfId="2069" priority="8">
      <formula>H27=1</formula>
    </cfRule>
  </conditionalFormatting>
  <conditionalFormatting sqref="C27:C28">
    <cfRule type="expression" dxfId="2068" priority="7">
      <formula>H27=1</formula>
    </cfRule>
  </conditionalFormatting>
  <conditionalFormatting sqref="E27:E28">
    <cfRule type="expression" dxfId="2067" priority="6">
      <formula>H27=1</formula>
    </cfRule>
  </conditionalFormatting>
  <conditionalFormatting sqref="D24">
    <cfRule type="expression" dxfId="2066" priority="5" stopIfTrue="1">
      <formula>IF($H$25=1,0)</formula>
    </cfRule>
  </conditionalFormatting>
  <conditionalFormatting sqref="D24">
    <cfRule type="expression" dxfId="2065" priority="4">
      <formula>H24=1</formula>
    </cfRule>
  </conditionalFormatting>
  <conditionalFormatting sqref="E24">
    <cfRule type="expression" dxfId="2064" priority="3">
      <formula>H24=1</formula>
    </cfRule>
  </conditionalFormatting>
  <conditionalFormatting sqref="D26">
    <cfRule type="expression" dxfId="2063" priority="2">
      <formula>H26=1</formula>
    </cfRule>
  </conditionalFormatting>
  <conditionalFormatting sqref="E26">
    <cfRule type="expression" dxfId="2062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2:P47"/>
  <sheetViews>
    <sheetView zoomScaleNormal="100" workbookViewId="0">
      <selection activeCell="M16" sqref="M1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1089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1090</v>
      </c>
    </row>
    <row r="6" spans="1:16" x14ac:dyDescent="0.25">
      <c r="D6" s="2" t="s">
        <v>2</v>
      </c>
      <c r="F6" s="6">
        <v>43005</v>
      </c>
      <c r="H6" s="11"/>
    </row>
    <row r="7" spans="1:16" x14ac:dyDescent="0.25">
      <c r="D7" s="2" t="s">
        <v>3</v>
      </c>
      <c r="F7" s="5">
        <v>1250000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1068000</v>
      </c>
      <c r="H8" s="11"/>
    </row>
    <row r="9" spans="1:16" x14ac:dyDescent="0.25">
      <c r="D9" s="2" t="s">
        <v>67</v>
      </c>
      <c r="F9" s="4">
        <f>+F8-F7</f>
        <v>-182000</v>
      </c>
      <c r="G9" s="16">
        <f>+F9/F7</f>
        <v>-0.14560000000000001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-1819190.5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3069190.5</v>
      </c>
      <c r="G12" s="14"/>
      <c r="H12" s="11">
        <f>COUNT(I23:I43)</f>
        <v>6</v>
      </c>
      <c r="I12" s="1" t="s">
        <v>31</v>
      </c>
      <c r="J12" s="4">
        <f>+F8*0.9</f>
        <v>961200</v>
      </c>
      <c r="K12" s="1" t="s">
        <v>69</v>
      </c>
    </row>
    <row r="13" spans="1:16" x14ac:dyDescent="0.25">
      <c r="D13" s="2" t="s">
        <v>29</v>
      </c>
      <c r="F13" s="4">
        <f>MAX(I23:I43)-MIN(I23:I43)</f>
        <v>4183040</v>
      </c>
      <c r="G13" s="269">
        <f>MEDIAN(I23:I43)</f>
        <v>2822051.5</v>
      </c>
      <c r="H13" s="270"/>
      <c r="I13" s="1" t="s">
        <v>30</v>
      </c>
      <c r="J13" s="4">
        <f>+F12*1.1</f>
        <v>3376109.5500000003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606</v>
      </c>
      <c r="E23" s="33"/>
      <c r="F23" t="s">
        <v>100</v>
      </c>
      <c r="G23" t="s">
        <v>93</v>
      </c>
      <c r="H23">
        <f t="shared" ref="H23:H28" si="0">RANK(I23,I$23:I$43,1)</f>
        <v>2</v>
      </c>
      <c r="I23" s="4">
        <v>2672000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487</v>
      </c>
      <c r="E24" s="33"/>
      <c r="F24" t="s">
        <v>113</v>
      </c>
      <c r="G24" t="s">
        <v>25</v>
      </c>
      <c r="H24">
        <f t="shared" si="0"/>
        <v>1</v>
      </c>
      <c r="I24" s="4">
        <v>1068000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491</v>
      </c>
      <c r="E25" s="33"/>
      <c r="F25" t="s">
        <v>203</v>
      </c>
      <c r="G25" t="s">
        <v>204</v>
      </c>
      <c r="H25">
        <f t="shared" si="0"/>
        <v>4</v>
      </c>
      <c r="I25" s="4">
        <v>2876103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681</v>
      </c>
      <c r="E26" s="33"/>
      <c r="F26" t="s">
        <v>199</v>
      </c>
      <c r="G26" t="s">
        <v>93</v>
      </c>
      <c r="H26">
        <f t="shared" si="0"/>
        <v>6</v>
      </c>
      <c r="I26" s="4">
        <v>5251040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429</v>
      </c>
      <c r="E27" s="33"/>
      <c r="F27" t="s">
        <v>131</v>
      </c>
      <c r="G27" t="s">
        <v>25</v>
      </c>
      <c r="H27">
        <f t="shared" si="0"/>
        <v>3</v>
      </c>
      <c r="I27" s="4">
        <v>2768000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824</v>
      </c>
      <c r="E28" s="33"/>
      <c r="F28" t="s">
        <v>186</v>
      </c>
      <c r="G28" t="s">
        <v>25</v>
      </c>
      <c r="H28">
        <f t="shared" si="0"/>
        <v>5</v>
      </c>
      <c r="I28" s="4">
        <v>3780000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ref="E36:E43" si="2">IF(H36=1,"t","")</f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061" priority="18" operator="containsText" text="FAIL">
      <formula>NOT(ISERROR(SEARCH("FAIL",I9)))</formula>
    </cfRule>
  </conditionalFormatting>
  <conditionalFormatting sqref="I9">
    <cfRule type="containsText" dxfId="2060" priority="17" operator="containsText" text="GOOD">
      <formula>NOT(ISERROR(SEARCH("GOOD",I9)))</formula>
    </cfRule>
  </conditionalFormatting>
  <conditionalFormatting sqref="F11">
    <cfRule type="containsText" dxfId="2059" priority="16" operator="containsText" text="FAIL">
      <formula>NOT(ISERROR(SEARCH("FAIL",F11)))</formula>
    </cfRule>
  </conditionalFormatting>
  <conditionalFormatting sqref="F11">
    <cfRule type="containsText" dxfId="2058" priority="15" operator="containsText" text="GOOD">
      <formula>NOT(ISERROR(SEARCH("GOOD",F11)))</formula>
    </cfRule>
  </conditionalFormatting>
  <conditionalFormatting sqref="D25">
    <cfRule type="expression" dxfId="2057" priority="14" stopIfTrue="1">
      <formula>IF($H$25=1,0)</formula>
    </cfRule>
  </conditionalFormatting>
  <conditionalFormatting sqref="D23 D29:D43 D25">
    <cfRule type="expression" dxfId="2056" priority="13">
      <formula>H23=1</formula>
    </cfRule>
  </conditionalFormatting>
  <conditionalFormatting sqref="C23:C26 C29:C43">
    <cfRule type="expression" dxfId="2055" priority="12">
      <formula>H23=1</formula>
    </cfRule>
  </conditionalFormatting>
  <conditionalFormatting sqref="E23 E29:E43 E25">
    <cfRule type="expression" dxfId="2054" priority="11">
      <formula>H23=1</formula>
    </cfRule>
  </conditionalFormatting>
  <conditionalFormatting sqref="F11">
    <cfRule type="containsText" dxfId="2053" priority="10" operator="containsText" text="FAIL">
      <formula>NOT(ISERROR(SEARCH("FAIL",F11)))</formula>
    </cfRule>
  </conditionalFormatting>
  <conditionalFormatting sqref="F11">
    <cfRule type="containsText" dxfId="2052" priority="9" operator="containsText" text="GOOD">
      <formula>NOT(ISERROR(SEARCH("GOOD",F11)))</formula>
    </cfRule>
  </conditionalFormatting>
  <conditionalFormatting sqref="D27:D28">
    <cfRule type="expression" dxfId="2051" priority="8">
      <formula>H27=1</formula>
    </cfRule>
  </conditionalFormatting>
  <conditionalFormatting sqref="C27:C28">
    <cfRule type="expression" dxfId="2050" priority="7">
      <formula>H27=1</formula>
    </cfRule>
  </conditionalFormatting>
  <conditionalFormatting sqref="E27:E28">
    <cfRule type="expression" dxfId="2049" priority="6">
      <formula>H27=1</formula>
    </cfRule>
  </conditionalFormatting>
  <conditionalFormatting sqref="D24">
    <cfRule type="expression" dxfId="2048" priority="5" stopIfTrue="1">
      <formula>IF($H$25=1,0)</formula>
    </cfRule>
  </conditionalFormatting>
  <conditionalFormatting sqref="D24">
    <cfRule type="expression" dxfId="2047" priority="4">
      <formula>H24=1</formula>
    </cfRule>
  </conditionalFormatting>
  <conditionalFormatting sqref="E24">
    <cfRule type="expression" dxfId="2046" priority="3">
      <formula>H24=1</formula>
    </cfRule>
  </conditionalFormatting>
  <conditionalFormatting sqref="D26">
    <cfRule type="expression" dxfId="2045" priority="2">
      <formula>H26=1</formula>
    </cfRule>
  </conditionalFormatting>
  <conditionalFormatting sqref="E26">
    <cfRule type="expression" dxfId="2044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2:P47"/>
  <sheetViews>
    <sheetView zoomScaleNormal="100" workbookViewId="0">
      <selection activeCell="M25" sqref="M25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1084</v>
      </c>
      <c r="I4" s="2" t="s">
        <v>4</v>
      </c>
      <c r="J4" t="s">
        <v>816</v>
      </c>
    </row>
    <row r="5" spans="1:15" x14ac:dyDescent="0.25">
      <c r="D5" s="2" t="s">
        <v>1</v>
      </c>
      <c r="F5" t="s">
        <v>1085</v>
      </c>
    </row>
    <row r="6" spans="1:15" x14ac:dyDescent="0.25">
      <c r="D6" s="2" t="s">
        <v>2</v>
      </c>
      <c r="F6" s="6">
        <v>43004</v>
      </c>
      <c r="H6" s="11"/>
    </row>
    <row r="7" spans="1:15" x14ac:dyDescent="0.25">
      <c r="D7" s="2" t="s">
        <v>3</v>
      </c>
      <c r="F7" s="5">
        <f>+L7+K7+J7+I7+(M7*K7)</f>
        <v>189900000</v>
      </c>
      <c r="G7" s="2" t="s">
        <v>190</v>
      </c>
      <c r="H7" s="11"/>
      <c r="I7" s="19">
        <v>5247251</v>
      </c>
      <c r="J7" s="19">
        <v>158456850</v>
      </c>
      <c r="K7" s="19">
        <v>21000000</v>
      </c>
      <c r="L7" s="19">
        <v>995899</v>
      </c>
      <c r="M7" s="20">
        <v>0.2</v>
      </c>
    </row>
    <row r="8" spans="1:15" x14ac:dyDescent="0.25">
      <c r="D8" s="2" t="s">
        <v>18</v>
      </c>
      <c r="F8" s="5">
        <f>MIN(M23:M43)</f>
        <v>154487000</v>
      </c>
      <c r="H8" s="11"/>
      <c r="I8" s="18" t="s">
        <v>43</v>
      </c>
      <c r="J8" s="18" t="s">
        <v>44</v>
      </c>
      <c r="K8" s="18" t="s">
        <v>49</v>
      </c>
      <c r="L8" s="18" t="s">
        <v>934</v>
      </c>
      <c r="M8" s="18" t="s">
        <v>50</v>
      </c>
    </row>
    <row r="9" spans="1:15" x14ac:dyDescent="0.25">
      <c r="D9" s="2" t="s">
        <v>19</v>
      </c>
      <c r="F9" s="4">
        <f>+F8-F7</f>
        <v>-35413000</v>
      </c>
      <c r="G9" s="16">
        <f>+F9/F7</f>
        <v>-0.18648235913638758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5" x14ac:dyDescent="0.25">
      <c r="D10" s="2" t="s">
        <v>68</v>
      </c>
      <c r="F10" s="4">
        <f>+F7-F12</f>
        <v>8663262.1999999881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GOOD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181236737.80000001</v>
      </c>
      <c r="G12" s="14"/>
      <c r="H12" s="11">
        <f>COUNT(M23:M43)</f>
        <v>5</v>
      </c>
      <c r="I12" s="1" t="s">
        <v>31</v>
      </c>
      <c r="J12" s="4">
        <f>+F8*0.9</f>
        <v>139038300</v>
      </c>
      <c r="K12" s="1" t="s">
        <v>69</v>
      </c>
      <c r="L12" s="1"/>
      <c r="O12" t="str">
        <f>INDEX(D23:D43,MATCH(1,H23:H43,0))</f>
        <v>El Sol</v>
      </c>
    </row>
    <row r="13" spans="1:15" x14ac:dyDescent="0.25">
      <c r="D13" s="2" t="s">
        <v>29</v>
      </c>
      <c r="F13" s="4">
        <f>MAX(M23:M43)-MIN(M23:M43)</f>
        <v>44159775</v>
      </c>
      <c r="G13" s="269">
        <f>MEDIAN(M23:M43)</f>
        <v>186782100</v>
      </c>
      <c r="H13" s="270"/>
      <c r="I13" s="1" t="s">
        <v>30</v>
      </c>
      <c r="J13" s="4">
        <f>+F12*1.1</f>
        <v>199360411.58000004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5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6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6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>IF(H23=1,"u","")</f>
        <v/>
      </c>
      <c r="D23" s="11" t="s">
        <v>511</v>
      </c>
      <c r="E23" s="33"/>
      <c r="F23" t="s">
        <v>512</v>
      </c>
      <c r="G23" t="s">
        <v>25</v>
      </c>
      <c r="H23">
        <f>RANK(M23,M$23:M$43,1)</f>
        <v>4</v>
      </c>
      <c r="I23" s="4">
        <v>4779579</v>
      </c>
      <c r="J23" s="4">
        <v>163950000</v>
      </c>
      <c r="K23" s="4">
        <v>120000</v>
      </c>
      <c r="L23" s="7">
        <v>0.03</v>
      </c>
      <c r="M23" s="4">
        <f>+K23+I23+J23+(L23*K$7)+$K$7</f>
        <v>190479579</v>
      </c>
      <c r="N23" s="22"/>
      <c r="O23" s="22">
        <f>+L23*$K$7</f>
        <v>630000</v>
      </c>
      <c r="P23" s="22"/>
    </row>
    <row r="24" spans="3:16" x14ac:dyDescent="0.25">
      <c r="C24" s="33" t="str">
        <f>IF(H24=1,"u","")</f>
        <v/>
      </c>
      <c r="D24" s="11" t="s">
        <v>508</v>
      </c>
      <c r="E24" s="33"/>
      <c r="F24" t="s">
        <v>181</v>
      </c>
      <c r="G24" t="s">
        <v>93</v>
      </c>
      <c r="H24">
        <f>RANK(M24,M$23:M$43,1)</f>
        <v>3</v>
      </c>
      <c r="I24" s="4">
        <v>7542100</v>
      </c>
      <c r="J24" s="4">
        <v>155600000</v>
      </c>
      <c r="K24" s="4">
        <v>120000</v>
      </c>
      <c r="L24" s="7">
        <v>0.12</v>
      </c>
      <c r="M24" s="4">
        <f>+K24+I24+J24+(L24*K$7)+$K$7</f>
        <v>186782100</v>
      </c>
      <c r="N24" s="22"/>
      <c r="O24" s="22">
        <f>+L24*$K$7</f>
        <v>2520000</v>
      </c>
      <c r="P24" s="22"/>
    </row>
    <row r="25" spans="3:16" x14ac:dyDescent="0.25">
      <c r="C25" s="33" t="str">
        <f>IF(H25=1,"u","")</f>
        <v>u</v>
      </c>
      <c r="D25" s="11" t="s">
        <v>1086</v>
      </c>
      <c r="E25" s="33"/>
      <c r="F25" t="s">
        <v>407</v>
      </c>
      <c r="G25" t="s">
        <v>93</v>
      </c>
      <c r="H25">
        <f>RANK(M25,M$23:M$43,1)</f>
        <v>1</v>
      </c>
      <c r="I25" s="4">
        <v>5318150</v>
      </c>
      <c r="J25" s="4">
        <v>126998850</v>
      </c>
      <c r="K25" s="4">
        <v>120000</v>
      </c>
      <c r="L25" s="7">
        <v>0.05</v>
      </c>
      <c r="M25" s="4">
        <f>+K25+I25+J25+(L25*K$7)+$K$7</f>
        <v>154487000</v>
      </c>
      <c r="N25" s="22"/>
      <c r="O25" s="22">
        <f>+L25*$K$7</f>
        <v>1050000</v>
      </c>
      <c r="P25" s="22"/>
    </row>
    <row r="26" spans="3:16" x14ac:dyDescent="0.25">
      <c r="C26" s="33" t="str">
        <f t="shared" ref="C26:C43" si="0">IF(H26=1,"u","")</f>
        <v/>
      </c>
      <c r="D26" s="11" t="s">
        <v>1087</v>
      </c>
      <c r="E26" s="33"/>
      <c r="F26" t="s">
        <v>208</v>
      </c>
      <c r="G26" t="s">
        <v>93</v>
      </c>
      <c r="H26">
        <f>RANK(M26,M$23:M$43,1)</f>
        <v>2</v>
      </c>
      <c r="I26" s="4">
        <v>5007575</v>
      </c>
      <c r="J26" s="4">
        <v>148682660</v>
      </c>
      <c r="K26" s="4">
        <v>48000</v>
      </c>
      <c r="L26" s="7">
        <v>0.05</v>
      </c>
      <c r="M26" s="4">
        <f>+K26+I26+J26+(L26*K$7)+$K$7</f>
        <v>175788235</v>
      </c>
      <c r="N26" s="22"/>
      <c r="O26" s="22">
        <f>+L26*$K$7</f>
        <v>1050000</v>
      </c>
      <c r="P26" s="22"/>
    </row>
    <row r="27" spans="3:16" x14ac:dyDescent="0.25">
      <c r="C27" s="33" t="str">
        <f t="shared" si="0"/>
        <v/>
      </c>
      <c r="D27" s="11" t="s">
        <v>1088</v>
      </c>
      <c r="E27" s="33"/>
      <c r="F27" t="s">
        <v>159</v>
      </c>
      <c r="G27" t="s">
        <v>93</v>
      </c>
      <c r="H27">
        <f>RANK(M27,M$23:M$43,1)</f>
        <v>5</v>
      </c>
      <c r="I27" s="4">
        <v>9816775</v>
      </c>
      <c r="J27" s="4">
        <v>166700000</v>
      </c>
      <c r="K27" s="4">
        <v>80000</v>
      </c>
      <c r="L27" s="7">
        <v>0.05</v>
      </c>
      <c r="M27" s="4">
        <f>+K27+I27+J27+(L27*K$7)+$K$7</f>
        <v>198646775</v>
      </c>
      <c r="N27" s="22"/>
      <c r="O27" s="22">
        <f>+L27*$K$7</f>
        <v>1050000</v>
      </c>
      <c r="P27" s="22"/>
    </row>
    <row r="28" spans="3:16" x14ac:dyDescent="0.25">
      <c r="C28" s="33"/>
      <c r="D28" s="11"/>
      <c r="E28" s="33"/>
      <c r="I28" s="4"/>
      <c r="J28" s="4"/>
      <c r="K28" s="7"/>
      <c r="L28" s="7"/>
      <c r="M28" s="4"/>
      <c r="N28" s="22"/>
      <c r="O28" s="22"/>
      <c r="P28" s="22"/>
    </row>
    <row r="29" spans="3:16" x14ac:dyDescent="0.25">
      <c r="C29" s="33"/>
      <c r="D29" s="11"/>
      <c r="E29" s="33"/>
      <c r="I29" s="4"/>
      <c r="J29" s="4"/>
      <c r="K29" s="7"/>
      <c r="L29" s="7"/>
      <c r="M29" s="4"/>
      <c r="N29" s="22"/>
      <c r="O29" s="22"/>
      <c r="P29" s="22"/>
    </row>
    <row r="30" spans="3:16" x14ac:dyDescent="0.25">
      <c r="C30" s="33" t="str">
        <f t="shared" si="0"/>
        <v/>
      </c>
      <c r="D30" s="11"/>
      <c r="E30" s="33" t="str">
        <f t="shared" ref="E30:E43" si="1">IF(H30=1,"t","")</f>
        <v/>
      </c>
      <c r="I30" s="4"/>
      <c r="J30" s="4"/>
      <c r="K30" s="7"/>
      <c r="L30" s="7"/>
      <c r="M30" s="4"/>
      <c r="N30" s="22"/>
      <c r="O30" s="22"/>
      <c r="P30" s="22"/>
    </row>
    <row r="31" spans="3:16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7"/>
      <c r="L31" s="7"/>
      <c r="M31" s="4"/>
      <c r="N31" s="22"/>
      <c r="O31" s="22"/>
      <c r="P31" s="22"/>
    </row>
    <row r="32" spans="3:16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7"/>
      <c r="L32" s="7"/>
      <c r="M32" s="4"/>
      <c r="N32" s="22"/>
      <c r="O32" s="22"/>
      <c r="P32" s="22"/>
    </row>
    <row r="33" spans="3:16" x14ac:dyDescent="0.25">
      <c r="C33" s="33" t="str">
        <f t="shared" si="0"/>
        <v/>
      </c>
      <c r="D33" s="11"/>
      <c r="E33" s="33" t="str">
        <f t="shared" si="1"/>
        <v/>
      </c>
      <c r="I33" s="4"/>
      <c r="J33" s="4"/>
      <c r="K33" s="7"/>
      <c r="L33" s="7"/>
      <c r="M33" s="4"/>
      <c r="N33" s="21"/>
      <c r="O33" s="21"/>
      <c r="P33" s="21"/>
    </row>
    <row r="34" spans="3:16" x14ac:dyDescent="0.25">
      <c r="C34" s="33" t="str">
        <f t="shared" si="0"/>
        <v/>
      </c>
      <c r="D34" s="11"/>
      <c r="E34" s="33" t="str">
        <f t="shared" si="1"/>
        <v/>
      </c>
      <c r="K34" s="7"/>
      <c r="L34" s="7"/>
      <c r="N34" s="21"/>
      <c r="O34" s="21"/>
      <c r="P34" s="21"/>
    </row>
    <row r="35" spans="3:16" x14ac:dyDescent="0.25">
      <c r="C35" s="33" t="str">
        <f t="shared" si="0"/>
        <v/>
      </c>
      <c r="D35" s="11"/>
      <c r="E35" s="33" t="str">
        <f t="shared" si="1"/>
        <v/>
      </c>
      <c r="K35" s="7"/>
      <c r="L35" s="7"/>
      <c r="N35" s="21"/>
      <c r="O35" s="21"/>
      <c r="P35" s="21"/>
    </row>
    <row r="36" spans="3:16" x14ac:dyDescent="0.25">
      <c r="C36" s="33" t="str">
        <f t="shared" si="0"/>
        <v/>
      </c>
      <c r="D36" s="11"/>
      <c r="E36" s="33" t="str">
        <f t="shared" si="1"/>
        <v/>
      </c>
      <c r="K36" s="7"/>
      <c r="L36" s="7"/>
      <c r="N36" s="21"/>
      <c r="O36" s="21"/>
      <c r="P36" s="21"/>
    </row>
    <row r="37" spans="3:16" x14ac:dyDescent="0.25">
      <c r="C37" s="33" t="str">
        <f t="shared" si="0"/>
        <v/>
      </c>
      <c r="D37" s="11"/>
      <c r="E37" s="33" t="str">
        <f t="shared" si="1"/>
        <v/>
      </c>
      <c r="K37" s="7"/>
      <c r="L37" s="7"/>
      <c r="N37" s="21"/>
      <c r="O37" s="21"/>
      <c r="P37" s="21"/>
    </row>
    <row r="38" spans="3:16" x14ac:dyDescent="0.25">
      <c r="C38" s="33" t="str">
        <f t="shared" si="0"/>
        <v/>
      </c>
      <c r="D38" s="11"/>
      <c r="E38" s="33" t="str">
        <f t="shared" si="1"/>
        <v/>
      </c>
      <c r="K38" s="7"/>
      <c r="L38" s="7"/>
      <c r="N38" s="21"/>
      <c r="O38" s="21"/>
      <c r="P38" s="21"/>
    </row>
    <row r="39" spans="3:16" x14ac:dyDescent="0.25">
      <c r="C39" s="33" t="str">
        <f t="shared" si="0"/>
        <v/>
      </c>
      <c r="D39" s="11"/>
      <c r="E39" s="33" t="str">
        <f t="shared" si="1"/>
        <v/>
      </c>
      <c r="K39" s="7"/>
      <c r="L39" s="7"/>
      <c r="N39" s="21"/>
      <c r="O39" s="21"/>
      <c r="P39" s="21"/>
    </row>
    <row r="40" spans="3:16" x14ac:dyDescent="0.25">
      <c r="C40" s="33" t="str">
        <f t="shared" si="0"/>
        <v/>
      </c>
      <c r="D40" s="11"/>
      <c r="E40" s="33" t="str">
        <f t="shared" si="1"/>
        <v/>
      </c>
      <c r="K40" s="7"/>
      <c r="L40" s="7"/>
      <c r="N40" s="21"/>
      <c r="O40" s="21"/>
      <c r="P40" s="21"/>
    </row>
    <row r="41" spans="3:16" x14ac:dyDescent="0.25">
      <c r="C41" s="33" t="str">
        <f t="shared" si="0"/>
        <v/>
      </c>
      <c r="D41" s="11"/>
      <c r="E41" s="33" t="str">
        <f t="shared" si="1"/>
        <v/>
      </c>
      <c r="K41" s="7"/>
      <c r="L41" s="7"/>
      <c r="N41" s="21"/>
      <c r="O41" s="21"/>
      <c r="P41" s="21"/>
    </row>
    <row r="42" spans="3:16" x14ac:dyDescent="0.25">
      <c r="C42" s="33" t="str">
        <f t="shared" si="0"/>
        <v/>
      </c>
      <c r="D42" s="11"/>
      <c r="E42" s="33" t="str">
        <f t="shared" si="1"/>
        <v/>
      </c>
      <c r="K42" s="7"/>
      <c r="L42" s="7"/>
      <c r="N42" s="21"/>
      <c r="O42" s="21"/>
      <c r="P42" s="21"/>
    </row>
    <row r="43" spans="3:16" x14ac:dyDescent="0.25">
      <c r="C43" s="33" t="str">
        <f t="shared" si="0"/>
        <v/>
      </c>
      <c r="D43" s="11"/>
      <c r="E43" s="33" t="str">
        <f t="shared" si="1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2043" priority="8" operator="containsText" text="FAIL">
      <formula>NOT(ISERROR(SEARCH("FAIL",F9)))</formula>
    </cfRule>
  </conditionalFormatting>
  <conditionalFormatting sqref="I9 F11">
    <cfRule type="containsText" dxfId="2042" priority="7" operator="containsText" text="GOOD">
      <formula>NOT(ISERROR(SEARCH("GOOD",F9)))</formula>
    </cfRule>
  </conditionalFormatting>
  <conditionalFormatting sqref="I9">
    <cfRule type="containsText" dxfId="2041" priority="6" operator="containsText" text="FAIL">
      <formula>NOT(ISERROR(SEARCH("FAIL",I9)))</formula>
    </cfRule>
  </conditionalFormatting>
  <conditionalFormatting sqref="I9">
    <cfRule type="containsText" dxfId="2040" priority="5" operator="containsText" text="GOOD">
      <formula>NOT(ISERROR(SEARCH("GOOD",I9)))</formula>
    </cfRule>
  </conditionalFormatting>
  <conditionalFormatting sqref="D25">
    <cfRule type="expression" dxfId="2039" priority="4" stopIfTrue="1">
      <formula>IF($H$25=1,0)</formula>
    </cfRule>
  </conditionalFormatting>
  <conditionalFormatting sqref="D23:D43">
    <cfRule type="expression" dxfId="2038" priority="3">
      <formula>H23=1</formula>
    </cfRule>
  </conditionalFormatting>
  <conditionalFormatting sqref="C23:C43">
    <cfRule type="expression" dxfId="2037" priority="2">
      <formula>H23=1</formula>
    </cfRule>
  </conditionalFormatting>
  <conditionalFormatting sqref="E23:E43">
    <cfRule type="expression" dxfId="2036" priority="1">
      <formula>H23=1</formula>
    </cfRule>
  </conditionalFormatting>
  <pageMargins left="0.7" right="0.7" top="0.75" bottom="0.75" header="0.3" footer="0.3"/>
  <pageSetup scale="7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pageSetUpPr fitToPage="1"/>
  </sheetPr>
  <dimension ref="A2:P47"/>
  <sheetViews>
    <sheetView view="pageBreakPreview" zoomScale="60" zoomScaleNormal="100" workbookViewId="0">
      <selection activeCell="J27" sqref="J2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1075</v>
      </c>
      <c r="I4" s="2" t="s">
        <v>4</v>
      </c>
      <c r="J4" t="s">
        <v>816</v>
      </c>
    </row>
    <row r="5" spans="1:16" x14ac:dyDescent="0.25">
      <c r="D5" s="2" t="s">
        <v>1</v>
      </c>
      <c r="F5" t="s">
        <v>1076</v>
      </c>
    </row>
    <row r="6" spans="1:16" x14ac:dyDescent="0.25">
      <c r="D6" s="2" t="s">
        <v>2</v>
      </c>
      <c r="F6" s="6">
        <v>42999</v>
      </c>
      <c r="H6" s="11"/>
    </row>
    <row r="7" spans="1:16" x14ac:dyDescent="0.25">
      <c r="D7" s="2" t="s">
        <v>3</v>
      </c>
      <c r="F7" s="5">
        <v>1250000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876947</v>
      </c>
      <c r="H8" s="11"/>
    </row>
    <row r="9" spans="1:16" x14ac:dyDescent="0.25">
      <c r="D9" s="2" t="s">
        <v>67</v>
      </c>
      <c r="F9" s="4">
        <f>+F8-F7</f>
        <v>-373053</v>
      </c>
      <c r="G9" s="16">
        <f>+F9/F7</f>
        <v>-0.2984424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-958884.5384615385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2208884.5384615385</v>
      </c>
      <c r="G12" s="14"/>
      <c r="H12" s="11">
        <f>COUNT(I23:I43)</f>
        <v>13</v>
      </c>
      <c r="I12" s="1" t="s">
        <v>31</v>
      </c>
      <c r="J12" s="4">
        <f>+F8*0.9</f>
        <v>789252.3</v>
      </c>
      <c r="K12" s="1" t="s">
        <v>69</v>
      </c>
    </row>
    <row r="13" spans="1:16" x14ac:dyDescent="0.25">
      <c r="D13" s="2" t="s">
        <v>29</v>
      </c>
      <c r="F13" s="4">
        <f>MAX(I23:I43)-MIN(I23:I43)</f>
        <v>3860053</v>
      </c>
      <c r="G13" s="269">
        <f>MEDIAN(I23:I43)</f>
        <v>1592962</v>
      </c>
      <c r="H13" s="270"/>
      <c r="I13" s="1" t="s">
        <v>30</v>
      </c>
      <c r="J13" s="4">
        <f>+F12*1.1</f>
        <v>2429772.9923076928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1077</v>
      </c>
      <c r="E23" s="33"/>
      <c r="F23" t="s">
        <v>1078</v>
      </c>
      <c r="G23" t="s">
        <v>25</v>
      </c>
      <c r="H23">
        <f>RANK(I23,I$23:I$43,1)</f>
        <v>1</v>
      </c>
      <c r="I23" s="4">
        <v>876947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1079</v>
      </c>
      <c r="E24" s="33"/>
      <c r="F24" t="s">
        <v>184</v>
      </c>
      <c r="G24" t="s">
        <v>25</v>
      </c>
      <c r="H24">
        <f t="shared" ref="H24:H30" si="0">RANK(I24,I$23:I$43,1)</f>
        <v>2</v>
      </c>
      <c r="I24" s="4">
        <v>1053180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1080</v>
      </c>
      <c r="E25" s="33"/>
      <c r="F25" t="s">
        <v>1081</v>
      </c>
      <c r="G25" t="s">
        <v>93</v>
      </c>
      <c r="H25">
        <f t="shared" si="0"/>
        <v>3</v>
      </c>
      <c r="I25" s="4">
        <v>1169000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681</v>
      </c>
      <c r="E26" s="33"/>
      <c r="F26" t="s">
        <v>199</v>
      </c>
      <c r="G26" t="s">
        <v>93</v>
      </c>
      <c r="H26">
        <f t="shared" si="0"/>
        <v>4</v>
      </c>
      <c r="I26" s="4">
        <v>1176940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1017</v>
      </c>
      <c r="E27" s="33"/>
      <c r="F27" t="s">
        <v>201</v>
      </c>
      <c r="G27" t="s">
        <v>25</v>
      </c>
      <c r="H27">
        <f t="shared" si="0"/>
        <v>5</v>
      </c>
      <c r="I27" s="4">
        <v>1274300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1030</v>
      </c>
      <c r="E28" s="33"/>
      <c r="F28" t="s">
        <v>289</v>
      </c>
      <c r="G28" t="s">
        <v>93</v>
      </c>
      <c r="H28">
        <f t="shared" si="0"/>
        <v>6</v>
      </c>
      <c r="I28" s="4">
        <v>1523544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/>
      </c>
      <c r="D29" s="11" t="s">
        <v>1005</v>
      </c>
      <c r="E29" s="33"/>
      <c r="F29" t="s">
        <v>95</v>
      </c>
      <c r="G29" t="s">
        <v>93</v>
      </c>
      <c r="H29">
        <f t="shared" si="0"/>
        <v>7</v>
      </c>
      <c r="I29" s="4">
        <v>1592962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 t="s">
        <v>997</v>
      </c>
      <c r="E30" s="33"/>
      <c r="F30" t="s">
        <v>998</v>
      </c>
      <c r="G30" t="s">
        <v>25</v>
      </c>
      <c r="H30">
        <f t="shared" si="0"/>
        <v>8</v>
      </c>
      <c r="I30" s="4">
        <v>1821900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 t="s">
        <v>529</v>
      </c>
      <c r="E31" s="33"/>
      <c r="F31" t="s">
        <v>170</v>
      </c>
      <c r="G31" t="s">
        <v>93</v>
      </c>
      <c r="H31">
        <f>RANK(I31,I$23:I$43,1)</f>
        <v>9</v>
      </c>
      <c r="I31" s="4">
        <v>2549700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 t="s">
        <v>1082</v>
      </c>
      <c r="E32" s="33"/>
      <c r="F32" t="s">
        <v>251</v>
      </c>
      <c r="G32" t="s">
        <v>25</v>
      </c>
      <c r="H32">
        <f>RANK(I32,I$23:I$43,1)</f>
        <v>10</v>
      </c>
      <c r="I32" s="4">
        <v>2890000</v>
      </c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 t="s">
        <v>631</v>
      </c>
      <c r="E33" s="33"/>
      <c r="F33" t="s">
        <v>131</v>
      </c>
      <c r="G33" t="s">
        <v>25</v>
      </c>
      <c r="H33">
        <f>RANK(I33,I$23:I$43,1)</f>
        <v>11</v>
      </c>
      <c r="I33" s="4">
        <v>3816796</v>
      </c>
      <c r="M33" s="21"/>
      <c r="N33" s="21"/>
      <c r="O33" s="21"/>
    </row>
    <row r="34" spans="3:15" x14ac:dyDescent="0.25">
      <c r="C34" s="33" t="str">
        <f t="shared" si="1"/>
        <v/>
      </c>
      <c r="D34" s="11" t="s">
        <v>623</v>
      </c>
      <c r="E34" s="33" t="str">
        <f t="shared" ref="E34:E43" si="2">IF(H34=1,"t","")</f>
        <v/>
      </c>
      <c r="F34" t="s">
        <v>624</v>
      </c>
      <c r="G34" t="s">
        <v>25</v>
      </c>
      <c r="H34">
        <f>RANK(I34,I$23:I$43,1)</f>
        <v>12</v>
      </c>
      <c r="I34" s="4">
        <v>4233230</v>
      </c>
      <c r="M34" s="21"/>
      <c r="N34" s="21"/>
      <c r="O34" s="21"/>
    </row>
    <row r="35" spans="3:15" x14ac:dyDescent="0.25">
      <c r="C35" s="33" t="str">
        <f t="shared" si="1"/>
        <v/>
      </c>
      <c r="D35" s="11" t="s">
        <v>1083</v>
      </c>
      <c r="E35" s="33" t="str">
        <f t="shared" si="2"/>
        <v/>
      </c>
      <c r="F35" t="s">
        <v>95</v>
      </c>
      <c r="G35" t="s">
        <v>93</v>
      </c>
      <c r="H35">
        <f>RANK(I35,I$23:I$43,1)</f>
        <v>13</v>
      </c>
      <c r="I35" s="4">
        <v>4737000</v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035" priority="18" operator="containsText" text="FAIL">
      <formula>NOT(ISERROR(SEARCH("FAIL",I9)))</formula>
    </cfRule>
  </conditionalFormatting>
  <conditionalFormatting sqref="I9">
    <cfRule type="containsText" dxfId="2034" priority="17" operator="containsText" text="GOOD">
      <formula>NOT(ISERROR(SEARCH("GOOD",I9)))</formula>
    </cfRule>
  </conditionalFormatting>
  <conditionalFormatting sqref="F11">
    <cfRule type="containsText" dxfId="2033" priority="16" operator="containsText" text="FAIL">
      <formula>NOT(ISERROR(SEARCH("FAIL",F11)))</formula>
    </cfRule>
  </conditionalFormatting>
  <conditionalFormatting sqref="F11">
    <cfRule type="containsText" dxfId="2032" priority="15" operator="containsText" text="GOOD">
      <formula>NOT(ISERROR(SEARCH("GOOD",F11)))</formula>
    </cfRule>
  </conditionalFormatting>
  <conditionalFormatting sqref="D25">
    <cfRule type="expression" dxfId="2031" priority="14" stopIfTrue="1">
      <formula>IF($H$25=1,0)</formula>
    </cfRule>
  </conditionalFormatting>
  <conditionalFormatting sqref="D23 D29:D43 D25">
    <cfRule type="expression" dxfId="2030" priority="13">
      <formula>H23=1</formula>
    </cfRule>
  </conditionalFormatting>
  <conditionalFormatting sqref="C23:C26 C29:C43">
    <cfRule type="expression" dxfId="2029" priority="12">
      <formula>H23=1</formula>
    </cfRule>
  </conditionalFormatting>
  <conditionalFormatting sqref="E23 E29:E43 E25">
    <cfRule type="expression" dxfId="2028" priority="11">
      <formula>H23=1</formula>
    </cfRule>
  </conditionalFormatting>
  <conditionalFormatting sqref="F11">
    <cfRule type="containsText" dxfId="2027" priority="10" operator="containsText" text="FAIL">
      <formula>NOT(ISERROR(SEARCH("FAIL",F11)))</formula>
    </cfRule>
  </conditionalFormatting>
  <conditionalFormatting sqref="F11">
    <cfRule type="containsText" dxfId="2026" priority="9" operator="containsText" text="GOOD">
      <formula>NOT(ISERROR(SEARCH("GOOD",F11)))</formula>
    </cfRule>
  </conditionalFormatting>
  <conditionalFormatting sqref="D27:D28">
    <cfRule type="expression" dxfId="2025" priority="8">
      <formula>H27=1</formula>
    </cfRule>
  </conditionalFormatting>
  <conditionalFormatting sqref="C27:C28">
    <cfRule type="expression" dxfId="2024" priority="7">
      <formula>H27=1</formula>
    </cfRule>
  </conditionalFormatting>
  <conditionalFormatting sqref="E27:E28">
    <cfRule type="expression" dxfId="2023" priority="6">
      <formula>H27=1</formula>
    </cfRule>
  </conditionalFormatting>
  <conditionalFormatting sqref="D24">
    <cfRule type="expression" dxfId="2022" priority="5" stopIfTrue="1">
      <formula>IF($H$25=1,0)</formula>
    </cfRule>
  </conditionalFormatting>
  <conditionalFormatting sqref="D24">
    <cfRule type="expression" dxfId="2021" priority="4">
      <formula>H24=1</formula>
    </cfRule>
  </conditionalFormatting>
  <conditionalFormatting sqref="E24">
    <cfRule type="expression" dxfId="2020" priority="3">
      <formula>H24=1</formula>
    </cfRule>
  </conditionalFormatting>
  <conditionalFormatting sqref="D26">
    <cfRule type="expression" dxfId="2019" priority="2">
      <formula>H26=1</formula>
    </cfRule>
  </conditionalFormatting>
  <conditionalFormatting sqref="E26">
    <cfRule type="expression" dxfId="2018" priority="1">
      <formula>H26=1</formula>
    </cfRule>
  </conditionalFormatting>
  <pageMargins left="0.7" right="0.7" top="0.75" bottom="0.75" header="0.3" footer="0.3"/>
  <pageSetup scale="68" fitToHeight="0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2:O56"/>
  <sheetViews>
    <sheetView zoomScaleNormal="100" workbookViewId="0">
      <selection activeCell="G8" sqref="G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1070</v>
      </c>
      <c r="I4" s="2" t="s">
        <v>4</v>
      </c>
      <c r="J4" t="s">
        <v>784</v>
      </c>
    </row>
    <row r="5" spans="1:11" x14ac:dyDescent="0.25">
      <c r="D5" s="2" t="s">
        <v>1</v>
      </c>
      <c r="F5" t="s">
        <v>1071</v>
      </c>
    </row>
    <row r="6" spans="1:11" x14ac:dyDescent="0.25">
      <c r="D6" s="2" t="s">
        <v>2</v>
      </c>
      <c r="F6" s="6">
        <v>42997</v>
      </c>
      <c r="H6" s="11"/>
    </row>
    <row r="7" spans="1:11" x14ac:dyDescent="0.25">
      <c r="D7" s="2" t="s">
        <v>3</v>
      </c>
      <c r="F7" s="5">
        <f>+I7+J7</f>
        <v>1326000</v>
      </c>
      <c r="G7" s="2" t="s">
        <v>34</v>
      </c>
      <c r="H7" s="11"/>
      <c r="I7" s="19">
        <v>561859</v>
      </c>
      <c r="J7" s="19">
        <v>764141</v>
      </c>
    </row>
    <row r="8" spans="1:11" x14ac:dyDescent="0.25">
      <c r="D8" s="2" t="s">
        <v>18</v>
      </c>
      <c r="F8" s="5">
        <f>MIN(K23:K43)</f>
        <v>1976491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650491</v>
      </c>
      <c r="G9" s="16">
        <f>+F9/F7</f>
        <v>0.49056636500754147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-2611777.75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SUM(K23:K43)/H12</f>
        <v>3937777.75</v>
      </c>
      <c r="G12" s="14"/>
      <c r="H12" s="11">
        <f>COUNT(K23:K43)</f>
        <v>4</v>
      </c>
      <c r="I12" s="1" t="s">
        <v>31</v>
      </c>
      <c r="J12" s="4">
        <f>+F8*0.9</f>
        <v>1778841.9000000001</v>
      </c>
      <c r="K12" s="1" t="s">
        <v>69</v>
      </c>
    </row>
    <row r="13" spans="1:11" x14ac:dyDescent="0.25">
      <c r="D13" s="2" t="s">
        <v>29</v>
      </c>
      <c r="F13" s="4">
        <f>MAX(K23:K43)-MIN(K23:K43)</f>
        <v>2983429</v>
      </c>
      <c r="G13" s="269">
        <f>MEDIAN(K23:K43)</f>
        <v>4407350</v>
      </c>
      <c r="H13" s="270"/>
      <c r="I13" s="1" t="s">
        <v>30</v>
      </c>
      <c r="J13" s="4">
        <f>+F12*1.1</f>
        <v>4331555.5250000004</v>
      </c>
      <c r="K13" s="1" t="s">
        <v>70</v>
      </c>
    </row>
    <row r="14" spans="1:11" x14ac:dyDescent="0.25">
      <c r="H14" s="11"/>
    </row>
    <row r="15" spans="1:11" hidden="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hidden="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hidden="1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4.4949152542372882E-2</v>
      </c>
    </row>
    <row r="18" spans="3:15" hidden="1" x14ac:dyDescent="0.25">
      <c r="F18" s="4">
        <f>+F7</f>
        <v>1326000</v>
      </c>
      <c r="G18" s="1" t="s">
        <v>12</v>
      </c>
      <c r="H18" s="11"/>
      <c r="I18" t="s">
        <v>16</v>
      </c>
      <c r="J18" s="7">
        <f>+F8/F18</f>
        <v>1.4905663650075416</v>
      </c>
    </row>
    <row r="19" spans="3:15" hidden="1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6.5883033333333327E-2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1072</v>
      </c>
      <c r="E23" s="33"/>
      <c r="F23" t="s">
        <v>1073</v>
      </c>
      <c r="G23" t="s">
        <v>25</v>
      </c>
      <c r="H23">
        <f>RANK(K23,K$23:K$43,1)</f>
        <v>2</v>
      </c>
      <c r="I23" s="4">
        <v>1062524</v>
      </c>
      <c r="J23" s="4">
        <v>3135176</v>
      </c>
      <c r="K23" s="4">
        <f>+J23+I23</f>
        <v>4197700</v>
      </c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1074</v>
      </c>
      <c r="E24" s="33"/>
      <c r="F24" t="s">
        <v>131</v>
      </c>
      <c r="G24" t="s">
        <v>25</v>
      </c>
      <c r="H24">
        <f>RANK(K24,K$23:K$43,1)</f>
        <v>1</v>
      </c>
      <c r="I24" s="4">
        <v>574441</v>
      </c>
      <c r="J24" s="4">
        <v>1402050</v>
      </c>
      <c r="K24" s="4">
        <f>+J24+I24</f>
        <v>1976491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680</v>
      </c>
      <c r="E25" s="33"/>
      <c r="F25" t="s">
        <v>532</v>
      </c>
      <c r="G25" t="s">
        <v>93</v>
      </c>
      <c r="H25">
        <f>RANK(K25,K$23:K$43,1)</f>
        <v>3</v>
      </c>
      <c r="I25" s="4">
        <v>1470470</v>
      </c>
      <c r="J25" s="4">
        <v>3146530</v>
      </c>
      <c r="K25" s="4">
        <f>+J25+I25</f>
        <v>4617000</v>
      </c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 t="s">
        <v>485</v>
      </c>
      <c r="E26" s="33"/>
      <c r="F26" t="s">
        <v>486</v>
      </c>
      <c r="G26" t="s">
        <v>25</v>
      </c>
      <c r="H26">
        <f>RANK(K26,K$23:K$43,1)</f>
        <v>4</v>
      </c>
      <c r="I26" s="4">
        <v>2641140</v>
      </c>
      <c r="J26" s="4">
        <v>2318780</v>
      </c>
      <c r="K26" s="4">
        <f>+J26+I26</f>
        <v>4959920</v>
      </c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2017" priority="32" operator="containsText" text="FAIL">
      <formula>NOT(ISERROR(SEARCH("FAIL",I9)))</formula>
    </cfRule>
  </conditionalFormatting>
  <conditionalFormatting sqref="I9">
    <cfRule type="containsText" dxfId="2016" priority="31" operator="containsText" text="GOOD">
      <formula>NOT(ISERROR(SEARCH("GOOD",I9)))</formula>
    </cfRule>
  </conditionalFormatting>
  <conditionalFormatting sqref="I9">
    <cfRule type="containsText" dxfId="2015" priority="30" operator="containsText" text="FAIL">
      <formula>NOT(ISERROR(SEARCH("FAIL",I9)))</formula>
    </cfRule>
  </conditionalFormatting>
  <conditionalFormatting sqref="I9">
    <cfRule type="containsText" dxfId="2014" priority="29" operator="containsText" text="GOOD">
      <formula>NOT(ISERROR(SEARCH("GOOD",I9)))</formula>
    </cfRule>
  </conditionalFormatting>
  <conditionalFormatting sqref="I9">
    <cfRule type="containsText" dxfId="2013" priority="28" operator="containsText" text="FAIL">
      <formula>NOT(ISERROR(SEARCH("FAIL",I9)))</formula>
    </cfRule>
  </conditionalFormatting>
  <conditionalFormatting sqref="I9">
    <cfRule type="containsText" dxfId="2012" priority="27" operator="containsText" text="GOOD">
      <formula>NOT(ISERROR(SEARCH("GOOD",I9)))</formula>
    </cfRule>
  </conditionalFormatting>
  <conditionalFormatting sqref="F11">
    <cfRule type="containsText" dxfId="2011" priority="26" operator="containsText" text="FAIL">
      <formula>NOT(ISERROR(SEARCH("FAIL",F11)))</formula>
    </cfRule>
  </conditionalFormatting>
  <conditionalFormatting sqref="F11">
    <cfRule type="containsText" dxfId="2010" priority="25" operator="containsText" text="GOOD">
      <formula>NOT(ISERROR(SEARCH("GOOD",F11)))</formula>
    </cfRule>
  </conditionalFormatting>
  <conditionalFormatting sqref="I9">
    <cfRule type="containsText" dxfId="2009" priority="24" operator="containsText" text="FAIL">
      <formula>NOT(ISERROR(SEARCH("FAIL",I9)))</formula>
    </cfRule>
  </conditionalFormatting>
  <conditionalFormatting sqref="I9">
    <cfRule type="containsText" dxfId="2008" priority="23" operator="containsText" text="GOOD">
      <formula>NOT(ISERROR(SEARCH("GOOD",I9)))</formula>
    </cfRule>
  </conditionalFormatting>
  <conditionalFormatting sqref="F11">
    <cfRule type="containsText" dxfId="2007" priority="22" operator="containsText" text="FAIL">
      <formula>NOT(ISERROR(SEARCH("FAIL",F11)))</formula>
    </cfRule>
  </conditionalFormatting>
  <conditionalFormatting sqref="F11">
    <cfRule type="containsText" dxfId="2006" priority="21" operator="containsText" text="GOOD">
      <formula>NOT(ISERROR(SEARCH("GOOD",F11)))</formula>
    </cfRule>
  </conditionalFormatting>
  <conditionalFormatting sqref="D25">
    <cfRule type="expression" dxfId="2005" priority="20" stopIfTrue="1">
      <formula>IF($H$25=1,0)</formula>
    </cfRule>
  </conditionalFormatting>
  <conditionalFormatting sqref="D23 D39:D43 D25:D33">
    <cfRule type="expression" dxfId="2004" priority="19">
      <formula>H23=1</formula>
    </cfRule>
  </conditionalFormatting>
  <conditionalFormatting sqref="C23 C39:C43 C25:C33">
    <cfRule type="expression" dxfId="2003" priority="18">
      <formula>H23=1</formula>
    </cfRule>
  </conditionalFormatting>
  <conditionalFormatting sqref="E23 E39:E43 E25:E33">
    <cfRule type="expression" dxfId="2002" priority="17">
      <formula>H23=1</formula>
    </cfRule>
  </conditionalFormatting>
  <conditionalFormatting sqref="E23 E39:E43 E25:E33">
    <cfRule type="expression" dxfId="2001" priority="16">
      <formula>H23=1</formula>
    </cfRule>
  </conditionalFormatting>
  <conditionalFormatting sqref="F11">
    <cfRule type="containsText" dxfId="2000" priority="15" operator="containsText" text="FAIL">
      <formula>NOT(ISERROR(SEARCH("FAIL",F11)))</formula>
    </cfRule>
  </conditionalFormatting>
  <conditionalFormatting sqref="F11">
    <cfRule type="containsText" dxfId="1999" priority="14" operator="containsText" text="GOOD">
      <formula>NOT(ISERROR(SEARCH("GOOD",F11)))</formula>
    </cfRule>
  </conditionalFormatting>
  <conditionalFormatting sqref="D34:D37">
    <cfRule type="expression" dxfId="1998" priority="13">
      <formula>H34=1</formula>
    </cfRule>
  </conditionalFormatting>
  <conditionalFormatting sqref="C34:C37">
    <cfRule type="expression" dxfId="1997" priority="12">
      <formula>H34=1</formula>
    </cfRule>
  </conditionalFormatting>
  <conditionalFormatting sqref="E34:E37">
    <cfRule type="expression" dxfId="1996" priority="11">
      <formula>H34=1</formula>
    </cfRule>
  </conditionalFormatting>
  <conditionalFormatting sqref="E34:E37">
    <cfRule type="expression" dxfId="1995" priority="10">
      <formula>H34=1</formula>
    </cfRule>
  </conditionalFormatting>
  <conditionalFormatting sqref="D38">
    <cfRule type="expression" dxfId="1994" priority="9">
      <formula>H38=1</formula>
    </cfRule>
  </conditionalFormatting>
  <conditionalFormatting sqref="C38">
    <cfRule type="expression" dxfId="1993" priority="8">
      <formula>H38=1</formula>
    </cfRule>
  </conditionalFormatting>
  <conditionalFormatting sqref="E38">
    <cfRule type="expression" dxfId="1992" priority="7">
      <formula>H38=1</formula>
    </cfRule>
  </conditionalFormatting>
  <conditionalFormatting sqref="E38">
    <cfRule type="expression" dxfId="1991" priority="6">
      <formula>H38=1</formula>
    </cfRule>
  </conditionalFormatting>
  <conditionalFormatting sqref="E24">
    <cfRule type="expression" dxfId="1990" priority="1">
      <formula>H24=1</formula>
    </cfRule>
  </conditionalFormatting>
  <conditionalFormatting sqref="D24">
    <cfRule type="expression" dxfId="1989" priority="5" stopIfTrue="1">
      <formula>IF($H$25=1,0)</formula>
    </cfRule>
  </conditionalFormatting>
  <conditionalFormatting sqref="D24">
    <cfRule type="expression" dxfId="1988" priority="4">
      <formula>H24=1</formula>
    </cfRule>
  </conditionalFormatting>
  <conditionalFormatting sqref="C24">
    <cfRule type="expression" dxfId="1987" priority="3">
      <formula>H24=1</formula>
    </cfRule>
  </conditionalFormatting>
  <conditionalFormatting sqref="E24">
    <cfRule type="expression" dxfId="1986" priority="2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2:O56"/>
  <sheetViews>
    <sheetView zoomScaleNormal="100" workbookViewId="0">
      <selection activeCell="M25" sqref="M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1068</v>
      </c>
      <c r="I4" s="2" t="s">
        <v>4</v>
      </c>
      <c r="J4" t="s">
        <v>616</v>
      </c>
    </row>
    <row r="5" spans="1:11" x14ac:dyDescent="0.25">
      <c r="D5" s="2" t="s">
        <v>1</v>
      </c>
      <c r="F5" t="s">
        <v>1069</v>
      </c>
    </row>
    <row r="6" spans="1:11" x14ac:dyDescent="0.25">
      <c r="D6" s="2" t="s">
        <v>2</v>
      </c>
      <c r="F6" s="6">
        <v>42964</v>
      </c>
      <c r="H6" s="11"/>
    </row>
    <row r="7" spans="1:11" x14ac:dyDescent="0.25">
      <c r="D7" s="2" t="s">
        <v>3</v>
      </c>
      <c r="F7" s="5">
        <f>+I7+J7</f>
        <v>8500000</v>
      </c>
      <c r="G7" s="2" t="s">
        <v>190</v>
      </c>
      <c r="H7" s="11"/>
      <c r="I7" s="19">
        <v>3100000</v>
      </c>
      <c r="J7" s="19">
        <v>5400000</v>
      </c>
    </row>
    <row r="8" spans="1:11" x14ac:dyDescent="0.25">
      <c r="D8" s="2" t="s">
        <v>18</v>
      </c>
      <c r="F8" s="5">
        <f>MIN(K23:K43)</f>
        <v>5682000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-2818000</v>
      </c>
      <c r="G9" s="16">
        <f>+F9/F7</f>
        <v>-0.33152941176470591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2300212.666666667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SUM(K23:K43)/H12</f>
        <v>6199787.333333333</v>
      </c>
      <c r="G12" s="14"/>
      <c r="H12" s="11">
        <f>COUNT(K23:K43)</f>
        <v>3</v>
      </c>
      <c r="I12" s="1" t="s">
        <v>31</v>
      </c>
      <c r="J12" s="4">
        <f>+F8*0.9</f>
        <v>5113800</v>
      </c>
      <c r="K12" s="1" t="s">
        <v>69</v>
      </c>
    </row>
    <row r="13" spans="1:11" x14ac:dyDescent="0.25">
      <c r="D13" s="2" t="s">
        <v>29</v>
      </c>
      <c r="F13" s="4">
        <f>MAX(K23:K43)-MIN(K23:K43)</f>
        <v>1456475</v>
      </c>
      <c r="G13" s="269">
        <f>MEDIAN(K23:K43)</f>
        <v>5778887</v>
      </c>
      <c r="H13" s="270"/>
      <c r="I13" s="1" t="s">
        <v>30</v>
      </c>
      <c r="J13" s="4">
        <f>+F12*1.1</f>
        <v>6819766.0666666664</v>
      </c>
      <c r="K13" s="1" t="s">
        <v>70</v>
      </c>
    </row>
    <row r="14" spans="1:11" x14ac:dyDescent="0.25">
      <c r="H14" s="11"/>
    </row>
    <row r="15" spans="1:11" hidden="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hidden="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hidden="1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0.28813559322033899</v>
      </c>
    </row>
    <row r="18" spans="3:15" hidden="1" x14ac:dyDescent="0.25">
      <c r="F18" s="4">
        <f>+F7</f>
        <v>8500000</v>
      </c>
      <c r="G18" s="1" t="s">
        <v>12</v>
      </c>
      <c r="H18" s="11"/>
      <c r="I18" t="s">
        <v>16</v>
      </c>
      <c r="J18" s="7">
        <f>+F8/F18</f>
        <v>0.66847058823529415</v>
      </c>
    </row>
    <row r="19" spans="3:15" hidden="1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0.18940000000000001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788</v>
      </c>
      <c r="E23" s="33"/>
      <c r="F23" t="s">
        <v>115</v>
      </c>
      <c r="G23" t="s">
        <v>25</v>
      </c>
      <c r="H23">
        <f>RANK(K23,K$23:K$43,1)</f>
        <v>2</v>
      </c>
      <c r="I23" s="4">
        <v>1600400</v>
      </c>
      <c r="J23" s="4">
        <v>4178487</v>
      </c>
      <c r="K23" s="4">
        <f>+J23+I23</f>
        <v>5778887</v>
      </c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440</v>
      </c>
      <c r="E24" s="33"/>
      <c r="F24" t="s">
        <v>193</v>
      </c>
      <c r="G24" t="s">
        <v>25</v>
      </c>
      <c r="H24">
        <f>RANK(K24,K$23:K$43,1)</f>
        <v>1</v>
      </c>
      <c r="I24" s="4">
        <v>2146610</v>
      </c>
      <c r="J24" s="4">
        <v>3535390</v>
      </c>
      <c r="K24" s="4">
        <f>+J24+I24</f>
        <v>5682000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772</v>
      </c>
      <c r="E25" s="33"/>
      <c r="F25" t="s">
        <v>222</v>
      </c>
      <c r="G25" t="s">
        <v>25</v>
      </c>
      <c r="H25">
        <f>RANK(K25,K$23:K$43,1)</f>
        <v>3</v>
      </c>
      <c r="I25" s="4">
        <v>2807500</v>
      </c>
      <c r="J25" s="4">
        <v>4330975</v>
      </c>
      <c r="K25" s="4">
        <f>+J25+I25</f>
        <v>7138475</v>
      </c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1985" priority="32" operator="containsText" text="FAIL">
      <formula>NOT(ISERROR(SEARCH("FAIL",I9)))</formula>
    </cfRule>
  </conditionalFormatting>
  <conditionalFormatting sqref="I9">
    <cfRule type="containsText" dxfId="1984" priority="31" operator="containsText" text="GOOD">
      <formula>NOT(ISERROR(SEARCH("GOOD",I9)))</formula>
    </cfRule>
  </conditionalFormatting>
  <conditionalFormatting sqref="I9">
    <cfRule type="containsText" dxfId="1983" priority="30" operator="containsText" text="FAIL">
      <formula>NOT(ISERROR(SEARCH("FAIL",I9)))</formula>
    </cfRule>
  </conditionalFormatting>
  <conditionalFormatting sqref="I9">
    <cfRule type="containsText" dxfId="1982" priority="29" operator="containsText" text="GOOD">
      <formula>NOT(ISERROR(SEARCH("GOOD",I9)))</formula>
    </cfRule>
  </conditionalFormatting>
  <conditionalFormatting sqref="I9">
    <cfRule type="containsText" dxfId="1981" priority="28" operator="containsText" text="FAIL">
      <formula>NOT(ISERROR(SEARCH("FAIL",I9)))</formula>
    </cfRule>
  </conditionalFormatting>
  <conditionalFormatting sqref="I9">
    <cfRule type="containsText" dxfId="1980" priority="27" operator="containsText" text="GOOD">
      <formula>NOT(ISERROR(SEARCH("GOOD",I9)))</formula>
    </cfRule>
  </conditionalFormatting>
  <conditionalFormatting sqref="F11">
    <cfRule type="containsText" dxfId="1979" priority="26" operator="containsText" text="FAIL">
      <formula>NOT(ISERROR(SEARCH("FAIL",F11)))</formula>
    </cfRule>
  </conditionalFormatting>
  <conditionalFormatting sqref="F11">
    <cfRule type="containsText" dxfId="1978" priority="25" operator="containsText" text="GOOD">
      <formula>NOT(ISERROR(SEARCH("GOOD",F11)))</formula>
    </cfRule>
  </conditionalFormatting>
  <conditionalFormatting sqref="I9">
    <cfRule type="containsText" dxfId="1977" priority="24" operator="containsText" text="FAIL">
      <formula>NOT(ISERROR(SEARCH("FAIL",I9)))</formula>
    </cfRule>
  </conditionalFormatting>
  <conditionalFormatting sqref="I9">
    <cfRule type="containsText" dxfId="1976" priority="23" operator="containsText" text="GOOD">
      <formula>NOT(ISERROR(SEARCH("GOOD",I9)))</formula>
    </cfRule>
  </conditionalFormatting>
  <conditionalFormatting sqref="F11">
    <cfRule type="containsText" dxfId="1975" priority="22" operator="containsText" text="FAIL">
      <formula>NOT(ISERROR(SEARCH("FAIL",F11)))</formula>
    </cfRule>
  </conditionalFormatting>
  <conditionalFormatting sqref="F11">
    <cfRule type="containsText" dxfId="1974" priority="21" operator="containsText" text="GOOD">
      <formula>NOT(ISERROR(SEARCH("GOOD",F11)))</formula>
    </cfRule>
  </conditionalFormatting>
  <conditionalFormatting sqref="D25">
    <cfRule type="expression" dxfId="1973" priority="20" stopIfTrue="1">
      <formula>IF($H$25=1,0)</formula>
    </cfRule>
  </conditionalFormatting>
  <conditionalFormatting sqref="D23 D39:D43 D25:D33">
    <cfRule type="expression" dxfId="1972" priority="19">
      <formula>H23=1</formula>
    </cfRule>
  </conditionalFormatting>
  <conditionalFormatting sqref="C23 C39:C43 C25:C33">
    <cfRule type="expression" dxfId="1971" priority="18">
      <formula>H23=1</formula>
    </cfRule>
  </conditionalFormatting>
  <conditionalFormatting sqref="E23 E39:E43 E25:E33">
    <cfRule type="expression" dxfId="1970" priority="17">
      <formula>H23=1</formula>
    </cfRule>
  </conditionalFormatting>
  <conditionalFormatting sqref="E23 E39:E43 E25:E33">
    <cfRule type="expression" dxfId="1969" priority="16">
      <formula>H23=1</formula>
    </cfRule>
  </conditionalFormatting>
  <conditionalFormatting sqref="F11">
    <cfRule type="containsText" dxfId="1968" priority="15" operator="containsText" text="FAIL">
      <formula>NOT(ISERROR(SEARCH("FAIL",F11)))</formula>
    </cfRule>
  </conditionalFormatting>
  <conditionalFormatting sqref="F11">
    <cfRule type="containsText" dxfId="1967" priority="14" operator="containsText" text="GOOD">
      <formula>NOT(ISERROR(SEARCH("GOOD",F11)))</formula>
    </cfRule>
  </conditionalFormatting>
  <conditionalFormatting sqref="D34:D37">
    <cfRule type="expression" dxfId="1966" priority="13">
      <formula>H34=1</formula>
    </cfRule>
  </conditionalFormatting>
  <conditionalFormatting sqref="C34:C37">
    <cfRule type="expression" dxfId="1965" priority="12">
      <formula>H34=1</formula>
    </cfRule>
  </conditionalFormatting>
  <conditionalFormatting sqref="E34:E37">
    <cfRule type="expression" dxfId="1964" priority="11">
      <formula>H34=1</formula>
    </cfRule>
  </conditionalFormatting>
  <conditionalFormatting sqref="E34:E37">
    <cfRule type="expression" dxfId="1963" priority="10">
      <formula>H34=1</formula>
    </cfRule>
  </conditionalFormatting>
  <conditionalFormatting sqref="D38">
    <cfRule type="expression" dxfId="1962" priority="9">
      <formula>H38=1</formula>
    </cfRule>
  </conditionalFormatting>
  <conditionalFormatting sqref="C38">
    <cfRule type="expression" dxfId="1961" priority="8">
      <formula>H38=1</formula>
    </cfRule>
  </conditionalFormatting>
  <conditionalFormatting sqref="E38">
    <cfRule type="expression" dxfId="1960" priority="7">
      <formula>H38=1</formula>
    </cfRule>
  </conditionalFormatting>
  <conditionalFormatting sqref="E38">
    <cfRule type="expression" dxfId="1959" priority="6">
      <formula>H38=1</formula>
    </cfRule>
  </conditionalFormatting>
  <conditionalFormatting sqref="E24">
    <cfRule type="expression" dxfId="1958" priority="1">
      <formula>H24=1</formula>
    </cfRule>
  </conditionalFormatting>
  <conditionalFormatting sqref="D24">
    <cfRule type="expression" dxfId="1957" priority="5" stopIfTrue="1">
      <formula>IF($H$25=1,0)</formula>
    </cfRule>
  </conditionalFormatting>
  <conditionalFormatting sqref="D24">
    <cfRule type="expression" dxfId="1956" priority="4">
      <formula>H24=1</formula>
    </cfRule>
  </conditionalFormatting>
  <conditionalFormatting sqref="C24">
    <cfRule type="expression" dxfId="1955" priority="3">
      <formula>H24=1</formula>
    </cfRule>
  </conditionalFormatting>
  <conditionalFormatting sqref="E24">
    <cfRule type="expression" dxfId="1954" priority="2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2:P47"/>
  <sheetViews>
    <sheetView zoomScaleNormal="100" workbookViewId="0">
      <selection activeCell="I3" sqref="I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1063</v>
      </c>
      <c r="I4" s="2" t="s">
        <v>4</v>
      </c>
      <c r="J4" t="s">
        <v>784</v>
      </c>
    </row>
    <row r="5" spans="1:16" x14ac:dyDescent="0.25">
      <c r="D5" s="2" t="s">
        <v>1</v>
      </c>
      <c r="F5" t="s">
        <v>1064</v>
      </c>
    </row>
    <row r="6" spans="1:16" x14ac:dyDescent="0.25">
      <c r="D6" s="2" t="s">
        <v>2</v>
      </c>
      <c r="F6" s="6">
        <v>42951</v>
      </c>
      <c r="H6" s="11"/>
    </row>
    <row r="7" spans="1:16" x14ac:dyDescent="0.25">
      <c r="D7" s="2" t="s">
        <v>3</v>
      </c>
      <c r="F7" s="5">
        <v>6040000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4845475</v>
      </c>
      <c r="H8" s="11"/>
    </row>
    <row r="9" spans="1:16" x14ac:dyDescent="0.25">
      <c r="D9" s="2" t="s">
        <v>67</v>
      </c>
      <c r="F9" s="4">
        <f>+F8-F7</f>
        <v>-1194525</v>
      </c>
      <c r="G9" s="16">
        <f>+F9/F7</f>
        <v>-0.19776903973509935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-2114320.375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8154320.375</v>
      </c>
      <c r="G12" s="14"/>
      <c r="H12" s="11">
        <f>COUNT(I23:I43)</f>
        <v>8</v>
      </c>
      <c r="I12" s="1" t="s">
        <v>31</v>
      </c>
      <c r="J12" s="4">
        <f>+F8*0.9</f>
        <v>4360927.5</v>
      </c>
      <c r="K12" s="1" t="s">
        <v>69</v>
      </c>
    </row>
    <row r="13" spans="1:16" x14ac:dyDescent="0.25">
      <c r="D13" s="2" t="s">
        <v>29</v>
      </c>
      <c r="F13" s="4">
        <f>MAX(I23:I43)-MIN(I23:I43)</f>
        <v>7381590</v>
      </c>
      <c r="G13" s="269">
        <f>MEDIAN(I23:I43)</f>
        <v>8193400</v>
      </c>
      <c r="H13" s="270"/>
      <c r="I13" s="1" t="s">
        <v>30</v>
      </c>
      <c r="J13" s="4">
        <f>+F12*1.1</f>
        <v>8969752.4125000015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521</v>
      </c>
      <c r="E23" s="33"/>
      <c r="F23" t="s">
        <v>251</v>
      </c>
      <c r="G23" t="s">
        <v>25</v>
      </c>
      <c r="H23">
        <f>RANK(I23,I$23:I$43,1)</f>
        <v>2</v>
      </c>
      <c r="I23" s="4">
        <v>5177075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626</v>
      </c>
      <c r="E24" s="33"/>
      <c r="F24" t="s">
        <v>159</v>
      </c>
      <c r="G24" t="s">
        <v>93</v>
      </c>
      <c r="H24">
        <f t="shared" ref="H24:H30" si="0">RANK(I24,I$23:I$43,1)</f>
        <v>3</v>
      </c>
      <c r="I24" s="4">
        <v>7853865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1004</v>
      </c>
      <c r="E25" s="33"/>
      <c r="F25" t="s">
        <v>147</v>
      </c>
      <c r="G25" t="s">
        <v>93</v>
      </c>
      <c r="H25">
        <f t="shared" si="0"/>
        <v>7</v>
      </c>
      <c r="I25" s="4">
        <v>10385785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657</v>
      </c>
      <c r="E26" s="33"/>
      <c r="F26" t="s">
        <v>658</v>
      </c>
      <c r="G26" t="s">
        <v>93</v>
      </c>
      <c r="H26">
        <f t="shared" si="0"/>
        <v>6</v>
      </c>
      <c r="I26" s="4">
        <v>8358498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681</v>
      </c>
      <c r="E27" s="33"/>
      <c r="F27" t="s">
        <v>199</v>
      </c>
      <c r="G27" t="s">
        <v>93</v>
      </c>
      <c r="H27">
        <f t="shared" si="0"/>
        <v>1</v>
      </c>
      <c r="I27" s="4">
        <v>4845475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1065</v>
      </c>
      <c r="E28" s="33"/>
      <c r="F28" t="s">
        <v>1066</v>
      </c>
      <c r="G28" t="s">
        <v>93</v>
      </c>
      <c r="H28">
        <f t="shared" si="0"/>
        <v>5</v>
      </c>
      <c r="I28" s="4">
        <v>8260000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/>
      </c>
      <c r="D29" s="11" t="s">
        <v>1067</v>
      </c>
      <c r="E29" s="33"/>
      <c r="F29" t="s">
        <v>302</v>
      </c>
      <c r="G29" t="s">
        <v>25</v>
      </c>
      <c r="H29">
        <f t="shared" si="0"/>
        <v>8</v>
      </c>
      <c r="I29" s="4">
        <v>12227065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 t="s">
        <v>997</v>
      </c>
      <c r="E30" s="33"/>
      <c r="F30" t="s">
        <v>998</v>
      </c>
      <c r="G30" t="s">
        <v>25</v>
      </c>
      <c r="H30">
        <f t="shared" si="0"/>
        <v>4</v>
      </c>
      <c r="I30" s="4">
        <v>8126800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ref="E34:E43" si="2">IF(H34=1,"t","")</f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953" priority="16" operator="containsText" text="FAIL">
      <formula>NOT(ISERROR(SEARCH("FAIL",I9)))</formula>
    </cfRule>
  </conditionalFormatting>
  <conditionalFormatting sqref="I9">
    <cfRule type="containsText" dxfId="1952" priority="15" operator="containsText" text="GOOD">
      <formula>NOT(ISERROR(SEARCH("GOOD",I9)))</formula>
    </cfRule>
  </conditionalFormatting>
  <conditionalFormatting sqref="F11">
    <cfRule type="containsText" dxfId="1951" priority="14" operator="containsText" text="FAIL">
      <formula>NOT(ISERROR(SEARCH("FAIL",F11)))</formula>
    </cfRule>
  </conditionalFormatting>
  <conditionalFormatting sqref="F11">
    <cfRule type="containsText" dxfId="1950" priority="13" operator="containsText" text="GOOD">
      <formula>NOT(ISERROR(SEARCH("GOOD",F11)))</formula>
    </cfRule>
  </conditionalFormatting>
  <conditionalFormatting sqref="D25">
    <cfRule type="expression" dxfId="1949" priority="12" stopIfTrue="1">
      <formula>IF($H$25=1,0)</formula>
    </cfRule>
  </conditionalFormatting>
  <conditionalFormatting sqref="D23 D29:D43 D25:D26">
    <cfRule type="expression" dxfId="1948" priority="11">
      <formula>H23=1</formula>
    </cfRule>
  </conditionalFormatting>
  <conditionalFormatting sqref="C23:C26 C29:C43">
    <cfRule type="expression" dxfId="1947" priority="10">
      <formula>H23=1</formula>
    </cfRule>
  </conditionalFormatting>
  <conditionalFormatting sqref="E23 E29:E43 E25:E26">
    <cfRule type="expression" dxfId="1946" priority="9">
      <formula>H23=1</formula>
    </cfRule>
  </conditionalFormatting>
  <conditionalFormatting sqref="F11">
    <cfRule type="containsText" dxfId="1945" priority="8" operator="containsText" text="FAIL">
      <formula>NOT(ISERROR(SEARCH("FAIL",F11)))</formula>
    </cfRule>
  </conditionalFormatting>
  <conditionalFormatting sqref="F11">
    <cfRule type="containsText" dxfId="1944" priority="7" operator="containsText" text="GOOD">
      <formula>NOT(ISERROR(SEARCH("GOOD",F11)))</formula>
    </cfRule>
  </conditionalFormatting>
  <conditionalFormatting sqref="D27:D28">
    <cfRule type="expression" dxfId="1943" priority="6">
      <formula>H27=1</formula>
    </cfRule>
  </conditionalFormatting>
  <conditionalFormatting sqref="C27:C28">
    <cfRule type="expression" dxfId="1942" priority="5">
      <formula>H27=1</formula>
    </cfRule>
  </conditionalFormatting>
  <conditionalFormatting sqref="E27:E28">
    <cfRule type="expression" dxfId="1941" priority="4">
      <formula>H27=1</formula>
    </cfRule>
  </conditionalFormatting>
  <conditionalFormatting sqref="D24">
    <cfRule type="expression" dxfId="1940" priority="3" stopIfTrue="1">
      <formula>IF($H$25=1,0)</formula>
    </cfRule>
  </conditionalFormatting>
  <conditionalFormatting sqref="D24">
    <cfRule type="expression" dxfId="1939" priority="2">
      <formula>H24=1</formula>
    </cfRule>
  </conditionalFormatting>
  <conditionalFormatting sqref="E24">
    <cfRule type="expression" dxfId="1938" priority="1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2:P47"/>
  <sheetViews>
    <sheetView zoomScaleNormal="100" workbookViewId="0">
      <selection activeCell="I25" sqref="I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1060</v>
      </c>
      <c r="I4" s="2" t="s">
        <v>4</v>
      </c>
      <c r="J4" t="s">
        <v>816</v>
      </c>
    </row>
    <row r="5" spans="1:16" x14ac:dyDescent="0.25">
      <c r="D5" s="2" t="s">
        <v>1</v>
      </c>
      <c r="F5" t="s">
        <v>1061</v>
      </c>
    </row>
    <row r="6" spans="1:16" x14ac:dyDescent="0.25">
      <c r="D6" s="2" t="s">
        <v>2</v>
      </c>
      <c r="F6" s="6">
        <v>42950</v>
      </c>
      <c r="H6" s="11"/>
    </row>
    <row r="7" spans="1:16" x14ac:dyDescent="0.25">
      <c r="D7" s="2" t="s">
        <v>3</v>
      </c>
      <c r="F7" s="5">
        <v>13720000</v>
      </c>
      <c r="G7" s="2" t="s">
        <v>190</v>
      </c>
      <c r="H7" s="11"/>
    </row>
    <row r="8" spans="1:16" x14ac:dyDescent="0.25">
      <c r="D8" s="2" t="s">
        <v>18</v>
      </c>
      <c r="F8" s="5">
        <f>MIN(I23:I43)</f>
        <v>11539200</v>
      </c>
      <c r="H8" s="11"/>
    </row>
    <row r="9" spans="1:16" x14ac:dyDescent="0.25">
      <c r="D9" s="2" t="s">
        <v>67</v>
      </c>
      <c r="F9" s="4">
        <f>+F8-F7</f>
        <v>-2180800</v>
      </c>
      <c r="G9" s="16">
        <f>+F9/F7</f>
        <v>-0.15895043731778424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-1865112.5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15585112.5</v>
      </c>
      <c r="G12" s="14"/>
      <c r="H12" s="11">
        <f>COUNT(I23:I43)</f>
        <v>4</v>
      </c>
      <c r="I12" s="1" t="s">
        <v>31</v>
      </c>
      <c r="J12" s="4">
        <f>+F8*0.9</f>
        <v>10385280</v>
      </c>
      <c r="K12" s="1" t="s">
        <v>69</v>
      </c>
    </row>
    <row r="13" spans="1:16" x14ac:dyDescent="0.25">
      <c r="D13" s="2" t="s">
        <v>29</v>
      </c>
      <c r="F13" s="4">
        <f>MAX(I23:I43)-MIN(I23:I43)</f>
        <v>9810800</v>
      </c>
      <c r="G13" s="269">
        <f>MEDIAN(I23:I43)</f>
        <v>14725625</v>
      </c>
      <c r="H13" s="270"/>
      <c r="I13" s="1" t="s">
        <v>30</v>
      </c>
      <c r="J13" s="4">
        <f>+F12*1.1</f>
        <v>17143623.75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568</v>
      </c>
      <c r="E23" s="33"/>
      <c r="F23" t="s">
        <v>569</v>
      </c>
      <c r="G23" t="s">
        <v>570</v>
      </c>
      <c r="H23">
        <f>RANK(I23,I$23:I$43,1)</f>
        <v>3</v>
      </c>
      <c r="I23" s="4">
        <v>15050000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576</v>
      </c>
      <c r="E24" s="33"/>
      <c r="F24" t="s">
        <v>577</v>
      </c>
      <c r="G24" t="s">
        <v>355</v>
      </c>
      <c r="H24">
        <f>RANK(I24,I$23:I$43,1)</f>
        <v>4</v>
      </c>
      <c r="I24" s="4">
        <v>21350000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1062</v>
      </c>
      <c r="E25" s="33"/>
      <c r="F25" t="s">
        <v>575</v>
      </c>
      <c r="G25" t="s">
        <v>333</v>
      </c>
      <c r="H25">
        <f>RANK(I25,I$23:I$43,1)</f>
        <v>2</v>
      </c>
      <c r="I25" s="4">
        <v>14401250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571</v>
      </c>
      <c r="E26" s="33"/>
      <c r="F26" t="s">
        <v>572</v>
      </c>
      <c r="G26" t="s">
        <v>321</v>
      </c>
      <c r="H26">
        <f>RANK(I26,I$23:I$43,1)</f>
        <v>1</v>
      </c>
      <c r="I26" s="4">
        <v>11539200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937" priority="16" operator="containsText" text="FAIL">
      <formula>NOT(ISERROR(SEARCH("FAIL",I9)))</formula>
    </cfRule>
  </conditionalFormatting>
  <conditionalFormatting sqref="I9">
    <cfRule type="containsText" dxfId="1936" priority="15" operator="containsText" text="GOOD">
      <formula>NOT(ISERROR(SEARCH("GOOD",I9)))</formula>
    </cfRule>
  </conditionalFormatting>
  <conditionalFormatting sqref="F11">
    <cfRule type="containsText" dxfId="1935" priority="14" operator="containsText" text="FAIL">
      <formula>NOT(ISERROR(SEARCH("FAIL",F11)))</formula>
    </cfRule>
  </conditionalFormatting>
  <conditionalFormatting sqref="F11">
    <cfRule type="containsText" dxfId="1934" priority="13" operator="containsText" text="GOOD">
      <formula>NOT(ISERROR(SEARCH("GOOD",F11)))</formula>
    </cfRule>
  </conditionalFormatting>
  <conditionalFormatting sqref="D25">
    <cfRule type="expression" dxfId="1933" priority="12" stopIfTrue="1">
      <formula>IF($H$25=1,0)</formula>
    </cfRule>
  </conditionalFormatting>
  <conditionalFormatting sqref="D23 D29:D43 D25:D26">
    <cfRule type="expression" dxfId="1932" priority="11">
      <formula>H23=1</formula>
    </cfRule>
  </conditionalFormatting>
  <conditionalFormatting sqref="C23:C26 C29:C43">
    <cfRule type="expression" dxfId="1931" priority="10">
      <formula>H23=1</formula>
    </cfRule>
  </conditionalFormatting>
  <conditionalFormatting sqref="E23 E29:E43 E25:E26">
    <cfRule type="expression" dxfId="1930" priority="9">
      <formula>H23=1</formula>
    </cfRule>
  </conditionalFormatting>
  <conditionalFormatting sqref="F11">
    <cfRule type="containsText" dxfId="1929" priority="8" operator="containsText" text="FAIL">
      <formula>NOT(ISERROR(SEARCH("FAIL",F11)))</formula>
    </cfRule>
  </conditionalFormatting>
  <conditionalFormatting sqref="F11">
    <cfRule type="containsText" dxfId="1928" priority="7" operator="containsText" text="GOOD">
      <formula>NOT(ISERROR(SEARCH("GOOD",F11)))</formula>
    </cfRule>
  </conditionalFormatting>
  <conditionalFormatting sqref="D27:D28">
    <cfRule type="expression" dxfId="1927" priority="6">
      <formula>H27=1</formula>
    </cfRule>
  </conditionalFormatting>
  <conditionalFormatting sqref="C27:C28">
    <cfRule type="expression" dxfId="1926" priority="5">
      <formula>H27=1</formula>
    </cfRule>
  </conditionalFormatting>
  <conditionalFormatting sqref="E27:E28">
    <cfRule type="expression" dxfId="1925" priority="4">
      <formula>H27=1</formula>
    </cfRule>
  </conditionalFormatting>
  <conditionalFormatting sqref="D24">
    <cfRule type="expression" dxfId="1924" priority="3" stopIfTrue="1">
      <formula>IF($H$25=1,0)</formula>
    </cfRule>
  </conditionalFormatting>
  <conditionalFormatting sqref="D24">
    <cfRule type="expression" dxfId="1923" priority="2">
      <formula>H24=1</formula>
    </cfRule>
  </conditionalFormatting>
  <conditionalFormatting sqref="E24">
    <cfRule type="expression" dxfId="1922" priority="1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2:P47"/>
  <sheetViews>
    <sheetView zoomScaleNormal="100" workbookViewId="0">
      <selection activeCell="F7" sqref="F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1057</v>
      </c>
      <c r="I4" s="2" t="s">
        <v>4</v>
      </c>
      <c r="J4" t="s">
        <v>616</v>
      </c>
    </row>
    <row r="5" spans="1:16" x14ac:dyDescent="0.25">
      <c r="D5" s="2" t="s">
        <v>1</v>
      </c>
      <c r="F5" t="s">
        <v>1058</v>
      </c>
    </row>
    <row r="6" spans="1:16" x14ac:dyDescent="0.25">
      <c r="D6" s="2" t="s">
        <v>2</v>
      </c>
      <c r="F6" s="6">
        <v>42949</v>
      </c>
      <c r="H6" s="11"/>
    </row>
    <row r="7" spans="1:16" x14ac:dyDescent="0.25">
      <c r="D7" s="2" t="s">
        <v>3</v>
      </c>
      <c r="F7" s="5">
        <v>1650000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1320718</v>
      </c>
      <c r="H8" s="11"/>
    </row>
    <row r="9" spans="1:16" x14ac:dyDescent="0.25">
      <c r="D9" s="2" t="s">
        <v>67</v>
      </c>
      <c r="F9" s="4">
        <f>+F8-F7</f>
        <v>-329282</v>
      </c>
      <c r="G9" s="16">
        <f>+F9/F7</f>
        <v>-0.19956484848484848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-91084.5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1741084.5</v>
      </c>
      <c r="G12" s="14"/>
      <c r="H12" s="11">
        <f>COUNT(I23:I43)</f>
        <v>4</v>
      </c>
      <c r="I12" s="1" t="s">
        <v>31</v>
      </c>
      <c r="J12" s="4">
        <f>+F8*0.9</f>
        <v>1188646.2</v>
      </c>
      <c r="K12" s="1" t="s">
        <v>69</v>
      </c>
    </row>
    <row r="13" spans="1:16" x14ac:dyDescent="0.25">
      <c r="D13" s="2" t="s">
        <v>29</v>
      </c>
      <c r="F13" s="4">
        <f>MAX(I23:I43)-MIN(I23:I43)</f>
        <v>1232437</v>
      </c>
      <c r="G13" s="269">
        <f>MEDIAN(I23:I43)</f>
        <v>1545232.5</v>
      </c>
      <c r="H13" s="270"/>
      <c r="I13" s="1" t="s">
        <v>30</v>
      </c>
      <c r="J13" s="4">
        <f>+F12*1.1</f>
        <v>1915192.9500000002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528</v>
      </c>
      <c r="E23" s="33"/>
      <c r="F23" t="s">
        <v>159</v>
      </c>
      <c r="G23" t="s">
        <v>93</v>
      </c>
      <c r="H23">
        <f>RANK(I23,I$23:I$43,1)</f>
        <v>4</v>
      </c>
      <c r="I23" s="4">
        <v>2553155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676</v>
      </c>
      <c r="E24" s="33"/>
      <c r="F24" t="s">
        <v>85</v>
      </c>
      <c r="G24" t="s">
        <v>25</v>
      </c>
      <c r="H24">
        <f>RANK(I24,I$23:I$43,1)</f>
        <v>3</v>
      </c>
      <c r="I24" s="4">
        <v>1636290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540</v>
      </c>
      <c r="E25" s="33"/>
      <c r="F25" t="s">
        <v>195</v>
      </c>
      <c r="G25" t="s">
        <v>93</v>
      </c>
      <c r="H25">
        <f>RANK(I25,I$23:I$43,1)</f>
        <v>1</v>
      </c>
      <c r="I25" s="4">
        <v>1320718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1059</v>
      </c>
      <c r="E26" s="33"/>
      <c r="F26" t="s">
        <v>95</v>
      </c>
      <c r="G26" t="s">
        <v>93</v>
      </c>
      <c r="H26">
        <f>RANK(I26,I$23:I$43,1)</f>
        <v>2</v>
      </c>
      <c r="I26" s="4">
        <v>1454175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921" priority="16" operator="containsText" text="FAIL">
      <formula>NOT(ISERROR(SEARCH("FAIL",I9)))</formula>
    </cfRule>
  </conditionalFormatting>
  <conditionalFormatting sqref="I9">
    <cfRule type="containsText" dxfId="1920" priority="15" operator="containsText" text="GOOD">
      <formula>NOT(ISERROR(SEARCH("GOOD",I9)))</formula>
    </cfRule>
  </conditionalFormatting>
  <conditionalFormatting sqref="F11">
    <cfRule type="containsText" dxfId="1919" priority="14" operator="containsText" text="FAIL">
      <formula>NOT(ISERROR(SEARCH("FAIL",F11)))</formula>
    </cfRule>
  </conditionalFormatting>
  <conditionalFormatting sqref="F11">
    <cfRule type="containsText" dxfId="1918" priority="13" operator="containsText" text="GOOD">
      <formula>NOT(ISERROR(SEARCH("GOOD",F11)))</formula>
    </cfRule>
  </conditionalFormatting>
  <conditionalFormatting sqref="D25">
    <cfRule type="expression" dxfId="1917" priority="12" stopIfTrue="1">
      <formula>IF($H$25=1,0)</formula>
    </cfRule>
  </conditionalFormatting>
  <conditionalFormatting sqref="D23 D29:D43 D25:D26">
    <cfRule type="expression" dxfId="1916" priority="11">
      <formula>H23=1</formula>
    </cfRule>
  </conditionalFormatting>
  <conditionalFormatting sqref="C23:C26 C29:C43">
    <cfRule type="expression" dxfId="1915" priority="10">
      <formula>H23=1</formula>
    </cfRule>
  </conditionalFormatting>
  <conditionalFormatting sqref="E23 E29:E43 E25:E26">
    <cfRule type="expression" dxfId="1914" priority="9">
      <formula>H23=1</formula>
    </cfRule>
  </conditionalFormatting>
  <conditionalFormatting sqref="F11">
    <cfRule type="containsText" dxfId="1913" priority="8" operator="containsText" text="FAIL">
      <formula>NOT(ISERROR(SEARCH("FAIL",F11)))</formula>
    </cfRule>
  </conditionalFormatting>
  <conditionalFormatting sqref="F11">
    <cfRule type="containsText" dxfId="1912" priority="7" operator="containsText" text="GOOD">
      <formula>NOT(ISERROR(SEARCH("GOOD",F11)))</formula>
    </cfRule>
  </conditionalFormatting>
  <conditionalFormatting sqref="D27:D28">
    <cfRule type="expression" dxfId="1911" priority="6">
      <formula>H27=1</formula>
    </cfRule>
  </conditionalFormatting>
  <conditionalFormatting sqref="C27:C28">
    <cfRule type="expression" dxfId="1910" priority="5">
      <formula>H27=1</formula>
    </cfRule>
  </conditionalFormatting>
  <conditionalFormatting sqref="E27:E28">
    <cfRule type="expression" dxfId="1909" priority="4">
      <formula>H27=1</formula>
    </cfRule>
  </conditionalFormatting>
  <conditionalFormatting sqref="D24">
    <cfRule type="expression" dxfId="1908" priority="3" stopIfTrue="1">
      <formula>IF($H$25=1,0)</formula>
    </cfRule>
  </conditionalFormatting>
  <conditionalFormatting sqref="D24">
    <cfRule type="expression" dxfId="1907" priority="2">
      <formula>H24=1</formula>
    </cfRule>
  </conditionalFormatting>
  <conditionalFormatting sqref="E24">
    <cfRule type="expression" dxfId="1906" priority="1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2:P47"/>
  <sheetViews>
    <sheetView zoomScaleNormal="100" workbookViewId="0">
      <selection activeCell="I25" sqref="I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1052</v>
      </c>
      <c r="I4" s="2" t="s">
        <v>4</v>
      </c>
      <c r="J4" t="s">
        <v>616</v>
      </c>
    </row>
    <row r="5" spans="1:16" x14ac:dyDescent="0.25">
      <c r="D5" s="2" t="s">
        <v>1</v>
      </c>
      <c r="F5" t="s">
        <v>1053</v>
      </c>
    </row>
    <row r="6" spans="1:16" x14ac:dyDescent="0.25">
      <c r="D6" s="2" t="s">
        <v>2</v>
      </c>
      <c r="F6" s="6">
        <v>42948</v>
      </c>
      <c r="H6" s="11"/>
    </row>
    <row r="7" spans="1:16" x14ac:dyDescent="0.25">
      <c r="D7" s="2" t="s">
        <v>3</v>
      </c>
      <c r="F7" s="5">
        <v>1330000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936000</v>
      </c>
      <c r="H8" s="11"/>
    </row>
    <row r="9" spans="1:16" x14ac:dyDescent="0.25">
      <c r="D9" s="2" t="s">
        <v>67</v>
      </c>
      <c r="F9" s="4">
        <f>+F8-F7</f>
        <v>-394000</v>
      </c>
      <c r="G9" s="16">
        <f>+F9/F7</f>
        <v>-0.29624060150375942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-174186.16666666674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1504186.1666666667</v>
      </c>
      <c r="G12" s="14"/>
      <c r="H12" s="11">
        <f>COUNT(I23:I43)</f>
        <v>6</v>
      </c>
      <c r="I12" s="1" t="s">
        <v>31</v>
      </c>
      <c r="J12" s="4">
        <f>+F8*0.9</f>
        <v>842400</v>
      </c>
      <c r="K12" s="1" t="s">
        <v>69</v>
      </c>
    </row>
    <row r="13" spans="1:16" x14ac:dyDescent="0.25">
      <c r="D13" s="2" t="s">
        <v>29</v>
      </c>
      <c r="F13" s="4">
        <f>MAX(I23:I43)-MIN(I23:I43)</f>
        <v>2545000</v>
      </c>
      <c r="G13" s="269">
        <f>MEDIAN(I23:I43)</f>
        <v>1158863.5</v>
      </c>
      <c r="H13" s="270"/>
      <c r="I13" s="1" t="s">
        <v>30</v>
      </c>
      <c r="J13" s="4">
        <f>+F12*1.1</f>
        <v>1654604.7833333334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1054</v>
      </c>
      <c r="E23" s="33"/>
      <c r="F23" t="s">
        <v>1055</v>
      </c>
      <c r="G23" t="s">
        <v>93</v>
      </c>
      <c r="H23">
        <f t="shared" ref="H23:H28" si="0">RANK(I23,I$23:I$43,1)</f>
        <v>2</v>
      </c>
      <c r="I23" s="4">
        <v>1097450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895</v>
      </c>
      <c r="E24" s="33"/>
      <c r="F24" t="s">
        <v>95</v>
      </c>
      <c r="G24" t="s">
        <v>93</v>
      </c>
      <c r="H24">
        <f t="shared" si="0"/>
        <v>4</v>
      </c>
      <c r="I24" s="4">
        <v>1189727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725</v>
      </c>
      <c r="E25" s="33"/>
      <c r="F25" t="s">
        <v>780</v>
      </c>
      <c r="G25" t="s">
        <v>25</v>
      </c>
      <c r="H25">
        <f t="shared" si="0"/>
        <v>6</v>
      </c>
      <c r="I25" s="4">
        <v>3481000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1056</v>
      </c>
      <c r="E26" s="33"/>
      <c r="F26" t="s">
        <v>92</v>
      </c>
      <c r="G26" t="s">
        <v>93</v>
      </c>
      <c r="H26">
        <f t="shared" si="0"/>
        <v>1</v>
      </c>
      <c r="I26" s="4">
        <v>936000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708</v>
      </c>
      <c r="E27" s="33"/>
      <c r="F27" t="s">
        <v>709</v>
      </c>
      <c r="G27" t="s">
        <v>93</v>
      </c>
      <c r="H27">
        <f t="shared" si="0"/>
        <v>3</v>
      </c>
      <c r="I27" s="4">
        <v>1128000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793</v>
      </c>
      <c r="E28" s="33"/>
      <c r="F28" t="s">
        <v>181</v>
      </c>
      <c r="G28" t="s">
        <v>93</v>
      </c>
      <c r="H28">
        <f t="shared" si="0"/>
        <v>5</v>
      </c>
      <c r="I28" s="4">
        <v>1192940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ref="E34:E43" si="2">IF(H34=1,"t","")</f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905" priority="16" operator="containsText" text="FAIL">
      <formula>NOT(ISERROR(SEARCH("FAIL",I9)))</formula>
    </cfRule>
  </conditionalFormatting>
  <conditionalFormatting sqref="I9">
    <cfRule type="containsText" dxfId="1904" priority="15" operator="containsText" text="GOOD">
      <formula>NOT(ISERROR(SEARCH("GOOD",I9)))</formula>
    </cfRule>
  </conditionalFormatting>
  <conditionalFormatting sqref="F11">
    <cfRule type="containsText" dxfId="1903" priority="14" operator="containsText" text="FAIL">
      <formula>NOT(ISERROR(SEARCH("FAIL",F11)))</formula>
    </cfRule>
  </conditionalFormatting>
  <conditionalFormatting sqref="F11">
    <cfRule type="containsText" dxfId="1902" priority="13" operator="containsText" text="GOOD">
      <formula>NOT(ISERROR(SEARCH("GOOD",F11)))</formula>
    </cfRule>
  </conditionalFormatting>
  <conditionalFormatting sqref="D25">
    <cfRule type="expression" dxfId="1901" priority="12" stopIfTrue="1">
      <formula>IF($H$25=1,0)</formula>
    </cfRule>
  </conditionalFormatting>
  <conditionalFormatting sqref="D23 D29:D43 D25:D26">
    <cfRule type="expression" dxfId="1900" priority="11">
      <formula>H23=1</formula>
    </cfRule>
  </conditionalFormatting>
  <conditionalFormatting sqref="C23:C26 C29:C43">
    <cfRule type="expression" dxfId="1899" priority="10">
      <formula>H23=1</formula>
    </cfRule>
  </conditionalFormatting>
  <conditionalFormatting sqref="E23 E29:E43 E25:E26">
    <cfRule type="expression" dxfId="1898" priority="9">
      <formula>H23=1</formula>
    </cfRule>
  </conditionalFormatting>
  <conditionalFormatting sqref="F11">
    <cfRule type="containsText" dxfId="1897" priority="8" operator="containsText" text="FAIL">
      <formula>NOT(ISERROR(SEARCH("FAIL",F11)))</formula>
    </cfRule>
  </conditionalFormatting>
  <conditionalFormatting sqref="F11">
    <cfRule type="containsText" dxfId="1896" priority="7" operator="containsText" text="GOOD">
      <formula>NOT(ISERROR(SEARCH("GOOD",F11)))</formula>
    </cfRule>
  </conditionalFormatting>
  <conditionalFormatting sqref="D27:D28">
    <cfRule type="expression" dxfId="1895" priority="6">
      <formula>H27=1</formula>
    </cfRule>
  </conditionalFormatting>
  <conditionalFormatting sqref="C27:C28">
    <cfRule type="expression" dxfId="1894" priority="5">
      <formula>H27=1</formula>
    </cfRule>
  </conditionalFormatting>
  <conditionalFormatting sqref="E27:E28">
    <cfRule type="expression" dxfId="1893" priority="4">
      <formula>H27=1</formula>
    </cfRule>
  </conditionalFormatting>
  <conditionalFormatting sqref="D24">
    <cfRule type="expression" dxfId="1892" priority="3" stopIfTrue="1">
      <formula>IF($H$25=1,0)</formula>
    </cfRule>
  </conditionalFormatting>
  <conditionalFormatting sqref="D24">
    <cfRule type="expression" dxfId="1891" priority="2">
      <formula>H24=1</formula>
    </cfRule>
  </conditionalFormatting>
  <conditionalFormatting sqref="E24">
    <cfRule type="expression" dxfId="1890" priority="1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2:P47"/>
  <sheetViews>
    <sheetView zoomScaleNormal="100" workbookViewId="0">
      <selection activeCell="G8" sqref="G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1049</v>
      </c>
      <c r="I4" s="2" t="s">
        <v>4</v>
      </c>
      <c r="J4" t="s">
        <v>536</v>
      </c>
    </row>
    <row r="5" spans="1:16" x14ac:dyDescent="0.25">
      <c r="D5" s="2" t="s">
        <v>1</v>
      </c>
      <c r="F5" t="s">
        <v>1050</v>
      </c>
    </row>
    <row r="6" spans="1:16" x14ac:dyDescent="0.25">
      <c r="D6" s="2" t="s">
        <v>2</v>
      </c>
      <c r="F6" s="6">
        <v>42942</v>
      </c>
      <c r="H6" s="11"/>
    </row>
    <row r="7" spans="1:16" x14ac:dyDescent="0.25">
      <c r="D7" s="2" t="s">
        <v>3</v>
      </c>
      <c r="F7" s="5">
        <v>700000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614770</v>
      </c>
      <c r="H8" s="11"/>
    </row>
    <row r="9" spans="1:16" x14ac:dyDescent="0.25">
      <c r="D9" s="2" t="s">
        <v>67</v>
      </c>
      <c r="F9" s="4">
        <f>+F8-F7</f>
        <v>-85230</v>
      </c>
      <c r="G9" s="16">
        <f>+F9/F7</f>
        <v>-0.12175714285714286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-26735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726735</v>
      </c>
      <c r="G12" s="14"/>
      <c r="H12" s="11">
        <f>COUNT(I23:I43)</f>
        <v>2</v>
      </c>
      <c r="I12" s="1" t="s">
        <v>31</v>
      </c>
      <c r="J12" s="4">
        <f>+F8*0.9</f>
        <v>553293</v>
      </c>
      <c r="K12" s="1" t="s">
        <v>69</v>
      </c>
    </row>
    <row r="13" spans="1:16" x14ac:dyDescent="0.25">
      <c r="D13" s="2" t="s">
        <v>29</v>
      </c>
      <c r="F13" s="4">
        <f>MAX(I23:I43)-MIN(I23:I43)</f>
        <v>223930</v>
      </c>
      <c r="G13" s="269">
        <f>MEDIAN(I23:I43)</f>
        <v>726735</v>
      </c>
      <c r="H13" s="270"/>
      <c r="I13" s="1" t="s">
        <v>30</v>
      </c>
      <c r="J13" s="4">
        <f>+F12*1.1</f>
        <v>799408.50000000012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1051</v>
      </c>
      <c r="E23" s="33"/>
      <c r="F23" t="s">
        <v>145</v>
      </c>
      <c r="G23" t="s">
        <v>25</v>
      </c>
      <c r="H23">
        <f>RANK(I23,I$23:I$43,1)</f>
        <v>1</v>
      </c>
      <c r="I23" s="4">
        <v>614770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502</v>
      </c>
      <c r="E24" s="33"/>
      <c r="F24" t="s">
        <v>95</v>
      </c>
      <c r="G24" t="s">
        <v>93</v>
      </c>
      <c r="H24">
        <f>RANK(I24,I$23:I$43,1)</f>
        <v>2</v>
      </c>
      <c r="I24" s="4">
        <v>838700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889" priority="16" operator="containsText" text="FAIL">
      <formula>NOT(ISERROR(SEARCH("FAIL",I9)))</formula>
    </cfRule>
  </conditionalFormatting>
  <conditionalFormatting sqref="I9">
    <cfRule type="containsText" dxfId="1888" priority="15" operator="containsText" text="GOOD">
      <formula>NOT(ISERROR(SEARCH("GOOD",I9)))</formula>
    </cfRule>
  </conditionalFormatting>
  <conditionalFormatting sqref="F11">
    <cfRule type="containsText" dxfId="1887" priority="14" operator="containsText" text="FAIL">
      <formula>NOT(ISERROR(SEARCH("FAIL",F11)))</formula>
    </cfRule>
  </conditionalFormatting>
  <conditionalFormatting sqref="F11">
    <cfRule type="containsText" dxfId="1886" priority="13" operator="containsText" text="GOOD">
      <formula>NOT(ISERROR(SEARCH("GOOD",F11)))</formula>
    </cfRule>
  </conditionalFormatting>
  <conditionalFormatting sqref="D25">
    <cfRule type="expression" dxfId="1885" priority="12" stopIfTrue="1">
      <formula>IF($H$25=1,0)</formula>
    </cfRule>
  </conditionalFormatting>
  <conditionalFormatting sqref="D23 D29:D43 D25:D26">
    <cfRule type="expression" dxfId="1884" priority="11">
      <formula>H23=1</formula>
    </cfRule>
  </conditionalFormatting>
  <conditionalFormatting sqref="C23:C26 C29:C43">
    <cfRule type="expression" dxfId="1883" priority="10">
      <formula>H23=1</formula>
    </cfRule>
  </conditionalFormatting>
  <conditionalFormatting sqref="E23 E29:E43 E25:E26">
    <cfRule type="expression" dxfId="1882" priority="9">
      <formula>H23=1</formula>
    </cfRule>
  </conditionalFormatting>
  <conditionalFormatting sqref="F11">
    <cfRule type="containsText" dxfId="1881" priority="8" operator="containsText" text="FAIL">
      <formula>NOT(ISERROR(SEARCH("FAIL",F11)))</formula>
    </cfRule>
  </conditionalFormatting>
  <conditionalFormatting sqref="F11">
    <cfRule type="containsText" dxfId="1880" priority="7" operator="containsText" text="GOOD">
      <formula>NOT(ISERROR(SEARCH("GOOD",F11)))</formula>
    </cfRule>
  </conditionalFormatting>
  <conditionalFormatting sqref="D27:D28">
    <cfRule type="expression" dxfId="1879" priority="6">
      <formula>H27=1</formula>
    </cfRule>
  </conditionalFormatting>
  <conditionalFormatting sqref="C27:C28">
    <cfRule type="expression" dxfId="1878" priority="5">
      <formula>H27=1</formula>
    </cfRule>
  </conditionalFormatting>
  <conditionalFormatting sqref="E27:E28">
    <cfRule type="expression" dxfId="1877" priority="4">
      <formula>H27=1</formula>
    </cfRule>
  </conditionalFormatting>
  <conditionalFormatting sqref="D24">
    <cfRule type="expression" dxfId="1876" priority="3" stopIfTrue="1">
      <formula>IF($H$25=1,0)</formula>
    </cfRule>
  </conditionalFormatting>
  <conditionalFormatting sqref="D24">
    <cfRule type="expression" dxfId="1875" priority="2">
      <formula>H24=1</formula>
    </cfRule>
  </conditionalFormatting>
  <conditionalFormatting sqref="E24">
    <cfRule type="expression" dxfId="1874" priority="1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2:P47"/>
  <sheetViews>
    <sheetView zoomScaleNormal="100" workbookViewId="0">
      <selection activeCell="G8" sqref="G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1047</v>
      </c>
      <c r="I4" s="2" t="s">
        <v>4</v>
      </c>
      <c r="J4" t="s">
        <v>616</v>
      </c>
    </row>
    <row r="5" spans="1:16" x14ac:dyDescent="0.25">
      <c r="D5" s="2" t="s">
        <v>1</v>
      </c>
      <c r="F5" t="s">
        <v>982</v>
      </c>
    </row>
    <row r="6" spans="1:16" x14ac:dyDescent="0.25">
      <c r="D6" s="2" t="s">
        <v>2</v>
      </c>
      <c r="F6" s="6">
        <v>42941</v>
      </c>
      <c r="H6" s="11"/>
    </row>
    <row r="7" spans="1:16" x14ac:dyDescent="0.25">
      <c r="D7" s="2" t="s">
        <v>3</v>
      </c>
      <c r="F7" s="5">
        <v>7200000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1936000</v>
      </c>
      <c r="H8" s="11"/>
    </row>
    <row r="9" spans="1:16" x14ac:dyDescent="0.25">
      <c r="D9" s="2" t="s">
        <v>67</v>
      </c>
      <c r="F9" s="4">
        <f>+F8-F7</f>
        <v>-5264000</v>
      </c>
      <c r="G9" s="16">
        <f>+F9/F7</f>
        <v>-0.73111111111111116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1858661.25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5341338.75</v>
      </c>
      <c r="G12" s="14"/>
      <c r="H12" s="11">
        <f>COUNT(I23:I43)</f>
        <v>4</v>
      </c>
      <c r="I12" s="1" t="s">
        <v>31</v>
      </c>
      <c r="J12" s="4">
        <f>+F8*0.9</f>
        <v>1742400</v>
      </c>
      <c r="K12" s="1" t="s">
        <v>69</v>
      </c>
    </row>
    <row r="13" spans="1:16" x14ac:dyDescent="0.25">
      <c r="D13" s="2" t="s">
        <v>29</v>
      </c>
      <c r="F13" s="4">
        <f>MAX(I23:I43)-MIN(I23:I43)</f>
        <v>8012165</v>
      </c>
      <c r="G13" s="269">
        <f>MEDIAN(I23:I43)</f>
        <v>4740595</v>
      </c>
      <c r="H13" s="270"/>
      <c r="I13" s="1" t="s">
        <v>30</v>
      </c>
      <c r="J13" s="4">
        <f>+F12*1.1</f>
        <v>5875472.6250000009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1048</v>
      </c>
      <c r="E23" s="33"/>
      <c r="F23" t="s">
        <v>170</v>
      </c>
      <c r="G23" t="s">
        <v>93</v>
      </c>
      <c r="H23">
        <f>RANK(I23,I$23:I$43,1)</f>
        <v>4</v>
      </c>
      <c r="I23" s="4">
        <v>9948165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450</v>
      </c>
      <c r="E24" s="33"/>
      <c r="F24" t="s">
        <v>451</v>
      </c>
      <c r="G24" t="s">
        <v>93</v>
      </c>
      <c r="H24">
        <f>RANK(I24,I$23:I$43,1)</f>
        <v>1</v>
      </c>
      <c r="I24" s="4">
        <v>1936000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491</v>
      </c>
      <c r="E25" s="33"/>
      <c r="F25" t="s">
        <v>203</v>
      </c>
      <c r="G25" t="s">
        <v>204</v>
      </c>
      <c r="H25">
        <f>RANK(I25,I$23:I$43,1)</f>
        <v>2</v>
      </c>
      <c r="I25" s="4">
        <v>4483190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874</v>
      </c>
      <c r="E26" s="33"/>
      <c r="F26" t="s">
        <v>532</v>
      </c>
      <c r="G26" t="s">
        <v>93</v>
      </c>
      <c r="H26">
        <f>RANK(I26,I$23:I$43,1)</f>
        <v>3</v>
      </c>
      <c r="I26" s="4">
        <v>4998000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873" priority="16" operator="containsText" text="FAIL">
      <formula>NOT(ISERROR(SEARCH("FAIL",I9)))</formula>
    </cfRule>
  </conditionalFormatting>
  <conditionalFormatting sqref="I9">
    <cfRule type="containsText" dxfId="1872" priority="15" operator="containsText" text="GOOD">
      <formula>NOT(ISERROR(SEARCH("GOOD",I9)))</formula>
    </cfRule>
  </conditionalFormatting>
  <conditionalFormatting sqref="F11">
    <cfRule type="containsText" dxfId="1871" priority="14" operator="containsText" text="FAIL">
      <formula>NOT(ISERROR(SEARCH("FAIL",F11)))</formula>
    </cfRule>
  </conditionalFormatting>
  <conditionalFormatting sqref="F11">
    <cfRule type="containsText" dxfId="1870" priority="13" operator="containsText" text="GOOD">
      <formula>NOT(ISERROR(SEARCH("GOOD",F11)))</formula>
    </cfRule>
  </conditionalFormatting>
  <conditionalFormatting sqref="D25">
    <cfRule type="expression" dxfId="1869" priority="12" stopIfTrue="1">
      <formula>IF($H$25=1,0)</formula>
    </cfRule>
  </conditionalFormatting>
  <conditionalFormatting sqref="D23 D29:D43 D25:D26">
    <cfRule type="expression" dxfId="1868" priority="11">
      <formula>H23=1</formula>
    </cfRule>
  </conditionalFormatting>
  <conditionalFormatting sqref="C23:C26 C29:C43">
    <cfRule type="expression" dxfId="1867" priority="10">
      <formula>H23=1</formula>
    </cfRule>
  </conditionalFormatting>
  <conditionalFormatting sqref="E23 E29:E43 E25:E26">
    <cfRule type="expression" dxfId="1866" priority="9">
      <formula>H23=1</formula>
    </cfRule>
  </conditionalFormatting>
  <conditionalFormatting sqref="F11">
    <cfRule type="containsText" dxfId="1865" priority="8" operator="containsText" text="FAIL">
      <formula>NOT(ISERROR(SEARCH("FAIL",F11)))</formula>
    </cfRule>
  </conditionalFormatting>
  <conditionalFormatting sqref="F11">
    <cfRule type="containsText" dxfId="1864" priority="7" operator="containsText" text="GOOD">
      <formula>NOT(ISERROR(SEARCH("GOOD",F11)))</formula>
    </cfRule>
  </conditionalFormatting>
  <conditionalFormatting sqref="D27:D28">
    <cfRule type="expression" dxfId="1863" priority="6">
      <formula>H27=1</formula>
    </cfRule>
  </conditionalFormatting>
  <conditionalFormatting sqref="C27:C28">
    <cfRule type="expression" dxfId="1862" priority="5">
      <formula>H27=1</formula>
    </cfRule>
  </conditionalFormatting>
  <conditionalFormatting sqref="E27:E28">
    <cfRule type="expression" dxfId="1861" priority="4">
      <formula>H27=1</formula>
    </cfRule>
  </conditionalFormatting>
  <conditionalFormatting sqref="D24">
    <cfRule type="expression" dxfId="1860" priority="3" stopIfTrue="1">
      <formula>IF($H$25=1,0)</formula>
    </cfRule>
  </conditionalFormatting>
  <conditionalFormatting sqref="D24">
    <cfRule type="expression" dxfId="1859" priority="2">
      <formula>H24=1</formula>
    </cfRule>
  </conditionalFormatting>
  <conditionalFormatting sqref="E24">
    <cfRule type="expression" dxfId="1858" priority="1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2:P47"/>
  <sheetViews>
    <sheetView zoomScaleNormal="100" workbookViewId="0">
      <selection activeCell="G8" sqref="G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1042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1043</v>
      </c>
    </row>
    <row r="6" spans="1:16" x14ac:dyDescent="0.25">
      <c r="D6" s="2" t="s">
        <v>2</v>
      </c>
      <c r="F6" s="6">
        <v>42913</v>
      </c>
      <c r="H6" s="11"/>
    </row>
    <row r="7" spans="1:16" x14ac:dyDescent="0.25">
      <c r="D7" s="2" t="s">
        <v>3</v>
      </c>
      <c r="F7" s="5">
        <v>1480000</v>
      </c>
      <c r="G7" s="2" t="s">
        <v>190</v>
      </c>
      <c r="H7" s="11"/>
    </row>
    <row r="8" spans="1:16" x14ac:dyDescent="0.25">
      <c r="D8" s="2" t="s">
        <v>18</v>
      </c>
      <c r="F8" s="5">
        <f>MIN(I23:I43)</f>
        <v>1483000</v>
      </c>
      <c r="H8" s="11"/>
    </row>
    <row r="9" spans="1:16" x14ac:dyDescent="0.25">
      <c r="D9" s="2" t="s">
        <v>67</v>
      </c>
      <c r="F9" s="4">
        <f>+F8-F7</f>
        <v>3000</v>
      </c>
      <c r="G9" s="16">
        <f>+F9/F7</f>
        <v>2.0270270270270271E-3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-480153.57142857136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1960153.5714285714</v>
      </c>
      <c r="G12" s="14"/>
      <c r="H12" s="11">
        <f>COUNT(I23:I43)</f>
        <v>7</v>
      </c>
      <c r="I12" s="1" t="s">
        <v>31</v>
      </c>
      <c r="J12" s="4">
        <f>+F8*0.9</f>
        <v>1334700</v>
      </c>
      <c r="K12" s="1" t="s">
        <v>69</v>
      </c>
    </row>
    <row r="13" spans="1:16" x14ac:dyDescent="0.25">
      <c r="D13" s="2" t="s">
        <v>29</v>
      </c>
      <c r="F13" s="4">
        <f>MAX(I23:I43)-MIN(I23:I43)</f>
        <v>1084596</v>
      </c>
      <c r="G13" s="269">
        <f>MEDIAN(I23:I43)</f>
        <v>1850000</v>
      </c>
      <c r="H13" s="270"/>
      <c r="I13" s="1" t="s">
        <v>30</v>
      </c>
      <c r="J13" s="4">
        <f>+F12*1.1</f>
        <v>2156168.9285714286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907</v>
      </c>
      <c r="E23" s="33"/>
      <c r="F23" t="s">
        <v>312</v>
      </c>
      <c r="G23" t="s">
        <v>25</v>
      </c>
      <c r="H23">
        <f>RANK(I23,I$23:I$43,1)</f>
        <v>7</v>
      </c>
      <c r="I23" s="4">
        <v>2567596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626</v>
      </c>
      <c r="E24" s="33"/>
      <c r="F24" t="s">
        <v>308</v>
      </c>
      <c r="G24" t="s">
        <v>25</v>
      </c>
      <c r="H24">
        <f t="shared" ref="H24:H29" si="0">RANK(I24,I$23:I$43,1)</f>
        <v>2</v>
      </c>
      <c r="I24" s="4">
        <v>1764407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623</v>
      </c>
      <c r="E25" s="33"/>
      <c r="F25" t="s">
        <v>624</v>
      </c>
      <c r="G25" t="s">
        <v>25</v>
      </c>
      <c r="H25">
        <f t="shared" si="0"/>
        <v>4</v>
      </c>
      <c r="I25" s="4">
        <v>1850000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1005</v>
      </c>
      <c r="E26" s="33"/>
      <c r="F26" t="s">
        <v>95</v>
      </c>
      <c r="G26" t="s">
        <v>93</v>
      </c>
      <c r="H26">
        <f t="shared" si="0"/>
        <v>1</v>
      </c>
      <c r="I26" s="4">
        <v>1483000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997</v>
      </c>
      <c r="E27" s="33"/>
      <c r="F27" t="s">
        <v>998</v>
      </c>
      <c r="G27" t="s">
        <v>25</v>
      </c>
      <c r="H27">
        <f t="shared" si="0"/>
        <v>6</v>
      </c>
      <c r="I27" s="4">
        <v>2241500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996</v>
      </c>
      <c r="E28" s="33"/>
      <c r="F28" t="s">
        <v>381</v>
      </c>
      <c r="G28" t="s">
        <v>93</v>
      </c>
      <c r="H28">
        <f t="shared" si="0"/>
        <v>3</v>
      </c>
      <c r="I28" s="4">
        <v>1826679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/>
      </c>
      <c r="D29" s="11" t="s">
        <v>1044</v>
      </c>
      <c r="E29" s="33"/>
      <c r="F29" t="s">
        <v>1045</v>
      </c>
      <c r="G29" t="s">
        <v>1046</v>
      </c>
      <c r="H29">
        <f t="shared" si="0"/>
        <v>5</v>
      </c>
      <c r="I29" s="4">
        <v>1987893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ref="E34:E43" si="2">IF(H34=1,"t","")</f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857" priority="16" operator="containsText" text="FAIL">
      <formula>NOT(ISERROR(SEARCH("FAIL",I9)))</formula>
    </cfRule>
  </conditionalFormatting>
  <conditionalFormatting sqref="I9">
    <cfRule type="containsText" dxfId="1856" priority="15" operator="containsText" text="GOOD">
      <formula>NOT(ISERROR(SEARCH("GOOD",I9)))</formula>
    </cfRule>
  </conditionalFormatting>
  <conditionalFormatting sqref="F11">
    <cfRule type="containsText" dxfId="1855" priority="14" operator="containsText" text="FAIL">
      <formula>NOT(ISERROR(SEARCH("FAIL",F11)))</formula>
    </cfRule>
  </conditionalFormatting>
  <conditionalFormatting sqref="F11">
    <cfRule type="containsText" dxfId="1854" priority="13" operator="containsText" text="GOOD">
      <formula>NOT(ISERROR(SEARCH("GOOD",F11)))</formula>
    </cfRule>
  </conditionalFormatting>
  <conditionalFormatting sqref="D25">
    <cfRule type="expression" dxfId="1853" priority="12" stopIfTrue="1">
      <formula>IF($H$25=1,0)</formula>
    </cfRule>
  </conditionalFormatting>
  <conditionalFormatting sqref="D23 D29:D43 D25:D26">
    <cfRule type="expression" dxfId="1852" priority="11">
      <formula>H23=1</formula>
    </cfRule>
  </conditionalFormatting>
  <conditionalFormatting sqref="C23:C26 C29:C43">
    <cfRule type="expression" dxfId="1851" priority="10">
      <formula>H23=1</formula>
    </cfRule>
  </conditionalFormatting>
  <conditionalFormatting sqref="E23 E29:E43 E25:E26">
    <cfRule type="expression" dxfId="1850" priority="9">
      <formula>H23=1</formula>
    </cfRule>
  </conditionalFormatting>
  <conditionalFormatting sqref="F11">
    <cfRule type="containsText" dxfId="1849" priority="8" operator="containsText" text="FAIL">
      <formula>NOT(ISERROR(SEARCH("FAIL",F11)))</formula>
    </cfRule>
  </conditionalFormatting>
  <conditionalFormatting sqref="F11">
    <cfRule type="containsText" dxfId="1848" priority="7" operator="containsText" text="GOOD">
      <formula>NOT(ISERROR(SEARCH("GOOD",F11)))</formula>
    </cfRule>
  </conditionalFormatting>
  <conditionalFormatting sqref="D27:D28">
    <cfRule type="expression" dxfId="1847" priority="6">
      <formula>H27=1</formula>
    </cfRule>
  </conditionalFormatting>
  <conditionalFormatting sqref="C27:C28">
    <cfRule type="expression" dxfId="1846" priority="5">
      <formula>H27=1</formula>
    </cfRule>
  </conditionalFormatting>
  <conditionalFormatting sqref="E27:E28">
    <cfRule type="expression" dxfId="1845" priority="4">
      <formula>H27=1</formula>
    </cfRule>
  </conditionalFormatting>
  <conditionalFormatting sqref="D24">
    <cfRule type="expression" dxfId="1844" priority="3" stopIfTrue="1">
      <formula>IF($H$25=1,0)</formula>
    </cfRule>
  </conditionalFormatting>
  <conditionalFormatting sqref="D24">
    <cfRule type="expression" dxfId="1843" priority="2">
      <formula>H24=1</formula>
    </cfRule>
  </conditionalFormatting>
  <conditionalFormatting sqref="E24">
    <cfRule type="expression" dxfId="1842" priority="1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2:P47"/>
  <sheetViews>
    <sheetView zoomScaleNormal="100" workbookViewId="0">
      <selection activeCell="G27" sqref="G2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1038</v>
      </c>
      <c r="I4" s="2" t="s">
        <v>4</v>
      </c>
      <c r="J4" t="s">
        <v>616</v>
      </c>
    </row>
    <row r="5" spans="1:16" x14ac:dyDescent="0.25">
      <c r="D5" s="2" t="s">
        <v>1</v>
      </c>
      <c r="F5" t="s">
        <v>1039</v>
      </c>
    </row>
    <row r="6" spans="1:16" x14ac:dyDescent="0.25">
      <c r="D6" s="2" t="s">
        <v>2</v>
      </c>
      <c r="F6" s="6">
        <v>42901</v>
      </c>
      <c r="H6" s="11"/>
    </row>
    <row r="7" spans="1:16" x14ac:dyDescent="0.25">
      <c r="D7" s="2" t="s">
        <v>3</v>
      </c>
      <c r="F7" s="5">
        <v>850000</v>
      </c>
      <c r="G7" s="2" t="s">
        <v>693</v>
      </c>
      <c r="H7" s="11"/>
    </row>
    <row r="8" spans="1:16" x14ac:dyDescent="0.25">
      <c r="D8" s="2" t="s">
        <v>18</v>
      </c>
      <c r="F8" s="5">
        <f>MIN(I23:I43)</f>
        <v>887000</v>
      </c>
      <c r="H8" s="11"/>
    </row>
    <row r="9" spans="1:16" x14ac:dyDescent="0.25">
      <c r="D9" s="2" t="s">
        <v>67</v>
      </c>
      <c r="F9" s="4">
        <f>+F8-F7</f>
        <v>37000</v>
      </c>
      <c r="G9" s="16">
        <f>+F9/F7</f>
        <v>4.3529411764705879E-2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-443041.66666666674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1293041.6666666667</v>
      </c>
      <c r="G12" s="14"/>
      <c r="H12" s="11">
        <f>COUNT(I23:I43)</f>
        <v>3</v>
      </c>
      <c r="I12" s="1" t="s">
        <v>31</v>
      </c>
      <c r="J12" s="4">
        <f>+F8*0.9</f>
        <v>798300</v>
      </c>
      <c r="K12" s="1" t="s">
        <v>69</v>
      </c>
    </row>
    <row r="13" spans="1:16" x14ac:dyDescent="0.25">
      <c r="D13" s="2" t="s">
        <v>29</v>
      </c>
      <c r="F13" s="4">
        <f>MAX(I23:I43)-MIN(I23:I43)</f>
        <v>1113125</v>
      </c>
      <c r="G13" s="269">
        <f>MEDIAN(I23:I43)</f>
        <v>992000</v>
      </c>
      <c r="H13" s="270"/>
      <c r="I13" s="1" t="s">
        <v>30</v>
      </c>
      <c r="J13" s="4">
        <f>+F12*1.1</f>
        <v>1422345.8333333335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725</v>
      </c>
      <c r="E23" s="33"/>
      <c r="F23" t="s">
        <v>594</v>
      </c>
      <c r="G23" t="s">
        <v>25</v>
      </c>
      <c r="H23">
        <f>RANK(I23,I$23:I$43,1)</f>
        <v>3</v>
      </c>
      <c r="I23" s="4">
        <v>2000125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1040</v>
      </c>
      <c r="E24" s="33"/>
      <c r="F24" t="s">
        <v>1041</v>
      </c>
      <c r="G24" t="s">
        <v>93</v>
      </c>
      <c r="H24">
        <f>RANK(I24,I$23:I$43,1)</f>
        <v>1</v>
      </c>
      <c r="I24" s="4">
        <v>887000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708</v>
      </c>
      <c r="E25" s="33"/>
      <c r="F25" t="s">
        <v>709</v>
      </c>
      <c r="G25" t="s">
        <v>93</v>
      </c>
      <c r="H25">
        <f>RANK(I25,I$23:I$43,1)</f>
        <v>2</v>
      </c>
      <c r="I25" s="4">
        <v>992000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841" priority="16" operator="containsText" text="FAIL">
      <formula>NOT(ISERROR(SEARCH("FAIL",I9)))</formula>
    </cfRule>
  </conditionalFormatting>
  <conditionalFormatting sqref="I9">
    <cfRule type="containsText" dxfId="1840" priority="15" operator="containsText" text="GOOD">
      <formula>NOT(ISERROR(SEARCH("GOOD",I9)))</formula>
    </cfRule>
  </conditionalFormatting>
  <conditionalFormatting sqref="F11">
    <cfRule type="containsText" dxfId="1839" priority="14" operator="containsText" text="FAIL">
      <formula>NOT(ISERROR(SEARCH("FAIL",F11)))</formula>
    </cfRule>
  </conditionalFormatting>
  <conditionalFormatting sqref="F11">
    <cfRule type="containsText" dxfId="1838" priority="13" operator="containsText" text="GOOD">
      <formula>NOT(ISERROR(SEARCH("GOOD",F11)))</formula>
    </cfRule>
  </conditionalFormatting>
  <conditionalFormatting sqref="D25">
    <cfRule type="expression" dxfId="1837" priority="12" stopIfTrue="1">
      <formula>IF($H$25=1,0)</formula>
    </cfRule>
  </conditionalFormatting>
  <conditionalFormatting sqref="D23 D29:D43 D25:D26">
    <cfRule type="expression" dxfId="1836" priority="11">
      <formula>H23=1</formula>
    </cfRule>
  </conditionalFormatting>
  <conditionalFormatting sqref="C23:C26 C29:C43">
    <cfRule type="expression" dxfId="1835" priority="10">
      <formula>H23=1</formula>
    </cfRule>
  </conditionalFormatting>
  <conditionalFormatting sqref="E23 E29:E43 E25:E26">
    <cfRule type="expression" dxfId="1834" priority="9">
      <formula>H23=1</formula>
    </cfRule>
  </conditionalFormatting>
  <conditionalFormatting sqref="F11">
    <cfRule type="containsText" dxfId="1833" priority="8" operator="containsText" text="FAIL">
      <formula>NOT(ISERROR(SEARCH("FAIL",F11)))</formula>
    </cfRule>
  </conditionalFormatting>
  <conditionalFormatting sqref="F11">
    <cfRule type="containsText" dxfId="1832" priority="7" operator="containsText" text="GOOD">
      <formula>NOT(ISERROR(SEARCH("GOOD",F11)))</formula>
    </cfRule>
  </conditionalFormatting>
  <conditionalFormatting sqref="D27:D28">
    <cfRule type="expression" dxfId="1831" priority="6">
      <formula>H27=1</formula>
    </cfRule>
  </conditionalFormatting>
  <conditionalFormatting sqref="C27:C28">
    <cfRule type="expression" dxfId="1830" priority="5">
      <formula>H27=1</formula>
    </cfRule>
  </conditionalFormatting>
  <conditionalFormatting sqref="E27:E28">
    <cfRule type="expression" dxfId="1829" priority="4">
      <formula>H27=1</formula>
    </cfRule>
  </conditionalFormatting>
  <conditionalFormatting sqref="D24">
    <cfRule type="expression" dxfId="1828" priority="3" stopIfTrue="1">
      <formula>IF($H$25=1,0)</formula>
    </cfRule>
  </conditionalFormatting>
  <conditionalFormatting sqref="D24">
    <cfRule type="expression" dxfId="1827" priority="2">
      <formula>H24=1</formula>
    </cfRule>
  </conditionalFormatting>
  <conditionalFormatting sqref="E24">
    <cfRule type="expression" dxfId="1826" priority="1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2:P47"/>
  <sheetViews>
    <sheetView zoomScaleNormal="100" workbookViewId="0">
      <selection activeCell="G7" sqref="G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1035</v>
      </c>
      <c r="I4" s="2" t="s">
        <v>4</v>
      </c>
      <c r="J4" t="s">
        <v>447</v>
      </c>
    </row>
    <row r="5" spans="1:16" x14ac:dyDescent="0.25">
      <c r="D5" s="2" t="s">
        <v>1</v>
      </c>
      <c r="F5" t="s">
        <v>1036</v>
      </c>
    </row>
    <row r="6" spans="1:16" x14ac:dyDescent="0.25">
      <c r="D6" s="2" t="s">
        <v>2</v>
      </c>
      <c r="F6" s="6">
        <v>42900</v>
      </c>
      <c r="H6" s="11"/>
    </row>
    <row r="7" spans="1:16" x14ac:dyDescent="0.25">
      <c r="D7" s="2" t="s">
        <v>3</v>
      </c>
      <c r="F7" s="5">
        <v>2900000</v>
      </c>
      <c r="G7" s="2" t="s">
        <v>756</v>
      </c>
      <c r="H7" s="11"/>
    </row>
    <row r="8" spans="1:16" x14ac:dyDescent="0.25">
      <c r="D8" s="2" t="s">
        <v>18</v>
      </c>
      <c r="F8" s="5">
        <f>MIN(I23:I43)</f>
        <v>1157000</v>
      </c>
      <c r="H8" s="11"/>
    </row>
    <row r="9" spans="1:16" x14ac:dyDescent="0.25">
      <c r="D9" s="2" t="s">
        <v>67</v>
      </c>
      <c r="F9" s="4">
        <f>+F8-F7</f>
        <v>-1743000</v>
      </c>
      <c r="G9" s="16">
        <f>+F9/F7</f>
        <v>-0.6010344827586207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989623.39999999991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1910376.6</v>
      </c>
      <c r="G12" s="14"/>
      <c r="H12" s="11">
        <f>COUNT(I23:I43)</f>
        <v>5</v>
      </c>
      <c r="I12" s="1" t="s">
        <v>31</v>
      </c>
      <c r="J12" s="4">
        <f>+F8*0.9</f>
        <v>1041300</v>
      </c>
      <c r="K12" s="1" t="s">
        <v>69</v>
      </c>
    </row>
    <row r="13" spans="1:16" x14ac:dyDescent="0.25">
      <c r="D13" s="2" t="s">
        <v>29</v>
      </c>
      <c r="F13" s="4">
        <f>MAX(I23:I43)-MIN(I23:I43)</f>
        <v>1439000</v>
      </c>
      <c r="G13" s="269">
        <f>MEDIAN(I23:I43)</f>
        <v>2130086</v>
      </c>
      <c r="H13" s="270"/>
      <c r="I13" s="1" t="s">
        <v>30</v>
      </c>
      <c r="J13" s="4">
        <f>+F12*1.1</f>
        <v>2101414.2600000002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487</v>
      </c>
      <c r="E23" s="33"/>
      <c r="F23" t="s">
        <v>113</v>
      </c>
      <c r="G23" t="s">
        <v>25</v>
      </c>
      <c r="H23">
        <f>RANK(I23,I$23:I$43,1)</f>
        <v>5</v>
      </c>
      <c r="I23" s="4">
        <v>2596000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968</v>
      </c>
      <c r="E24" s="33"/>
      <c r="F24" t="s">
        <v>203</v>
      </c>
      <c r="G24" t="s">
        <v>204</v>
      </c>
      <c r="H24">
        <f>RANK(I24,I$23:I$43,1)</f>
        <v>4</v>
      </c>
      <c r="I24" s="4">
        <v>2489032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710</v>
      </c>
      <c r="E25" s="33"/>
      <c r="F25" t="s">
        <v>386</v>
      </c>
      <c r="G25" t="s">
        <v>25</v>
      </c>
      <c r="H25">
        <f>RANK(I25,I$23:I$43,1)</f>
        <v>1</v>
      </c>
      <c r="I25" s="4">
        <v>1157000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1037</v>
      </c>
      <c r="E26" s="33"/>
      <c r="F26" t="s">
        <v>88</v>
      </c>
      <c r="G26" t="s">
        <v>25</v>
      </c>
      <c r="H26">
        <f>RANK(I26,I$23:I$43,1)</f>
        <v>3</v>
      </c>
      <c r="I26" s="4">
        <v>2130086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605</v>
      </c>
      <c r="E27" s="33"/>
      <c r="F27" t="s">
        <v>120</v>
      </c>
      <c r="G27" t="s">
        <v>25</v>
      </c>
      <c r="H27">
        <f>RANK(I27,I$23:I$43,1)</f>
        <v>2</v>
      </c>
      <c r="I27" s="4">
        <v>1179765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825" priority="16" operator="containsText" text="FAIL">
      <formula>NOT(ISERROR(SEARCH("FAIL",I9)))</formula>
    </cfRule>
  </conditionalFormatting>
  <conditionalFormatting sqref="I9">
    <cfRule type="containsText" dxfId="1824" priority="15" operator="containsText" text="GOOD">
      <formula>NOT(ISERROR(SEARCH("GOOD",I9)))</formula>
    </cfRule>
  </conditionalFormatting>
  <conditionalFormatting sqref="F11">
    <cfRule type="containsText" dxfId="1823" priority="14" operator="containsText" text="FAIL">
      <formula>NOT(ISERROR(SEARCH("FAIL",F11)))</formula>
    </cfRule>
  </conditionalFormatting>
  <conditionalFormatting sqref="F11">
    <cfRule type="containsText" dxfId="1822" priority="13" operator="containsText" text="GOOD">
      <formula>NOT(ISERROR(SEARCH("GOOD",F11)))</formula>
    </cfRule>
  </conditionalFormatting>
  <conditionalFormatting sqref="D25">
    <cfRule type="expression" dxfId="1821" priority="12" stopIfTrue="1">
      <formula>IF($H$25=1,0)</formula>
    </cfRule>
  </conditionalFormatting>
  <conditionalFormatting sqref="D23 D29:D43 D25:D26">
    <cfRule type="expression" dxfId="1820" priority="11">
      <formula>H23=1</formula>
    </cfRule>
  </conditionalFormatting>
  <conditionalFormatting sqref="C23:C26 C29:C43">
    <cfRule type="expression" dxfId="1819" priority="10">
      <formula>H23=1</formula>
    </cfRule>
  </conditionalFormatting>
  <conditionalFormatting sqref="E23 E29:E43 E25:E26">
    <cfRule type="expression" dxfId="1818" priority="9">
      <formula>H23=1</formula>
    </cfRule>
  </conditionalFormatting>
  <conditionalFormatting sqref="F11">
    <cfRule type="containsText" dxfId="1817" priority="8" operator="containsText" text="FAIL">
      <formula>NOT(ISERROR(SEARCH("FAIL",F11)))</formula>
    </cfRule>
  </conditionalFormatting>
  <conditionalFormatting sqref="F11">
    <cfRule type="containsText" dxfId="1816" priority="7" operator="containsText" text="GOOD">
      <formula>NOT(ISERROR(SEARCH("GOOD",F11)))</formula>
    </cfRule>
  </conditionalFormatting>
  <conditionalFormatting sqref="D27:D28">
    <cfRule type="expression" dxfId="1815" priority="6">
      <formula>H27=1</formula>
    </cfRule>
  </conditionalFormatting>
  <conditionalFormatting sqref="C27:C28">
    <cfRule type="expression" dxfId="1814" priority="5">
      <formula>H27=1</formula>
    </cfRule>
  </conditionalFormatting>
  <conditionalFormatting sqref="E27:E28">
    <cfRule type="expression" dxfId="1813" priority="4">
      <formula>H27=1</formula>
    </cfRule>
  </conditionalFormatting>
  <conditionalFormatting sqref="D24">
    <cfRule type="expression" dxfId="1812" priority="3" stopIfTrue="1">
      <formula>IF($H$25=1,0)</formula>
    </cfRule>
  </conditionalFormatting>
  <conditionalFormatting sqref="D24">
    <cfRule type="expression" dxfId="1811" priority="2">
      <formula>H24=1</formula>
    </cfRule>
  </conditionalFormatting>
  <conditionalFormatting sqref="E24">
    <cfRule type="expression" dxfId="1810" priority="1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2:O56"/>
  <sheetViews>
    <sheetView zoomScaleNormal="100" workbookViewId="0">
      <selection activeCell="L33" sqref="L3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1028</v>
      </c>
      <c r="I4" s="2" t="s">
        <v>4</v>
      </c>
      <c r="J4" t="s">
        <v>784</v>
      </c>
    </row>
    <row r="5" spans="1:11" x14ac:dyDescent="0.25">
      <c r="D5" s="2" t="s">
        <v>1</v>
      </c>
      <c r="F5" t="s">
        <v>1029</v>
      </c>
    </row>
    <row r="6" spans="1:11" x14ac:dyDescent="0.25">
      <c r="D6" s="2" t="s">
        <v>2</v>
      </c>
      <c r="F6" s="6">
        <v>42894</v>
      </c>
      <c r="H6" s="11"/>
    </row>
    <row r="7" spans="1:11" x14ac:dyDescent="0.25">
      <c r="D7" s="2" t="s">
        <v>3</v>
      </c>
      <c r="F7" s="5">
        <f>+I7+J7</f>
        <v>6445000</v>
      </c>
      <c r="G7" s="2" t="s">
        <v>756</v>
      </c>
      <c r="H7" s="11"/>
      <c r="I7" s="19">
        <v>173243</v>
      </c>
      <c r="J7" s="19">
        <v>6271757</v>
      </c>
    </row>
    <row r="8" spans="1:11" x14ac:dyDescent="0.25">
      <c r="D8" s="2" t="s">
        <v>18</v>
      </c>
      <c r="F8" s="5">
        <f>MIN(K23:K43)</f>
        <v>7166666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721666</v>
      </c>
      <c r="G9" s="16">
        <f>+F9/F7</f>
        <v>0.11197300232738557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-2857985.2727272734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SUM(K23:K43)/H12</f>
        <v>9302985.2727272734</v>
      </c>
      <c r="G12" s="14"/>
      <c r="H12" s="11">
        <f>COUNT(K23:K43)</f>
        <v>11</v>
      </c>
      <c r="I12" s="1" t="s">
        <v>31</v>
      </c>
      <c r="J12" s="4">
        <f>+F8*0.9</f>
        <v>6449999.4000000004</v>
      </c>
      <c r="K12" s="1" t="s">
        <v>69</v>
      </c>
    </row>
    <row r="13" spans="1:11" x14ac:dyDescent="0.25">
      <c r="D13" s="2" t="s">
        <v>29</v>
      </c>
      <c r="F13" s="4">
        <f>MAX(K23:K43)-MIN(K23:K43)</f>
        <v>3828334</v>
      </c>
      <c r="G13" s="269">
        <f>MEDIAN(K23:K43)</f>
        <v>9489000</v>
      </c>
      <c r="H13" s="270"/>
      <c r="I13" s="1" t="s">
        <v>30</v>
      </c>
      <c r="J13" s="4">
        <f>+F12*1.1</f>
        <v>10233283.800000001</v>
      </c>
      <c r="K13" s="1" t="s">
        <v>70</v>
      </c>
    </row>
    <row r="14" spans="1:11" x14ac:dyDescent="0.25">
      <c r="H14" s="11"/>
    </row>
    <row r="15" spans="1:11" hidden="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hidden="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hidden="1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0.21847457627118644</v>
      </c>
    </row>
    <row r="18" spans="3:15" hidden="1" x14ac:dyDescent="0.25">
      <c r="F18" s="4">
        <f>+F7</f>
        <v>6445000</v>
      </c>
      <c r="G18" s="1" t="s">
        <v>12</v>
      </c>
      <c r="H18" s="11"/>
      <c r="I18" t="s">
        <v>16</v>
      </c>
      <c r="J18" s="7">
        <f>+F8/F18</f>
        <v>1.1119730023273855</v>
      </c>
    </row>
    <row r="19" spans="3:15" hidden="1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0.23888886666666667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1030</v>
      </c>
      <c r="E23" s="33"/>
      <c r="F23" t="s">
        <v>289</v>
      </c>
      <c r="G23" t="s">
        <v>93</v>
      </c>
      <c r="H23">
        <f>RANK(K23,K$23:K$43,1)</f>
        <v>11</v>
      </c>
      <c r="I23" s="4">
        <v>401900</v>
      </c>
      <c r="J23" s="4">
        <v>10593100</v>
      </c>
      <c r="K23" s="4">
        <f>+J23+I23</f>
        <v>10995000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541</v>
      </c>
      <c r="E24" s="33"/>
      <c r="F24" t="s">
        <v>159</v>
      </c>
      <c r="G24" t="s">
        <v>93</v>
      </c>
      <c r="H24">
        <f t="shared" ref="H24:H33" si="0">RANK(K24,K$23:K$43,1)</f>
        <v>9</v>
      </c>
      <c r="I24" s="4">
        <v>361750</v>
      </c>
      <c r="J24" s="4">
        <v>9888250</v>
      </c>
      <c r="K24" s="4">
        <f t="shared" ref="K24:K33" si="1">+J24+I24</f>
        <v>10250000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968</v>
      </c>
      <c r="E25" s="33"/>
      <c r="F25" t="s">
        <v>203</v>
      </c>
      <c r="G25" t="s">
        <v>204</v>
      </c>
      <c r="H25">
        <f t="shared" si="0"/>
        <v>2</v>
      </c>
      <c r="I25" s="4">
        <v>322300</v>
      </c>
      <c r="J25" s="4">
        <v>7214616</v>
      </c>
      <c r="K25" s="4">
        <f t="shared" si="1"/>
        <v>7536916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11" t="s">
        <v>606</v>
      </c>
      <c r="E26" s="33"/>
      <c r="F26" t="s">
        <v>100</v>
      </c>
      <c r="G26" t="s">
        <v>93</v>
      </c>
      <c r="H26">
        <f t="shared" si="0"/>
        <v>3</v>
      </c>
      <c r="I26" s="4">
        <v>191100</v>
      </c>
      <c r="J26" s="4">
        <v>7358000</v>
      </c>
      <c r="K26" s="4">
        <f t="shared" si="1"/>
        <v>7549100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11" t="s">
        <v>681</v>
      </c>
      <c r="E27" s="33"/>
      <c r="F27" t="s">
        <v>199</v>
      </c>
      <c r="G27" t="s">
        <v>93</v>
      </c>
      <c r="H27">
        <f t="shared" si="0"/>
        <v>10</v>
      </c>
      <c r="I27" s="4">
        <v>328025</v>
      </c>
      <c r="J27" s="4">
        <v>10500000</v>
      </c>
      <c r="K27" s="4">
        <f t="shared" si="1"/>
        <v>10828025</v>
      </c>
      <c r="L27" s="4"/>
      <c r="M27" s="22"/>
      <c r="N27" s="22"/>
      <c r="O27" s="22"/>
    </row>
    <row r="28" spans="3:15" x14ac:dyDescent="0.25">
      <c r="C28" s="33" t="str">
        <f t="shared" si="2"/>
        <v>u</v>
      </c>
      <c r="D28" s="11" t="s">
        <v>347</v>
      </c>
      <c r="E28" s="33"/>
      <c r="F28" t="s">
        <v>147</v>
      </c>
      <c r="G28" t="s">
        <v>93</v>
      </c>
      <c r="H28">
        <f t="shared" si="0"/>
        <v>1</v>
      </c>
      <c r="I28" s="4">
        <v>285500</v>
      </c>
      <c r="J28" s="4">
        <v>6881166</v>
      </c>
      <c r="K28" s="4">
        <f t="shared" si="1"/>
        <v>7166666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11" t="s">
        <v>1031</v>
      </c>
      <c r="E29" s="33"/>
      <c r="F29" t="s">
        <v>170</v>
      </c>
      <c r="G29" t="s">
        <v>93</v>
      </c>
      <c r="H29">
        <f t="shared" si="0"/>
        <v>7</v>
      </c>
      <c r="I29" s="4">
        <v>570000</v>
      </c>
      <c r="J29" s="4">
        <v>9251000</v>
      </c>
      <c r="K29" s="4">
        <f t="shared" si="1"/>
        <v>9821000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11" t="s">
        <v>1032</v>
      </c>
      <c r="E30" s="33"/>
      <c r="F30" t="s">
        <v>525</v>
      </c>
      <c r="G30" t="s">
        <v>93</v>
      </c>
      <c r="H30">
        <f t="shared" si="0"/>
        <v>5</v>
      </c>
      <c r="I30" s="4">
        <v>277809</v>
      </c>
      <c r="J30" s="4">
        <v>9171191</v>
      </c>
      <c r="K30" s="4">
        <f t="shared" si="1"/>
        <v>9449000</v>
      </c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 t="s">
        <v>1012</v>
      </c>
      <c r="E31" s="33"/>
      <c r="F31" t="s">
        <v>1033</v>
      </c>
      <c r="G31" t="s">
        <v>321</v>
      </c>
      <c r="H31">
        <f t="shared" si="0"/>
        <v>4</v>
      </c>
      <c r="I31" s="4">
        <v>408990</v>
      </c>
      <c r="J31" s="4">
        <v>8885285</v>
      </c>
      <c r="K31" s="4">
        <f t="shared" si="1"/>
        <v>9294275</v>
      </c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 t="s">
        <v>1034</v>
      </c>
      <c r="E32" s="33"/>
      <c r="F32" t="s">
        <v>413</v>
      </c>
      <c r="G32" t="s">
        <v>93</v>
      </c>
      <c r="H32">
        <f t="shared" si="0"/>
        <v>6</v>
      </c>
      <c r="I32" s="4">
        <v>371550</v>
      </c>
      <c r="J32" s="4">
        <v>9117450</v>
      </c>
      <c r="K32" s="4">
        <f t="shared" si="1"/>
        <v>9489000</v>
      </c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 t="s">
        <v>781</v>
      </c>
      <c r="E33" s="33"/>
      <c r="F33" t="s">
        <v>92</v>
      </c>
      <c r="G33" t="s">
        <v>93</v>
      </c>
      <c r="H33">
        <f t="shared" si="0"/>
        <v>8</v>
      </c>
      <c r="I33" s="4">
        <v>347370</v>
      </c>
      <c r="J33" s="4">
        <v>9606486</v>
      </c>
      <c r="K33" s="4">
        <f t="shared" si="1"/>
        <v>9953856</v>
      </c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1809" priority="32" operator="containsText" text="FAIL">
      <formula>NOT(ISERROR(SEARCH("FAIL",I9)))</formula>
    </cfRule>
  </conditionalFormatting>
  <conditionalFormatting sqref="I9">
    <cfRule type="containsText" dxfId="1808" priority="31" operator="containsText" text="GOOD">
      <formula>NOT(ISERROR(SEARCH("GOOD",I9)))</formula>
    </cfRule>
  </conditionalFormatting>
  <conditionalFormatting sqref="I9">
    <cfRule type="containsText" dxfId="1807" priority="30" operator="containsText" text="FAIL">
      <formula>NOT(ISERROR(SEARCH("FAIL",I9)))</formula>
    </cfRule>
  </conditionalFormatting>
  <conditionalFormatting sqref="I9">
    <cfRule type="containsText" dxfId="1806" priority="29" operator="containsText" text="GOOD">
      <formula>NOT(ISERROR(SEARCH("GOOD",I9)))</formula>
    </cfRule>
  </conditionalFormatting>
  <conditionalFormatting sqref="I9">
    <cfRule type="containsText" dxfId="1805" priority="28" operator="containsText" text="FAIL">
      <formula>NOT(ISERROR(SEARCH("FAIL",I9)))</formula>
    </cfRule>
  </conditionalFormatting>
  <conditionalFormatting sqref="I9">
    <cfRule type="containsText" dxfId="1804" priority="27" operator="containsText" text="GOOD">
      <formula>NOT(ISERROR(SEARCH("GOOD",I9)))</formula>
    </cfRule>
  </conditionalFormatting>
  <conditionalFormatting sqref="F11">
    <cfRule type="containsText" dxfId="1803" priority="26" operator="containsText" text="FAIL">
      <formula>NOT(ISERROR(SEARCH("FAIL",F11)))</formula>
    </cfRule>
  </conditionalFormatting>
  <conditionalFormatting sqref="F11">
    <cfRule type="containsText" dxfId="1802" priority="25" operator="containsText" text="GOOD">
      <formula>NOT(ISERROR(SEARCH("GOOD",F11)))</formula>
    </cfRule>
  </conditionalFormatting>
  <conditionalFormatting sqref="I9">
    <cfRule type="containsText" dxfId="1801" priority="24" operator="containsText" text="FAIL">
      <formula>NOT(ISERROR(SEARCH("FAIL",I9)))</formula>
    </cfRule>
  </conditionalFormatting>
  <conditionalFormatting sqref="I9">
    <cfRule type="containsText" dxfId="1800" priority="23" operator="containsText" text="GOOD">
      <formula>NOT(ISERROR(SEARCH("GOOD",I9)))</formula>
    </cfRule>
  </conditionalFormatting>
  <conditionalFormatting sqref="F11">
    <cfRule type="containsText" dxfId="1799" priority="22" operator="containsText" text="FAIL">
      <formula>NOT(ISERROR(SEARCH("FAIL",F11)))</formula>
    </cfRule>
  </conditionalFormatting>
  <conditionalFormatting sqref="F11">
    <cfRule type="containsText" dxfId="1798" priority="21" operator="containsText" text="GOOD">
      <formula>NOT(ISERROR(SEARCH("GOOD",F11)))</formula>
    </cfRule>
  </conditionalFormatting>
  <conditionalFormatting sqref="D25">
    <cfRule type="expression" dxfId="1797" priority="20" stopIfTrue="1">
      <formula>IF($H$25=1,0)</formula>
    </cfRule>
  </conditionalFormatting>
  <conditionalFormatting sqref="D23 D39:D43 D25:D33">
    <cfRule type="expression" dxfId="1796" priority="19">
      <formula>H23=1</formula>
    </cfRule>
  </conditionalFormatting>
  <conditionalFormatting sqref="C23 C39:C43 C25:C33">
    <cfRule type="expression" dxfId="1795" priority="18">
      <formula>H23=1</formula>
    </cfRule>
  </conditionalFormatting>
  <conditionalFormatting sqref="E23 E39:E43 E25:E33">
    <cfRule type="expression" dxfId="1794" priority="17">
      <formula>H23=1</formula>
    </cfRule>
  </conditionalFormatting>
  <conditionalFormatting sqref="E23 E39:E43 E25:E33">
    <cfRule type="expression" dxfId="1793" priority="16">
      <formula>H23=1</formula>
    </cfRule>
  </conditionalFormatting>
  <conditionalFormatting sqref="F11">
    <cfRule type="containsText" dxfId="1792" priority="15" operator="containsText" text="FAIL">
      <formula>NOT(ISERROR(SEARCH("FAIL",F11)))</formula>
    </cfRule>
  </conditionalFormatting>
  <conditionalFormatting sqref="F11">
    <cfRule type="containsText" dxfId="1791" priority="14" operator="containsText" text="GOOD">
      <formula>NOT(ISERROR(SEARCH("GOOD",F11)))</formula>
    </cfRule>
  </conditionalFormatting>
  <conditionalFormatting sqref="D34:D37">
    <cfRule type="expression" dxfId="1790" priority="13">
      <formula>H34=1</formula>
    </cfRule>
  </conditionalFormatting>
  <conditionalFormatting sqref="C34:C37">
    <cfRule type="expression" dxfId="1789" priority="12">
      <formula>H34=1</formula>
    </cfRule>
  </conditionalFormatting>
  <conditionalFormatting sqref="E34:E37">
    <cfRule type="expression" dxfId="1788" priority="11">
      <formula>H34=1</formula>
    </cfRule>
  </conditionalFormatting>
  <conditionalFormatting sqref="E34:E37">
    <cfRule type="expression" dxfId="1787" priority="10">
      <formula>H34=1</formula>
    </cfRule>
  </conditionalFormatting>
  <conditionalFormatting sqref="D38">
    <cfRule type="expression" dxfId="1786" priority="9">
      <formula>H38=1</formula>
    </cfRule>
  </conditionalFormatting>
  <conditionalFormatting sqref="C38">
    <cfRule type="expression" dxfId="1785" priority="8">
      <formula>H38=1</formula>
    </cfRule>
  </conditionalFormatting>
  <conditionalFormatting sqref="E38">
    <cfRule type="expression" dxfId="1784" priority="7">
      <formula>H38=1</formula>
    </cfRule>
  </conditionalFormatting>
  <conditionalFormatting sqref="E38">
    <cfRule type="expression" dxfId="1783" priority="6">
      <formula>H38=1</formula>
    </cfRule>
  </conditionalFormatting>
  <conditionalFormatting sqref="E24">
    <cfRule type="expression" dxfId="1782" priority="1">
      <formula>H24=1</formula>
    </cfRule>
  </conditionalFormatting>
  <conditionalFormatting sqref="D24">
    <cfRule type="expression" dxfId="1781" priority="5" stopIfTrue="1">
      <formula>IF($H$25=1,0)</formula>
    </cfRule>
  </conditionalFormatting>
  <conditionalFormatting sqref="D24">
    <cfRule type="expression" dxfId="1780" priority="4">
      <formula>H24=1</formula>
    </cfRule>
  </conditionalFormatting>
  <conditionalFormatting sqref="C24">
    <cfRule type="expression" dxfId="1779" priority="3">
      <formula>H24=1</formula>
    </cfRule>
  </conditionalFormatting>
  <conditionalFormatting sqref="E24">
    <cfRule type="expression" dxfId="1778" priority="2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2:P47"/>
  <sheetViews>
    <sheetView topLeftCell="A2" zoomScaleNormal="100" workbookViewId="0">
      <selection activeCell="J26" sqref="J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1025</v>
      </c>
      <c r="I4" s="2" t="s">
        <v>4</v>
      </c>
      <c r="J4" t="s">
        <v>616</v>
      </c>
    </row>
    <row r="5" spans="1:16" x14ac:dyDescent="0.25">
      <c r="D5" s="2" t="s">
        <v>1</v>
      </c>
      <c r="F5" t="s">
        <v>1026</v>
      </c>
    </row>
    <row r="6" spans="1:16" x14ac:dyDescent="0.25">
      <c r="D6" s="2" t="s">
        <v>2</v>
      </c>
      <c r="F6" s="6">
        <v>42893</v>
      </c>
      <c r="H6" s="11"/>
    </row>
    <row r="7" spans="1:16" x14ac:dyDescent="0.25">
      <c r="D7" s="2" t="s">
        <v>3</v>
      </c>
      <c r="F7" s="5">
        <v>650000</v>
      </c>
      <c r="G7" s="2" t="s">
        <v>693</v>
      </c>
      <c r="H7" s="11"/>
    </row>
    <row r="8" spans="1:16" x14ac:dyDescent="0.25">
      <c r="D8" s="2" t="s">
        <v>18</v>
      </c>
      <c r="F8" s="5">
        <f>MIN(I23:I43)</f>
        <v>865508</v>
      </c>
      <c r="H8" s="11"/>
    </row>
    <row r="9" spans="1:16" x14ac:dyDescent="0.25">
      <c r="D9" s="2" t="s">
        <v>67</v>
      </c>
      <c r="F9" s="4">
        <f>+F8-F7</f>
        <v>215508</v>
      </c>
      <c r="G9" s="16">
        <f>+F9/F7</f>
        <v>0.3315507692307692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-243242.66666666663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893242.66666666663</v>
      </c>
      <c r="G12" s="14"/>
      <c r="H12" s="11">
        <f>COUNT(I23:I43)</f>
        <v>3</v>
      </c>
      <c r="I12" s="1" t="s">
        <v>31</v>
      </c>
      <c r="J12" s="4">
        <f>+F8*0.9</f>
        <v>778957.20000000007</v>
      </c>
      <c r="K12" s="1" t="s">
        <v>69</v>
      </c>
    </row>
    <row r="13" spans="1:16" x14ac:dyDescent="0.25">
      <c r="D13" s="2" t="s">
        <v>29</v>
      </c>
      <c r="F13" s="4">
        <f>MAX(I23:I43)-MIN(I23:I43)</f>
        <v>53492</v>
      </c>
      <c r="G13" s="269">
        <f>MEDIAN(I23:I43)</f>
        <v>895220</v>
      </c>
      <c r="H13" s="270"/>
      <c r="I13" s="1" t="s">
        <v>30</v>
      </c>
      <c r="J13" s="4">
        <f>+F12*1.1</f>
        <v>982566.93333333335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1027</v>
      </c>
      <c r="E23" s="33"/>
      <c r="F23" t="s">
        <v>139</v>
      </c>
      <c r="G23" t="s">
        <v>25</v>
      </c>
      <c r="H23">
        <f>RANK(I23,I$23:I$43,1)</f>
        <v>1</v>
      </c>
      <c r="I23" s="4">
        <v>865508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708</v>
      </c>
      <c r="E24" s="33"/>
      <c r="F24" t="s">
        <v>709</v>
      </c>
      <c r="G24" t="s">
        <v>93</v>
      </c>
      <c r="H24">
        <f>RANK(I24,I$23:I$43,1)</f>
        <v>3</v>
      </c>
      <c r="I24" s="4">
        <v>919000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725</v>
      </c>
      <c r="E25" s="33"/>
      <c r="F25" t="s">
        <v>780</v>
      </c>
      <c r="G25" t="s">
        <v>25</v>
      </c>
      <c r="H25">
        <f>RANK(I25,I$23:I$43,1)</f>
        <v>2</v>
      </c>
      <c r="I25" s="4">
        <v>895220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777" priority="16" operator="containsText" text="FAIL">
      <formula>NOT(ISERROR(SEARCH("FAIL",I9)))</formula>
    </cfRule>
  </conditionalFormatting>
  <conditionalFormatting sqref="I9">
    <cfRule type="containsText" dxfId="1776" priority="15" operator="containsText" text="GOOD">
      <formula>NOT(ISERROR(SEARCH("GOOD",I9)))</formula>
    </cfRule>
  </conditionalFormatting>
  <conditionalFormatting sqref="F11">
    <cfRule type="containsText" dxfId="1775" priority="14" operator="containsText" text="FAIL">
      <formula>NOT(ISERROR(SEARCH("FAIL",F11)))</formula>
    </cfRule>
  </conditionalFormatting>
  <conditionalFormatting sqref="F11">
    <cfRule type="containsText" dxfId="1774" priority="13" operator="containsText" text="GOOD">
      <formula>NOT(ISERROR(SEARCH("GOOD",F11)))</formula>
    </cfRule>
  </conditionalFormatting>
  <conditionalFormatting sqref="D25">
    <cfRule type="expression" dxfId="1773" priority="12" stopIfTrue="1">
      <formula>IF($H$25=1,0)</formula>
    </cfRule>
  </conditionalFormatting>
  <conditionalFormatting sqref="D23 D29:D43 D25:D26">
    <cfRule type="expression" dxfId="1772" priority="11">
      <formula>H23=1</formula>
    </cfRule>
  </conditionalFormatting>
  <conditionalFormatting sqref="C23:C26 C29:C43">
    <cfRule type="expression" dxfId="1771" priority="10">
      <formula>H23=1</formula>
    </cfRule>
  </conditionalFormatting>
  <conditionalFormatting sqref="E23 E29:E43 E25:E26">
    <cfRule type="expression" dxfId="1770" priority="9">
      <formula>H23=1</formula>
    </cfRule>
  </conditionalFormatting>
  <conditionalFormatting sqref="F11">
    <cfRule type="containsText" dxfId="1769" priority="8" operator="containsText" text="FAIL">
      <formula>NOT(ISERROR(SEARCH("FAIL",F11)))</formula>
    </cfRule>
  </conditionalFormatting>
  <conditionalFormatting sqref="F11">
    <cfRule type="containsText" dxfId="1768" priority="7" operator="containsText" text="GOOD">
      <formula>NOT(ISERROR(SEARCH("GOOD",F11)))</formula>
    </cfRule>
  </conditionalFormatting>
  <conditionalFormatting sqref="D27:D28">
    <cfRule type="expression" dxfId="1767" priority="6">
      <formula>H27=1</formula>
    </cfRule>
  </conditionalFormatting>
  <conditionalFormatting sqref="C27:C28">
    <cfRule type="expression" dxfId="1766" priority="5">
      <formula>H27=1</formula>
    </cfRule>
  </conditionalFormatting>
  <conditionalFormatting sqref="E27:E28">
    <cfRule type="expression" dxfId="1765" priority="4">
      <formula>H27=1</formula>
    </cfRule>
  </conditionalFormatting>
  <conditionalFormatting sqref="D24">
    <cfRule type="expression" dxfId="1764" priority="3" stopIfTrue="1">
      <formula>IF($H$25=1,0)</formula>
    </cfRule>
  </conditionalFormatting>
  <conditionalFormatting sqref="D24">
    <cfRule type="expression" dxfId="1763" priority="2">
      <formula>H24=1</formula>
    </cfRule>
  </conditionalFormatting>
  <conditionalFormatting sqref="E24">
    <cfRule type="expression" dxfId="1762" priority="1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2:P47"/>
  <sheetViews>
    <sheetView zoomScaleNormal="100" workbookViewId="0">
      <selection activeCell="F29" sqref="F2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1023</v>
      </c>
      <c r="I4" s="2" t="s">
        <v>4</v>
      </c>
      <c r="J4" t="s">
        <v>616</v>
      </c>
    </row>
    <row r="5" spans="1:16" x14ac:dyDescent="0.25">
      <c r="D5" s="2" t="s">
        <v>1</v>
      </c>
      <c r="F5" t="s">
        <v>1024</v>
      </c>
    </row>
    <row r="6" spans="1:16" x14ac:dyDescent="0.25">
      <c r="D6" s="2" t="s">
        <v>2</v>
      </c>
      <c r="F6" s="6">
        <v>42893</v>
      </c>
      <c r="H6" s="11"/>
    </row>
    <row r="7" spans="1:16" x14ac:dyDescent="0.25">
      <c r="D7" s="2" t="s">
        <v>3</v>
      </c>
      <c r="F7" s="5">
        <v>1070000</v>
      </c>
      <c r="G7" s="2" t="s">
        <v>693</v>
      </c>
      <c r="H7" s="11"/>
    </row>
    <row r="8" spans="1:16" x14ac:dyDescent="0.25">
      <c r="D8" s="2" t="s">
        <v>18</v>
      </c>
      <c r="F8" s="5">
        <f>MIN(I23:I43)</f>
        <v>758000</v>
      </c>
      <c r="H8" s="11"/>
    </row>
    <row r="9" spans="1:16" x14ac:dyDescent="0.25">
      <c r="D9" s="2" t="s">
        <v>67</v>
      </c>
      <c r="F9" s="4">
        <f>+F8-F7</f>
        <v>-312000</v>
      </c>
      <c r="G9" s="16">
        <f>+F9/F7</f>
        <v>-0.29158878504672897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123015.59999999998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946984.4</v>
      </c>
      <c r="G12" s="14"/>
      <c r="H12" s="11">
        <f>COUNT(I23:I43)</f>
        <v>5</v>
      </c>
      <c r="I12" s="1" t="s">
        <v>31</v>
      </c>
      <c r="J12" s="4">
        <f>+F8*0.9</f>
        <v>682200</v>
      </c>
      <c r="K12" s="1" t="s">
        <v>69</v>
      </c>
    </row>
    <row r="13" spans="1:16" x14ac:dyDescent="0.25">
      <c r="D13" s="2" t="s">
        <v>29</v>
      </c>
      <c r="F13" s="4">
        <f>MAX(I23:I43)-MIN(I23:I43)</f>
        <v>563000</v>
      </c>
      <c r="G13" s="269">
        <f>MEDIAN(I23:I43)</f>
        <v>869000</v>
      </c>
      <c r="H13" s="270"/>
      <c r="I13" s="1" t="s">
        <v>30</v>
      </c>
      <c r="J13" s="4">
        <f>+F12*1.1</f>
        <v>1041682.8400000001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430</v>
      </c>
      <c r="E23" s="33"/>
      <c r="F23" t="s">
        <v>186</v>
      </c>
      <c r="G23" t="s">
        <v>25</v>
      </c>
      <c r="H23">
        <f>RANK(I23,I$23:I$43,1)</f>
        <v>2</v>
      </c>
      <c r="I23" s="4">
        <v>789000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708</v>
      </c>
      <c r="E24" s="33"/>
      <c r="F24" t="s">
        <v>709</v>
      </c>
      <c r="G24" t="s">
        <v>93</v>
      </c>
      <c r="H24">
        <f>RANK(I24,I$23:I$43,1)</f>
        <v>5</v>
      </c>
      <c r="I24" s="4">
        <v>1321000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676</v>
      </c>
      <c r="E25" s="33"/>
      <c r="F25" t="s">
        <v>85</v>
      </c>
      <c r="G25" t="s">
        <v>25</v>
      </c>
      <c r="H25">
        <f>RANK(I25,I$23:I$43,1)</f>
        <v>4</v>
      </c>
      <c r="I25" s="4">
        <v>997922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631</v>
      </c>
      <c r="E26" s="33"/>
      <c r="F26" t="s">
        <v>131</v>
      </c>
      <c r="G26" t="s">
        <v>25</v>
      </c>
      <c r="H26">
        <f>RANK(I26,I$23:I$43,1)</f>
        <v>1</v>
      </c>
      <c r="I26" s="4">
        <v>758000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733</v>
      </c>
      <c r="E27" s="33"/>
      <c r="F27" t="s">
        <v>120</v>
      </c>
      <c r="G27" t="s">
        <v>25</v>
      </c>
      <c r="H27">
        <f>RANK(I27,I$23:I$43,1)</f>
        <v>3</v>
      </c>
      <c r="I27" s="4">
        <v>869000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761" priority="16" operator="containsText" text="FAIL">
      <formula>NOT(ISERROR(SEARCH("FAIL",I9)))</formula>
    </cfRule>
  </conditionalFormatting>
  <conditionalFormatting sqref="I9">
    <cfRule type="containsText" dxfId="1760" priority="15" operator="containsText" text="GOOD">
      <formula>NOT(ISERROR(SEARCH("GOOD",I9)))</formula>
    </cfRule>
  </conditionalFormatting>
  <conditionalFormatting sqref="F11">
    <cfRule type="containsText" dxfId="1759" priority="14" operator="containsText" text="FAIL">
      <formula>NOT(ISERROR(SEARCH("FAIL",F11)))</formula>
    </cfRule>
  </conditionalFormatting>
  <conditionalFormatting sqref="F11">
    <cfRule type="containsText" dxfId="1758" priority="13" operator="containsText" text="GOOD">
      <formula>NOT(ISERROR(SEARCH("GOOD",F11)))</formula>
    </cfRule>
  </conditionalFormatting>
  <conditionalFormatting sqref="D25">
    <cfRule type="expression" dxfId="1757" priority="12" stopIfTrue="1">
      <formula>IF($H$25=1,0)</formula>
    </cfRule>
  </conditionalFormatting>
  <conditionalFormatting sqref="D23 D29:D43 D25:D26">
    <cfRule type="expression" dxfId="1756" priority="11">
      <formula>H23=1</formula>
    </cfRule>
  </conditionalFormatting>
  <conditionalFormatting sqref="C23:C26 C29:C43">
    <cfRule type="expression" dxfId="1755" priority="10">
      <formula>H23=1</formula>
    </cfRule>
  </conditionalFormatting>
  <conditionalFormatting sqref="E23 E29:E43 E25:E26">
    <cfRule type="expression" dxfId="1754" priority="9">
      <formula>H23=1</formula>
    </cfRule>
  </conditionalFormatting>
  <conditionalFormatting sqref="F11">
    <cfRule type="containsText" dxfId="1753" priority="8" operator="containsText" text="FAIL">
      <formula>NOT(ISERROR(SEARCH("FAIL",F11)))</formula>
    </cfRule>
  </conditionalFormatting>
  <conditionalFormatting sqref="F11">
    <cfRule type="containsText" dxfId="1752" priority="7" operator="containsText" text="GOOD">
      <formula>NOT(ISERROR(SEARCH("GOOD",F11)))</formula>
    </cfRule>
  </conditionalFormatting>
  <conditionalFormatting sqref="D27:D28">
    <cfRule type="expression" dxfId="1751" priority="6">
      <formula>H27=1</formula>
    </cfRule>
  </conditionalFormatting>
  <conditionalFormatting sqref="C27:C28">
    <cfRule type="expression" dxfId="1750" priority="5">
      <formula>H27=1</formula>
    </cfRule>
  </conditionalFormatting>
  <conditionalFormatting sqref="E27:E28">
    <cfRule type="expression" dxfId="1749" priority="4">
      <formula>H27=1</formula>
    </cfRule>
  </conditionalFormatting>
  <conditionalFormatting sqref="D24">
    <cfRule type="expression" dxfId="1748" priority="3" stopIfTrue="1">
      <formula>IF($H$25=1,0)</formula>
    </cfRule>
  </conditionalFormatting>
  <conditionalFormatting sqref="D24">
    <cfRule type="expression" dxfId="1747" priority="2">
      <formula>H24=1</formula>
    </cfRule>
  </conditionalFormatting>
  <conditionalFormatting sqref="E24">
    <cfRule type="expression" dxfId="1746" priority="1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2:P47"/>
  <sheetViews>
    <sheetView zoomScaleNormal="100" workbookViewId="0">
      <selection activeCell="K9" sqref="K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1021</v>
      </c>
      <c r="I4" s="2" t="s">
        <v>4</v>
      </c>
      <c r="J4" t="s">
        <v>630</v>
      </c>
    </row>
    <row r="5" spans="1:16" x14ac:dyDescent="0.25">
      <c r="D5" s="2" t="s">
        <v>1</v>
      </c>
      <c r="F5" t="s">
        <v>1022</v>
      </c>
    </row>
    <row r="6" spans="1:16" x14ac:dyDescent="0.25">
      <c r="D6" s="2" t="s">
        <v>2</v>
      </c>
      <c r="F6" s="6">
        <v>42892</v>
      </c>
      <c r="H6" s="11"/>
    </row>
    <row r="7" spans="1:16" x14ac:dyDescent="0.25">
      <c r="D7" s="2" t="s">
        <v>3</v>
      </c>
      <c r="F7" s="5">
        <v>771000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946600</v>
      </c>
      <c r="H8" s="11"/>
    </row>
    <row r="9" spans="1:16" x14ac:dyDescent="0.25">
      <c r="D9" s="2" t="s">
        <v>67</v>
      </c>
      <c r="F9" s="4">
        <f>+F8-F7</f>
        <v>175600</v>
      </c>
      <c r="G9" s="16">
        <f>+F9/F7</f>
        <v>0.22775616083009079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-278156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1049156</v>
      </c>
      <c r="G12" s="14"/>
      <c r="H12" s="11">
        <f>COUNT(I23:I43)</f>
        <v>2</v>
      </c>
      <c r="I12" s="1" t="s">
        <v>31</v>
      </c>
      <c r="J12" s="4">
        <f>+F8*0.9</f>
        <v>851940</v>
      </c>
      <c r="K12" s="1" t="s">
        <v>69</v>
      </c>
    </row>
    <row r="13" spans="1:16" x14ac:dyDescent="0.25">
      <c r="D13" s="2" t="s">
        <v>29</v>
      </c>
      <c r="F13" s="4">
        <f>MAX(I23:I43)-MIN(I23:I43)</f>
        <v>205112</v>
      </c>
      <c r="G13" s="269">
        <f>MEDIAN(I23:I43)</f>
        <v>1049156</v>
      </c>
      <c r="H13" s="270"/>
      <c r="I13" s="1" t="s">
        <v>30</v>
      </c>
      <c r="J13" s="4">
        <f>+F12*1.1</f>
        <v>1154071.6000000001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781</v>
      </c>
      <c r="E23" s="33"/>
      <c r="F23" t="s">
        <v>92</v>
      </c>
      <c r="G23" t="s">
        <v>93</v>
      </c>
      <c r="H23">
        <f>RANK(I23,I$23:I$43,1)</f>
        <v>1</v>
      </c>
      <c r="I23" s="4">
        <v>946600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766</v>
      </c>
      <c r="E24" s="33"/>
      <c r="F24" t="s">
        <v>145</v>
      </c>
      <c r="G24" t="s">
        <v>25</v>
      </c>
      <c r="H24">
        <f>RANK(I24,I$23:I$43,1)</f>
        <v>2</v>
      </c>
      <c r="I24" s="4">
        <v>1151712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745" priority="16" operator="containsText" text="FAIL">
      <formula>NOT(ISERROR(SEARCH("FAIL",I9)))</formula>
    </cfRule>
  </conditionalFormatting>
  <conditionalFormatting sqref="I9">
    <cfRule type="containsText" dxfId="1744" priority="15" operator="containsText" text="GOOD">
      <formula>NOT(ISERROR(SEARCH("GOOD",I9)))</formula>
    </cfRule>
  </conditionalFormatting>
  <conditionalFormatting sqref="F11">
    <cfRule type="containsText" dxfId="1743" priority="14" operator="containsText" text="FAIL">
      <formula>NOT(ISERROR(SEARCH("FAIL",F11)))</formula>
    </cfRule>
  </conditionalFormatting>
  <conditionalFormatting sqref="F11">
    <cfRule type="containsText" dxfId="1742" priority="13" operator="containsText" text="GOOD">
      <formula>NOT(ISERROR(SEARCH("GOOD",F11)))</formula>
    </cfRule>
  </conditionalFormatting>
  <conditionalFormatting sqref="D25">
    <cfRule type="expression" dxfId="1741" priority="12" stopIfTrue="1">
      <formula>IF($H$25=1,0)</formula>
    </cfRule>
  </conditionalFormatting>
  <conditionalFormatting sqref="D23 D29:D43 D25:D26">
    <cfRule type="expression" dxfId="1740" priority="11">
      <formula>H23=1</formula>
    </cfRule>
  </conditionalFormatting>
  <conditionalFormatting sqref="C23:C26 C29:C43">
    <cfRule type="expression" dxfId="1739" priority="10">
      <formula>H23=1</formula>
    </cfRule>
  </conditionalFormatting>
  <conditionalFormatting sqref="E23 E29:E43 E25:E26">
    <cfRule type="expression" dxfId="1738" priority="9">
      <formula>H23=1</formula>
    </cfRule>
  </conditionalFormatting>
  <conditionalFormatting sqref="F11">
    <cfRule type="containsText" dxfId="1737" priority="8" operator="containsText" text="FAIL">
      <formula>NOT(ISERROR(SEARCH("FAIL",F11)))</formula>
    </cfRule>
  </conditionalFormatting>
  <conditionalFormatting sqref="F11">
    <cfRule type="containsText" dxfId="1736" priority="7" operator="containsText" text="GOOD">
      <formula>NOT(ISERROR(SEARCH("GOOD",F11)))</formula>
    </cfRule>
  </conditionalFormatting>
  <conditionalFormatting sqref="D27:D28">
    <cfRule type="expression" dxfId="1735" priority="6">
      <formula>H27=1</formula>
    </cfRule>
  </conditionalFormatting>
  <conditionalFormatting sqref="C27:C28">
    <cfRule type="expression" dxfId="1734" priority="5">
      <formula>H27=1</formula>
    </cfRule>
  </conditionalFormatting>
  <conditionalFormatting sqref="E27:E28">
    <cfRule type="expression" dxfId="1733" priority="4">
      <formula>H27=1</formula>
    </cfRule>
  </conditionalFormatting>
  <conditionalFormatting sqref="D24">
    <cfRule type="expression" dxfId="1732" priority="3" stopIfTrue="1">
      <formula>IF($H$25=1,0)</formula>
    </cfRule>
  </conditionalFormatting>
  <conditionalFormatting sqref="D24">
    <cfRule type="expression" dxfId="1731" priority="2">
      <formula>H24=1</formula>
    </cfRule>
  </conditionalFormatting>
  <conditionalFormatting sqref="E24">
    <cfRule type="expression" dxfId="1730" priority="1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2:P47"/>
  <sheetViews>
    <sheetView topLeftCell="A7" zoomScaleNormal="100" workbookViewId="0">
      <selection activeCell="J35" sqref="J3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1014</v>
      </c>
      <c r="I4" s="2" t="s">
        <v>4</v>
      </c>
      <c r="J4" t="s">
        <v>616</v>
      </c>
    </row>
    <row r="5" spans="1:16" x14ac:dyDescent="0.25">
      <c r="D5" s="2" t="s">
        <v>1</v>
      </c>
      <c r="F5" t="s">
        <v>1015</v>
      </c>
    </row>
    <row r="6" spans="1:16" x14ac:dyDescent="0.25">
      <c r="D6" s="2" t="s">
        <v>2</v>
      </c>
      <c r="F6" s="6">
        <v>42886</v>
      </c>
      <c r="H6" s="11"/>
    </row>
    <row r="7" spans="1:16" x14ac:dyDescent="0.25">
      <c r="D7" s="2" t="s">
        <v>3</v>
      </c>
      <c r="F7" s="5">
        <v>1140000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904780</v>
      </c>
      <c r="H8" s="11"/>
    </row>
    <row r="9" spans="1:16" x14ac:dyDescent="0.25">
      <c r="D9" s="2" t="s">
        <v>67</v>
      </c>
      <c r="F9" s="4">
        <f>+F8-F7</f>
        <v>-235220</v>
      </c>
      <c r="G9" s="16">
        <f>+F9/F7</f>
        <v>-0.20633333333333334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-482587.4444444445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1622587.4444444445</v>
      </c>
      <c r="G12" s="14"/>
      <c r="H12" s="11">
        <f>COUNT(I23:I43)</f>
        <v>9</v>
      </c>
      <c r="I12" s="1" t="s">
        <v>31</v>
      </c>
      <c r="J12" s="4">
        <f>+F8*0.9</f>
        <v>814302</v>
      </c>
      <c r="K12" s="1" t="s">
        <v>69</v>
      </c>
    </row>
    <row r="13" spans="1:16" x14ac:dyDescent="0.25">
      <c r="D13" s="2" t="s">
        <v>29</v>
      </c>
      <c r="F13" s="4">
        <f>MAX(I23:I43)-MIN(I23:I43)</f>
        <v>1859320</v>
      </c>
      <c r="G13" s="269">
        <f>MEDIAN(I23:I43)</f>
        <v>1645000</v>
      </c>
      <c r="H13" s="270"/>
      <c r="I13" s="1" t="s">
        <v>30</v>
      </c>
      <c r="J13" s="4">
        <f>+F12*1.1</f>
        <v>1784846.188888889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561</v>
      </c>
      <c r="E23" s="33"/>
      <c r="F23" t="s">
        <v>215</v>
      </c>
      <c r="G23" t="s">
        <v>25</v>
      </c>
      <c r="H23">
        <f>RANK(I23,I$23:I$43,1)</f>
        <v>2</v>
      </c>
      <c r="I23" s="4">
        <v>942757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738</v>
      </c>
      <c r="E24" s="33"/>
      <c r="F24" t="s">
        <v>739</v>
      </c>
      <c r="G24" t="s">
        <v>93</v>
      </c>
      <c r="H24">
        <f t="shared" ref="H24:H31" si="0">RANK(I24,I$23:I$43,1)</f>
        <v>7</v>
      </c>
      <c r="I24" s="4">
        <v>1833000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1016</v>
      </c>
      <c r="E25" s="33"/>
      <c r="F25" t="s">
        <v>159</v>
      </c>
      <c r="G25" t="s">
        <v>93</v>
      </c>
      <c r="H25">
        <f t="shared" si="0"/>
        <v>9</v>
      </c>
      <c r="I25" s="4">
        <v>2764100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908</v>
      </c>
      <c r="E26" s="33"/>
      <c r="F26" t="s">
        <v>131</v>
      </c>
      <c r="G26" t="s">
        <v>25</v>
      </c>
      <c r="H26">
        <f t="shared" si="0"/>
        <v>6</v>
      </c>
      <c r="I26" s="4">
        <v>1682785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676</v>
      </c>
      <c r="E27" s="33"/>
      <c r="F27" t="s">
        <v>85</v>
      </c>
      <c r="G27" t="s">
        <v>25</v>
      </c>
      <c r="H27">
        <f t="shared" si="0"/>
        <v>4</v>
      </c>
      <c r="I27" s="4">
        <v>1387665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824</v>
      </c>
      <c r="E28" s="33"/>
      <c r="F28" t="s">
        <v>186</v>
      </c>
      <c r="G28" t="s">
        <v>25</v>
      </c>
      <c r="H28">
        <f t="shared" si="0"/>
        <v>5</v>
      </c>
      <c r="I28" s="4">
        <v>1645000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>u</v>
      </c>
      <c r="D29" s="11" t="s">
        <v>1017</v>
      </c>
      <c r="E29" s="33"/>
      <c r="F29" t="s">
        <v>201</v>
      </c>
      <c r="G29" t="s">
        <v>25</v>
      </c>
      <c r="H29">
        <f t="shared" si="0"/>
        <v>1</v>
      </c>
      <c r="I29" s="4">
        <v>904780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 t="s">
        <v>521</v>
      </c>
      <c r="E30" s="33"/>
      <c r="F30" t="s">
        <v>251</v>
      </c>
      <c r="G30" t="s">
        <v>25</v>
      </c>
      <c r="H30">
        <f t="shared" si="0"/>
        <v>8</v>
      </c>
      <c r="I30" s="4">
        <v>2246200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 t="s">
        <v>679</v>
      </c>
      <c r="E31" s="33"/>
      <c r="F31" t="s">
        <v>193</v>
      </c>
      <c r="G31" t="s">
        <v>25</v>
      </c>
      <c r="H31">
        <f t="shared" si="0"/>
        <v>3</v>
      </c>
      <c r="I31" s="4">
        <v>1197000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ref="E34:E43" si="2">IF(H34=1,"t","")</f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729" priority="16" operator="containsText" text="FAIL">
      <formula>NOT(ISERROR(SEARCH("FAIL",I9)))</formula>
    </cfRule>
  </conditionalFormatting>
  <conditionalFormatting sqref="I9">
    <cfRule type="containsText" dxfId="1728" priority="15" operator="containsText" text="GOOD">
      <formula>NOT(ISERROR(SEARCH("GOOD",I9)))</formula>
    </cfRule>
  </conditionalFormatting>
  <conditionalFormatting sqref="F11">
    <cfRule type="containsText" dxfId="1727" priority="14" operator="containsText" text="FAIL">
      <formula>NOT(ISERROR(SEARCH("FAIL",F11)))</formula>
    </cfRule>
  </conditionalFormatting>
  <conditionalFormatting sqref="F11">
    <cfRule type="containsText" dxfId="1726" priority="13" operator="containsText" text="GOOD">
      <formula>NOT(ISERROR(SEARCH("GOOD",F11)))</formula>
    </cfRule>
  </conditionalFormatting>
  <conditionalFormatting sqref="D25">
    <cfRule type="expression" dxfId="1725" priority="12" stopIfTrue="1">
      <formula>IF($H$25=1,0)</formula>
    </cfRule>
  </conditionalFormatting>
  <conditionalFormatting sqref="D23 D29:D43 D25:D26">
    <cfRule type="expression" dxfId="1724" priority="11">
      <formula>H23=1</formula>
    </cfRule>
  </conditionalFormatting>
  <conditionalFormatting sqref="C23:C26 C29:C43">
    <cfRule type="expression" dxfId="1723" priority="10">
      <formula>H23=1</formula>
    </cfRule>
  </conditionalFormatting>
  <conditionalFormatting sqref="E23 E29:E43 E25:E26">
    <cfRule type="expression" dxfId="1722" priority="9">
      <formula>H23=1</formula>
    </cfRule>
  </conditionalFormatting>
  <conditionalFormatting sqref="F11">
    <cfRule type="containsText" dxfId="1721" priority="8" operator="containsText" text="FAIL">
      <formula>NOT(ISERROR(SEARCH("FAIL",F11)))</formula>
    </cfRule>
  </conditionalFormatting>
  <conditionalFormatting sqref="F11">
    <cfRule type="containsText" dxfId="1720" priority="7" operator="containsText" text="GOOD">
      <formula>NOT(ISERROR(SEARCH("GOOD",F11)))</formula>
    </cfRule>
  </conditionalFormatting>
  <conditionalFormatting sqref="D27:D28">
    <cfRule type="expression" dxfId="1719" priority="6">
      <formula>H27=1</formula>
    </cfRule>
  </conditionalFormatting>
  <conditionalFormatting sqref="C27:C28">
    <cfRule type="expression" dxfId="1718" priority="5">
      <formula>H27=1</formula>
    </cfRule>
  </conditionalFormatting>
  <conditionalFormatting sqref="E27:E28">
    <cfRule type="expression" dxfId="1717" priority="4">
      <formula>H27=1</formula>
    </cfRule>
  </conditionalFormatting>
  <conditionalFormatting sqref="D24">
    <cfRule type="expression" dxfId="1716" priority="3" stopIfTrue="1">
      <formula>IF($H$25=1,0)</formula>
    </cfRule>
  </conditionalFormatting>
  <conditionalFormatting sqref="D24">
    <cfRule type="expression" dxfId="1715" priority="2">
      <formula>H24=1</formula>
    </cfRule>
  </conditionalFormatting>
  <conditionalFormatting sqref="E24">
    <cfRule type="expression" dxfId="1714" priority="1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2:P47"/>
  <sheetViews>
    <sheetView zoomScaleNormal="100" workbookViewId="0">
      <selection activeCell="I29" sqref="I2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1009</v>
      </c>
      <c r="I4" s="2" t="s">
        <v>4</v>
      </c>
      <c r="J4" t="s">
        <v>442</v>
      </c>
    </row>
    <row r="5" spans="1:16" x14ac:dyDescent="0.25">
      <c r="D5" s="2" t="s">
        <v>1</v>
      </c>
      <c r="F5" t="s">
        <v>1010</v>
      </c>
    </row>
    <row r="6" spans="1:16" x14ac:dyDescent="0.25">
      <c r="D6" s="2" t="s">
        <v>2</v>
      </c>
      <c r="F6" s="6">
        <v>42880</v>
      </c>
      <c r="H6" s="11"/>
    </row>
    <row r="7" spans="1:16" x14ac:dyDescent="0.25">
      <c r="D7" s="2" t="s">
        <v>3</v>
      </c>
      <c r="F7" s="5">
        <v>2850000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1808548</v>
      </c>
      <c r="H8" s="11"/>
    </row>
    <row r="9" spans="1:16" x14ac:dyDescent="0.25">
      <c r="D9" s="2" t="s">
        <v>67</v>
      </c>
      <c r="F9" s="4">
        <f>+F8-F7</f>
        <v>-1041452</v>
      </c>
      <c r="G9" s="16">
        <f>+F9/F7</f>
        <v>-0.36542175438596491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6" x14ac:dyDescent="0.25">
      <c r="D10" s="2" t="s">
        <v>68</v>
      </c>
      <c r="F10" s="4">
        <f>+F7-F12</f>
        <v>300061.09090909082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6" x14ac:dyDescent="0.25">
      <c r="D12" s="2" t="s">
        <v>28</v>
      </c>
      <c r="F12" s="4">
        <f>SUM(I23:I43)/H12</f>
        <v>2549938.9090909092</v>
      </c>
      <c r="G12" s="14"/>
      <c r="H12" s="11">
        <f>COUNT(I23:I43)</f>
        <v>11</v>
      </c>
      <c r="I12" s="1" t="s">
        <v>31</v>
      </c>
      <c r="J12" s="4">
        <f>+F8*0.9</f>
        <v>1627693.2</v>
      </c>
      <c r="K12" s="1" t="s">
        <v>69</v>
      </c>
    </row>
    <row r="13" spans="1:16" x14ac:dyDescent="0.25">
      <c r="D13" s="2" t="s">
        <v>29</v>
      </c>
      <c r="F13" s="4">
        <f>MAX(I23:I43)-MIN(I23:I43)</f>
        <v>1690452</v>
      </c>
      <c r="G13" s="269">
        <f>MEDIAN(I23:I43)</f>
        <v>2579444</v>
      </c>
      <c r="H13" s="270"/>
      <c r="I13" s="1" t="s">
        <v>30</v>
      </c>
      <c r="J13" s="4">
        <f>+F12*1.1</f>
        <v>2804932.8000000003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1011</v>
      </c>
      <c r="E23" s="33"/>
      <c r="F23" t="s">
        <v>159</v>
      </c>
      <c r="G23" t="s">
        <v>93</v>
      </c>
      <c r="H23">
        <f>RANK(I23,I$23:I$43,1)</f>
        <v>2</v>
      </c>
      <c r="I23" s="4">
        <v>1922775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347</v>
      </c>
      <c r="E24" s="33"/>
      <c r="F24" t="s">
        <v>147</v>
      </c>
      <c r="G24" t="s">
        <v>93</v>
      </c>
      <c r="H24">
        <f t="shared" ref="H24:H31" si="0">RANK(I24,I$23:I$43,1)</f>
        <v>6</v>
      </c>
      <c r="I24" s="4">
        <v>2579444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676</v>
      </c>
      <c r="E25" s="33"/>
      <c r="F25" t="s">
        <v>85</v>
      </c>
      <c r="G25" t="s">
        <v>25</v>
      </c>
      <c r="H25">
        <f t="shared" si="0"/>
        <v>8</v>
      </c>
      <c r="I25" s="4">
        <v>2760325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665</v>
      </c>
      <c r="E26" s="33"/>
      <c r="F26" t="s">
        <v>413</v>
      </c>
      <c r="G26" t="s">
        <v>93</v>
      </c>
      <c r="H26">
        <f t="shared" si="0"/>
        <v>3</v>
      </c>
      <c r="I26" s="4">
        <v>1989970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681</v>
      </c>
      <c r="E27" s="33"/>
      <c r="F27" t="s">
        <v>199</v>
      </c>
      <c r="G27" t="s">
        <v>93</v>
      </c>
      <c r="H27">
        <f t="shared" si="0"/>
        <v>11</v>
      </c>
      <c r="I27" s="4">
        <v>3499000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502</v>
      </c>
      <c r="E28" s="33"/>
      <c r="F28" t="s">
        <v>95</v>
      </c>
      <c r="G28" t="s">
        <v>93</v>
      </c>
      <c r="H28">
        <f t="shared" si="0"/>
        <v>10</v>
      </c>
      <c r="I28" s="4">
        <v>2967000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>u</v>
      </c>
      <c r="D29" s="11" t="s">
        <v>1012</v>
      </c>
      <c r="E29" s="33"/>
      <c r="F29" t="s">
        <v>1013</v>
      </c>
      <c r="G29" t="s">
        <v>321</v>
      </c>
      <c r="H29">
        <f t="shared" si="0"/>
        <v>1</v>
      </c>
      <c r="I29" s="4">
        <v>1808548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 t="s">
        <v>703</v>
      </c>
      <c r="E30" s="33"/>
      <c r="F30" t="s">
        <v>413</v>
      </c>
      <c r="G30" t="s">
        <v>93</v>
      </c>
      <c r="H30">
        <f t="shared" si="0"/>
        <v>5</v>
      </c>
      <c r="I30" s="4">
        <v>2567500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 t="s">
        <v>679</v>
      </c>
      <c r="E31" s="33"/>
      <c r="F31" t="s">
        <v>193</v>
      </c>
      <c r="G31" t="s">
        <v>25</v>
      </c>
      <c r="H31">
        <f t="shared" si="0"/>
        <v>9</v>
      </c>
      <c r="I31" s="4">
        <v>2807000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 t="s">
        <v>491</v>
      </c>
      <c r="E32" s="33"/>
      <c r="F32" t="s">
        <v>203</v>
      </c>
      <c r="G32" t="s">
        <v>204</v>
      </c>
      <c r="H32">
        <f>RANK(I32,I$23:I$43,1)</f>
        <v>7</v>
      </c>
      <c r="I32" s="4">
        <v>2726402</v>
      </c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 t="s">
        <v>606</v>
      </c>
      <c r="E33" s="33"/>
      <c r="F33" t="s">
        <v>100</v>
      </c>
      <c r="G33" t="s">
        <v>93</v>
      </c>
      <c r="H33">
        <f>RANK(I33,I$23:I$43,1)</f>
        <v>4</v>
      </c>
      <c r="I33" s="4">
        <v>2421364</v>
      </c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ref="E34:E43" si="2">IF(H34=1,"t","")</f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713" priority="16" operator="containsText" text="FAIL">
      <formula>NOT(ISERROR(SEARCH("FAIL",I9)))</formula>
    </cfRule>
  </conditionalFormatting>
  <conditionalFormatting sqref="I9">
    <cfRule type="containsText" dxfId="1712" priority="15" operator="containsText" text="GOOD">
      <formula>NOT(ISERROR(SEARCH("GOOD",I9)))</formula>
    </cfRule>
  </conditionalFormatting>
  <conditionalFormatting sqref="F11">
    <cfRule type="containsText" dxfId="1711" priority="14" operator="containsText" text="FAIL">
      <formula>NOT(ISERROR(SEARCH("FAIL",F11)))</formula>
    </cfRule>
  </conditionalFormatting>
  <conditionalFormatting sqref="F11">
    <cfRule type="containsText" dxfId="1710" priority="13" operator="containsText" text="GOOD">
      <formula>NOT(ISERROR(SEARCH("GOOD",F11)))</formula>
    </cfRule>
  </conditionalFormatting>
  <conditionalFormatting sqref="D25">
    <cfRule type="expression" dxfId="1709" priority="12" stopIfTrue="1">
      <formula>IF($H$25=1,0)</formula>
    </cfRule>
  </conditionalFormatting>
  <conditionalFormatting sqref="D23 D29:D43 D25:D26">
    <cfRule type="expression" dxfId="1708" priority="11">
      <formula>H23=1</formula>
    </cfRule>
  </conditionalFormatting>
  <conditionalFormatting sqref="C23:C26 C29:C43">
    <cfRule type="expression" dxfId="1707" priority="10">
      <formula>H23=1</formula>
    </cfRule>
  </conditionalFormatting>
  <conditionalFormatting sqref="E23 E29:E43 E25:E26">
    <cfRule type="expression" dxfId="1706" priority="9">
      <formula>H23=1</formula>
    </cfRule>
  </conditionalFormatting>
  <conditionalFormatting sqref="F11">
    <cfRule type="containsText" dxfId="1705" priority="8" operator="containsText" text="FAIL">
      <formula>NOT(ISERROR(SEARCH("FAIL",F11)))</formula>
    </cfRule>
  </conditionalFormatting>
  <conditionalFormatting sqref="F11">
    <cfRule type="containsText" dxfId="1704" priority="7" operator="containsText" text="GOOD">
      <formula>NOT(ISERROR(SEARCH("GOOD",F11)))</formula>
    </cfRule>
  </conditionalFormatting>
  <conditionalFormatting sqref="D27:D28">
    <cfRule type="expression" dxfId="1703" priority="6">
      <formula>H27=1</formula>
    </cfRule>
  </conditionalFormatting>
  <conditionalFormatting sqref="C27:C28">
    <cfRule type="expression" dxfId="1702" priority="5">
      <formula>H27=1</formula>
    </cfRule>
  </conditionalFormatting>
  <conditionalFormatting sqref="E27:E28">
    <cfRule type="expression" dxfId="1701" priority="4">
      <formula>H27=1</formula>
    </cfRule>
  </conditionalFormatting>
  <conditionalFormatting sqref="D24">
    <cfRule type="expression" dxfId="1700" priority="3" stopIfTrue="1">
      <formula>IF($H$25=1,0)</formula>
    </cfRule>
  </conditionalFormatting>
  <conditionalFormatting sqref="D24">
    <cfRule type="expression" dxfId="1699" priority="2">
      <formula>H24=1</formula>
    </cfRule>
  </conditionalFormatting>
  <conditionalFormatting sqref="E24">
    <cfRule type="expression" dxfId="1698" priority="1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2:O56"/>
  <sheetViews>
    <sheetView zoomScaleNormal="100" workbookViewId="0">
      <selection activeCell="F6" sqref="F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1018</v>
      </c>
      <c r="I4" s="2" t="s">
        <v>4</v>
      </c>
      <c r="J4" t="s">
        <v>447</v>
      </c>
    </row>
    <row r="5" spans="1:11" x14ac:dyDescent="0.25">
      <c r="D5" s="2" t="s">
        <v>1</v>
      </c>
      <c r="F5" t="s">
        <v>1019</v>
      </c>
    </row>
    <row r="6" spans="1:11" x14ac:dyDescent="0.25">
      <c r="D6" s="2" t="s">
        <v>2</v>
      </c>
      <c r="F6" s="6">
        <v>42873</v>
      </c>
      <c r="H6" s="11"/>
    </row>
    <row r="7" spans="1:11" x14ac:dyDescent="0.25">
      <c r="D7" s="2" t="s">
        <v>3</v>
      </c>
      <c r="F7" s="5">
        <f>+I7+J7</f>
        <v>29400000</v>
      </c>
      <c r="G7" s="2" t="s">
        <v>756</v>
      </c>
      <c r="H7" s="11"/>
      <c r="I7" s="19">
        <v>3100000</v>
      </c>
      <c r="J7" s="19">
        <v>26300000</v>
      </c>
    </row>
    <row r="8" spans="1:11" x14ac:dyDescent="0.25">
      <c r="D8" s="2" t="s">
        <v>18</v>
      </c>
      <c r="F8" s="5">
        <f>MIN(K23:K43)</f>
        <v>40981000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11581000</v>
      </c>
      <c r="G9" s="16">
        <f>+F9/F7</f>
        <v>0.39391156462585036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-13799000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SUM(K23:K43)/H12</f>
        <v>43199000</v>
      </c>
      <c r="G12" s="14"/>
      <c r="H12" s="11">
        <f>COUNT(K23:K43)</f>
        <v>2</v>
      </c>
      <c r="I12" s="1" t="s">
        <v>31</v>
      </c>
      <c r="J12" s="4">
        <f>+F8*0.9</f>
        <v>36882900</v>
      </c>
      <c r="K12" s="1" t="s">
        <v>69</v>
      </c>
    </row>
    <row r="13" spans="1:11" x14ac:dyDescent="0.25">
      <c r="D13" s="2" t="s">
        <v>29</v>
      </c>
      <c r="F13" s="4">
        <f>MAX(K23:K43)-MIN(K23:K43)</f>
        <v>4436000</v>
      </c>
      <c r="G13" s="269">
        <f>MEDIAN(K23:K43)</f>
        <v>43199000</v>
      </c>
      <c r="H13" s="270"/>
      <c r="I13" s="1" t="s">
        <v>30</v>
      </c>
      <c r="J13" s="4">
        <f>+F12*1.1</f>
        <v>47518900.000000007</v>
      </c>
      <c r="K13" s="1" t="s">
        <v>70</v>
      </c>
    </row>
    <row r="14" spans="1:11" x14ac:dyDescent="0.25">
      <c r="H14" s="11"/>
    </row>
    <row r="15" spans="1:11" hidden="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hidden="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hidden="1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0.99661016949152548</v>
      </c>
    </row>
    <row r="18" spans="3:15" hidden="1" x14ac:dyDescent="0.25">
      <c r="F18" s="4">
        <f>+F7</f>
        <v>29400000</v>
      </c>
      <c r="G18" s="1" t="s">
        <v>12</v>
      </c>
      <c r="H18" s="11"/>
      <c r="I18" t="s">
        <v>16</v>
      </c>
      <c r="J18" s="7">
        <f>+F8/F18</f>
        <v>1.3939115646258504</v>
      </c>
    </row>
    <row r="19" spans="3:15" hidden="1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1.3660333333333334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502</v>
      </c>
      <c r="E23" s="33"/>
      <c r="F23" t="s">
        <v>95</v>
      </c>
      <c r="G23" t="s">
        <v>93</v>
      </c>
      <c r="H23">
        <f>RANK(K23,K$23:K$43,1)</f>
        <v>2</v>
      </c>
      <c r="I23" s="4">
        <v>1695000</v>
      </c>
      <c r="J23" s="4">
        <v>43722000</v>
      </c>
      <c r="K23" s="4">
        <f>+J23+I23</f>
        <v>45417000</v>
      </c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496</v>
      </c>
      <c r="E24" s="33"/>
      <c r="F24" t="s">
        <v>295</v>
      </c>
      <c r="G24" t="s">
        <v>25</v>
      </c>
      <c r="H24">
        <f>RANK(K24,K$23:K$43,1)</f>
        <v>1</v>
      </c>
      <c r="I24" s="4">
        <v>1385000</v>
      </c>
      <c r="J24" s="4">
        <v>39596000</v>
      </c>
      <c r="K24" s="4">
        <f>+J24+I24</f>
        <v>40981000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1697" priority="32" operator="containsText" text="FAIL">
      <formula>NOT(ISERROR(SEARCH("FAIL",I9)))</formula>
    </cfRule>
  </conditionalFormatting>
  <conditionalFormatting sqref="I9">
    <cfRule type="containsText" dxfId="1696" priority="31" operator="containsText" text="GOOD">
      <formula>NOT(ISERROR(SEARCH("GOOD",I9)))</formula>
    </cfRule>
  </conditionalFormatting>
  <conditionalFormatting sqref="I9">
    <cfRule type="containsText" dxfId="1695" priority="30" operator="containsText" text="FAIL">
      <formula>NOT(ISERROR(SEARCH("FAIL",I9)))</formula>
    </cfRule>
  </conditionalFormatting>
  <conditionalFormatting sqref="I9">
    <cfRule type="containsText" dxfId="1694" priority="29" operator="containsText" text="GOOD">
      <formula>NOT(ISERROR(SEARCH("GOOD",I9)))</formula>
    </cfRule>
  </conditionalFormatting>
  <conditionalFormatting sqref="I9">
    <cfRule type="containsText" dxfId="1693" priority="28" operator="containsText" text="FAIL">
      <formula>NOT(ISERROR(SEARCH("FAIL",I9)))</formula>
    </cfRule>
  </conditionalFormatting>
  <conditionalFormatting sqref="I9">
    <cfRule type="containsText" dxfId="1692" priority="27" operator="containsText" text="GOOD">
      <formula>NOT(ISERROR(SEARCH("GOOD",I9)))</formula>
    </cfRule>
  </conditionalFormatting>
  <conditionalFormatting sqref="F11">
    <cfRule type="containsText" dxfId="1691" priority="26" operator="containsText" text="FAIL">
      <formula>NOT(ISERROR(SEARCH("FAIL",F11)))</formula>
    </cfRule>
  </conditionalFormatting>
  <conditionalFormatting sqref="F11">
    <cfRule type="containsText" dxfId="1690" priority="25" operator="containsText" text="GOOD">
      <formula>NOT(ISERROR(SEARCH("GOOD",F11)))</formula>
    </cfRule>
  </conditionalFormatting>
  <conditionalFormatting sqref="I9">
    <cfRule type="containsText" dxfId="1689" priority="24" operator="containsText" text="FAIL">
      <formula>NOT(ISERROR(SEARCH("FAIL",I9)))</formula>
    </cfRule>
  </conditionalFormatting>
  <conditionalFormatting sqref="I9">
    <cfRule type="containsText" dxfId="1688" priority="23" operator="containsText" text="GOOD">
      <formula>NOT(ISERROR(SEARCH("GOOD",I9)))</formula>
    </cfRule>
  </conditionalFormatting>
  <conditionalFormatting sqref="F11">
    <cfRule type="containsText" dxfId="1687" priority="22" operator="containsText" text="FAIL">
      <formula>NOT(ISERROR(SEARCH("FAIL",F11)))</formula>
    </cfRule>
  </conditionalFormatting>
  <conditionalFormatting sqref="F11">
    <cfRule type="containsText" dxfId="1686" priority="21" operator="containsText" text="GOOD">
      <formula>NOT(ISERROR(SEARCH("GOOD",F11)))</formula>
    </cfRule>
  </conditionalFormatting>
  <conditionalFormatting sqref="D25">
    <cfRule type="expression" dxfId="1685" priority="20" stopIfTrue="1">
      <formula>IF($H$25=1,0)</formula>
    </cfRule>
  </conditionalFormatting>
  <conditionalFormatting sqref="D23 D39:D43 D25:D33">
    <cfRule type="expression" dxfId="1684" priority="19">
      <formula>H23=1</formula>
    </cfRule>
  </conditionalFormatting>
  <conditionalFormatting sqref="C23 C39:C43 C25:C33">
    <cfRule type="expression" dxfId="1683" priority="18">
      <formula>H23=1</formula>
    </cfRule>
  </conditionalFormatting>
  <conditionalFormatting sqref="E23 E39:E43 E25:E33">
    <cfRule type="expression" dxfId="1682" priority="17">
      <formula>H23=1</formula>
    </cfRule>
  </conditionalFormatting>
  <conditionalFormatting sqref="E23 E39:E43 E25:E33">
    <cfRule type="expression" dxfId="1681" priority="16">
      <formula>H23=1</formula>
    </cfRule>
  </conditionalFormatting>
  <conditionalFormatting sqref="F11">
    <cfRule type="containsText" dxfId="1680" priority="15" operator="containsText" text="FAIL">
      <formula>NOT(ISERROR(SEARCH("FAIL",F11)))</formula>
    </cfRule>
  </conditionalFormatting>
  <conditionalFormatting sqref="F11">
    <cfRule type="containsText" dxfId="1679" priority="14" operator="containsText" text="GOOD">
      <formula>NOT(ISERROR(SEARCH("GOOD",F11)))</formula>
    </cfRule>
  </conditionalFormatting>
  <conditionalFormatting sqref="D34:D37">
    <cfRule type="expression" dxfId="1678" priority="13">
      <formula>H34=1</formula>
    </cfRule>
  </conditionalFormatting>
  <conditionalFormatting sqref="C34:C37">
    <cfRule type="expression" dxfId="1677" priority="12">
      <formula>H34=1</formula>
    </cfRule>
  </conditionalFormatting>
  <conditionalFormatting sqref="E34:E37">
    <cfRule type="expression" dxfId="1676" priority="11">
      <formula>H34=1</formula>
    </cfRule>
  </conditionalFormatting>
  <conditionalFormatting sqref="E34:E37">
    <cfRule type="expression" dxfId="1675" priority="10">
      <formula>H34=1</formula>
    </cfRule>
  </conditionalFormatting>
  <conditionalFormatting sqref="D38">
    <cfRule type="expression" dxfId="1674" priority="9">
      <formula>H38=1</formula>
    </cfRule>
  </conditionalFormatting>
  <conditionalFormatting sqref="C38">
    <cfRule type="expression" dxfId="1673" priority="8">
      <formula>H38=1</formula>
    </cfRule>
  </conditionalFormatting>
  <conditionalFormatting sqref="E38">
    <cfRule type="expression" dxfId="1672" priority="7">
      <formula>H38=1</formula>
    </cfRule>
  </conditionalFormatting>
  <conditionalFormatting sqref="E38">
    <cfRule type="expression" dxfId="1671" priority="6">
      <formula>H38=1</formula>
    </cfRule>
  </conditionalFormatting>
  <conditionalFormatting sqref="E24">
    <cfRule type="expression" dxfId="1670" priority="1">
      <formula>H24=1</formula>
    </cfRule>
  </conditionalFormatting>
  <conditionalFormatting sqref="D24">
    <cfRule type="expression" dxfId="1669" priority="5" stopIfTrue="1">
      <formula>IF($H$25=1,0)</formula>
    </cfRule>
  </conditionalFormatting>
  <conditionalFormatting sqref="D24">
    <cfRule type="expression" dxfId="1668" priority="4">
      <formula>H24=1</formula>
    </cfRule>
  </conditionalFormatting>
  <conditionalFormatting sqref="C24">
    <cfRule type="expression" dxfId="1667" priority="3">
      <formula>H24=1</formula>
    </cfRule>
  </conditionalFormatting>
  <conditionalFormatting sqref="E24">
    <cfRule type="expression" dxfId="1666" priority="2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2:P47"/>
  <sheetViews>
    <sheetView zoomScaleNormal="100" workbookViewId="0">
      <selection activeCell="J33" sqref="J3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6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6" ht="18.75" x14ac:dyDescent="0.3">
      <c r="C3" s="3" t="s">
        <v>26</v>
      </c>
      <c r="J3" s="8" t="s">
        <v>17</v>
      </c>
      <c r="P3" s="100"/>
    </row>
    <row r="4" spans="1:16" x14ac:dyDescent="0.25">
      <c r="D4" s="2" t="s">
        <v>0</v>
      </c>
      <c r="E4" s="1"/>
      <c r="F4" t="s">
        <v>1001</v>
      </c>
      <c r="I4" s="2" t="s">
        <v>4</v>
      </c>
      <c r="J4" t="s">
        <v>816</v>
      </c>
    </row>
    <row r="5" spans="1:16" x14ac:dyDescent="0.25">
      <c r="D5" s="2" t="s">
        <v>1</v>
      </c>
      <c r="F5" t="s">
        <v>1008</v>
      </c>
    </row>
    <row r="6" spans="1:16" x14ac:dyDescent="0.25">
      <c r="D6" s="2" t="s">
        <v>2</v>
      </c>
      <c r="F6" s="6">
        <v>42872</v>
      </c>
      <c r="H6" s="11"/>
    </row>
    <row r="7" spans="1:16" x14ac:dyDescent="0.25">
      <c r="D7" s="2" t="s">
        <v>3</v>
      </c>
      <c r="F7" s="5">
        <v>5000000</v>
      </c>
      <c r="G7" s="2" t="s">
        <v>34</v>
      </c>
      <c r="H7" s="11"/>
    </row>
    <row r="8" spans="1:16" x14ac:dyDescent="0.25">
      <c r="D8" s="2" t="s">
        <v>18</v>
      </c>
      <c r="F8" s="5">
        <f>MIN(I23:I43)</f>
        <v>5210665</v>
      </c>
      <c r="H8" s="11"/>
    </row>
    <row r="9" spans="1:16" x14ac:dyDescent="0.25">
      <c r="D9" s="2" t="s">
        <v>67</v>
      </c>
      <c r="F9" s="4">
        <f>+F8-F7</f>
        <v>210665</v>
      </c>
      <c r="G9" s="16">
        <f>+F9/F7</f>
        <v>4.2132999999999997E-2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6" x14ac:dyDescent="0.25">
      <c r="D10" s="2" t="s">
        <v>68</v>
      </c>
      <c r="F10" s="4">
        <f>+F7-F12</f>
        <v>-2226667.222222222</v>
      </c>
      <c r="H10" s="11"/>
    </row>
    <row r="11" spans="1:16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6" x14ac:dyDescent="0.25">
      <c r="D12" s="2" t="s">
        <v>28</v>
      </c>
      <c r="F12" s="4">
        <f>SUM(I23:I43)/H12</f>
        <v>7226667.222222222</v>
      </c>
      <c r="G12" s="14"/>
      <c r="H12" s="11">
        <f>COUNT(I23:I43)</f>
        <v>9</v>
      </c>
      <c r="I12" s="1" t="s">
        <v>31</v>
      </c>
      <c r="J12" s="4">
        <f>+F8*0.9</f>
        <v>4689598.5</v>
      </c>
      <c r="K12" s="1" t="s">
        <v>69</v>
      </c>
    </row>
    <row r="13" spans="1:16" x14ac:dyDescent="0.25">
      <c r="D13" s="2" t="s">
        <v>29</v>
      </c>
      <c r="F13" s="4">
        <f>MAX(I23:I43)-MIN(I23:I43)</f>
        <v>3828960</v>
      </c>
      <c r="G13" s="269">
        <f>MEDIAN(I23:I43)</f>
        <v>6895120</v>
      </c>
      <c r="H13" s="270"/>
      <c r="I13" s="1" t="s">
        <v>30</v>
      </c>
      <c r="J13" s="4">
        <f>+F12*1.1</f>
        <v>7949333.944444445</v>
      </c>
      <c r="K13" s="1" t="s">
        <v>70</v>
      </c>
    </row>
    <row r="14" spans="1:16" x14ac:dyDescent="0.25">
      <c r="H14" s="11"/>
    </row>
    <row r="15" spans="1:16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6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1002</v>
      </c>
      <c r="E23" s="33"/>
      <c r="H23">
        <f>RANK(I23,I$23:I$43,1)</f>
        <v>3</v>
      </c>
      <c r="I23" s="4">
        <v>6418925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657</v>
      </c>
      <c r="E24" s="33"/>
      <c r="H24">
        <f>RANK(I24,I$23:I$43,1)</f>
        <v>4</v>
      </c>
      <c r="I24" s="4">
        <v>6678910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1003</v>
      </c>
      <c r="E25" s="33"/>
      <c r="H25">
        <f t="shared" ref="H25:H31" si="0">RANK(I25,I$23:I$43,1)</f>
        <v>5</v>
      </c>
      <c r="I25" s="4">
        <v>6895120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626</v>
      </c>
      <c r="E26" s="33"/>
      <c r="F26" t="s">
        <v>308</v>
      </c>
      <c r="G26" t="s">
        <v>25</v>
      </c>
      <c r="H26">
        <f t="shared" si="0"/>
        <v>8</v>
      </c>
      <c r="I26" s="4">
        <v>8601310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 t="s">
        <v>653</v>
      </c>
      <c r="E27" s="33"/>
      <c r="H27">
        <f t="shared" si="0"/>
        <v>1</v>
      </c>
      <c r="I27" s="4">
        <v>5210665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 t="s">
        <v>1004</v>
      </c>
      <c r="E28" s="33"/>
      <c r="H28">
        <f t="shared" si="0"/>
        <v>7</v>
      </c>
      <c r="I28" s="4">
        <v>8095030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1">IF(H29=1,"u","")</f>
        <v/>
      </c>
      <c r="D29" s="11" t="s">
        <v>1005</v>
      </c>
      <c r="E29" s="33"/>
      <c r="H29">
        <f t="shared" si="0"/>
        <v>2</v>
      </c>
      <c r="I29" s="4">
        <v>6078068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 t="s">
        <v>1006</v>
      </c>
      <c r="E30" s="33"/>
      <c r="H30">
        <f t="shared" si="0"/>
        <v>6</v>
      </c>
      <c r="I30" s="4">
        <v>8022352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 t="s">
        <v>1007</v>
      </c>
      <c r="E31" s="33"/>
      <c r="H31">
        <f t="shared" si="0"/>
        <v>9</v>
      </c>
      <c r="I31" s="4">
        <v>9039625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ref="E34:E43" si="2">IF(H34=1,"t","")</f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665" priority="16" operator="containsText" text="FAIL">
      <formula>NOT(ISERROR(SEARCH("FAIL",I9)))</formula>
    </cfRule>
  </conditionalFormatting>
  <conditionalFormatting sqref="I9">
    <cfRule type="containsText" dxfId="1664" priority="15" operator="containsText" text="GOOD">
      <formula>NOT(ISERROR(SEARCH("GOOD",I9)))</formula>
    </cfRule>
  </conditionalFormatting>
  <conditionalFormatting sqref="F11">
    <cfRule type="containsText" dxfId="1663" priority="14" operator="containsText" text="FAIL">
      <formula>NOT(ISERROR(SEARCH("FAIL",F11)))</formula>
    </cfRule>
  </conditionalFormatting>
  <conditionalFormatting sqref="F11">
    <cfRule type="containsText" dxfId="1662" priority="13" operator="containsText" text="GOOD">
      <formula>NOT(ISERROR(SEARCH("GOOD",F11)))</formula>
    </cfRule>
  </conditionalFormatting>
  <conditionalFormatting sqref="D25">
    <cfRule type="expression" dxfId="1661" priority="12" stopIfTrue="1">
      <formula>IF($H$25=1,0)</formula>
    </cfRule>
  </conditionalFormatting>
  <conditionalFormatting sqref="D23 D29:D43 D25:D26">
    <cfRule type="expression" dxfId="1660" priority="11">
      <formula>H23=1</formula>
    </cfRule>
  </conditionalFormatting>
  <conditionalFormatting sqref="C23:C26 C29:C43">
    <cfRule type="expression" dxfId="1659" priority="10">
      <formula>H23=1</formula>
    </cfRule>
  </conditionalFormatting>
  <conditionalFormatting sqref="E23 E29:E43 E25:E26">
    <cfRule type="expression" dxfId="1658" priority="9">
      <formula>H23=1</formula>
    </cfRule>
  </conditionalFormatting>
  <conditionalFormatting sqref="F11">
    <cfRule type="containsText" dxfId="1657" priority="8" operator="containsText" text="FAIL">
      <formula>NOT(ISERROR(SEARCH("FAIL",F11)))</formula>
    </cfRule>
  </conditionalFormatting>
  <conditionalFormatting sqref="F11">
    <cfRule type="containsText" dxfId="1656" priority="7" operator="containsText" text="GOOD">
      <formula>NOT(ISERROR(SEARCH("GOOD",F11)))</formula>
    </cfRule>
  </conditionalFormatting>
  <conditionalFormatting sqref="D27:D28">
    <cfRule type="expression" dxfId="1655" priority="6">
      <formula>H27=1</formula>
    </cfRule>
  </conditionalFormatting>
  <conditionalFormatting sqref="C27:C28">
    <cfRule type="expression" dxfId="1654" priority="5">
      <formula>H27=1</formula>
    </cfRule>
  </conditionalFormatting>
  <conditionalFormatting sqref="E27:E28">
    <cfRule type="expression" dxfId="1653" priority="4">
      <formula>H27=1</formula>
    </cfRule>
  </conditionalFormatting>
  <conditionalFormatting sqref="D24">
    <cfRule type="expression" dxfId="1652" priority="3" stopIfTrue="1">
      <formula>IF($H$25=1,0)</formula>
    </cfRule>
  </conditionalFormatting>
  <conditionalFormatting sqref="D24">
    <cfRule type="expression" dxfId="1651" priority="2">
      <formula>H24=1</formula>
    </cfRule>
  </conditionalFormatting>
  <conditionalFormatting sqref="E24">
    <cfRule type="expression" dxfId="1650" priority="1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2:O47"/>
  <sheetViews>
    <sheetView zoomScaleNormal="100" workbookViewId="0">
      <selection activeCell="G8" sqref="G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999</v>
      </c>
      <c r="I4" s="2" t="s">
        <v>4</v>
      </c>
      <c r="J4" t="s">
        <v>816</v>
      </c>
    </row>
    <row r="5" spans="1:11" x14ac:dyDescent="0.25">
      <c r="D5" s="2" t="s">
        <v>1</v>
      </c>
      <c r="F5" t="s">
        <v>1000</v>
      </c>
    </row>
    <row r="6" spans="1:11" x14ac:dyDescent="0.25">
      <c r="D6" s="2" t="s">
        <v>2</v>
      </c>
      <c r="F6" s="6">
        <v>42871</v>
      </c>
      <c r="H6" s="11"/>
    </row>
    <row r="7" spans="1:11" x14ac:dyDescent="0.25">
      <c r="D7" s="2" t="s">
        <v>3</v>
      </c>
      <c r="F7" s="5">
        <v>9000000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10805265</v>
      </c>
      <c r="H8" s="11"/>
    </row>
    <row r="9" spans="1:11" x14ac:dyDescent="0.25">
      <c r="D9" s="2" t="s">
        <v>67</v>
      </c>
      <c r="F9" s="4">
        <f>+F8-F7</f>
        <v>1805265</v>
      </c>
      <c r="G9" s="16">
        <f>+F9/F7</f>
        <v>0.20058500000000001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-4051670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13051670</v>
      </c>
      <c r="G12" s="14"/>
      <c r="H12" s="11">
        <f>COUNT(I23:I43)</f>
        <v>2</v>
      </c>
      <c r="I12" s="1" t="s">
        <v>31</v>
      </c>
      <c r="J12" s="4">
        <f>+F8*0.9</f>
        <v>9724738.5</v>
      </c>
      <c r="K12" s="1" t="s">
        <v>69</v>
      </c>
    </row>
    <row r="13" spans="1:11" x14ac:dyDescent="0.25">
      <c r="D13" s="2" t="s">
        <v>29</v>
      </c>
      <c r="F13" s="4">
        <f>MAX(I23:I43)-MIN(I23:I43)</f>
        <v>4492810</v>
      </c>
      <c r="G13" s="269">
        <f>MEDIAN(I23:I43)</f>
        <v>13051670</v>
      </c>
      <c r="H13" s="270"/>
      <c r="I13" s="1" t="s">
        <v>30</v>
      </c>
      <c r="J13" s="4">
        <f>+F12*1.1</f>
        <v>14356837.000000002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626</v>
      </c>
      <c r="E23" s="33"/>
      <c r="F23" t="s">
        <v>308</v>
      </c>
      <c r="G23" t="s">
        <v>25</v>
      </c>
      <c r="H23">
        <f>RANK(I23,I$23:I$43,1)</f>
        <v>1</v>
      </c>
      <c r="I23" s="4">
        <v>10805265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997</v>
      </c>
      <c r="E24" s="33"/>
      <c r="F24" t="s">
        <v>998</v>
      </c>
      <c r="G24" t="s">
        <v>25</v>
      </c>
      <c r="H24">
        <f>RANK(I24,I$23:I$43,1)</f>
        <v>2</v>
      </c>
      <c r="I24" s="4">
        <v>15298075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649" priority="16" operator="containsText" text="FAIL">
      <formula>NOT(ISERROR(SEARCH("FAIL",I9)))</formula>
    </cfRule>
  </conditionalFormatting>
  <conditionalFormatting sqref="I9">
    <cfRule type="containsText" dxfId="1648" priority="15" operator="containsText" text="GOOD">
      <formula>NOT(ISERROR(SEARCH("GOOD",I9)))</formula>
    </cfRule>
  </conditionalFormatting>
  <conditionalFormatting sqref="F11">
    <cfRule type="containsText" dxfId="1647" priority="14" operator="containsText" text="FAIL">
      <formula>NOT(ISERROR(SEARCH("FAIL",F11)))</formula>
    </cfRule>
  </conditionalFormatting>
  <conditionalFormatting sqref="F11">
    <cfRule type="containsText" dxfId="1646" priority="13" operator="containsText" text="GOOD">
      <formula>NOT(ISERROR(SEARCH("GOOD",F11)))</formula>
    </cfRule>
  </conditionalFormatting>
  <conditionalFormatting sqref="D25">
    <cfRule type="expression" dxfId="1645" priority="12" stopIfTrue="1">
      <formula>IF($H$25=1,0)</formula>
    </cfRule>
  </conditionalFormatting>
  <conditionalFormatting sqref="D23 D29:D43 D25:D26">
    <cfRule type="expression" dxfId="1644" priority="11">
      <formula>H23=1</formula>
    </cfRule>
  </conditionalFormatting>
  <conditionalFormatting sqref="C23:C26 C29:C43">
    <cfRule type="expression" dxfId="1643" priority="10">
      <formula>H23=1</formula>
    </cfRule>
  </conditionalFormatting>
  <conditionalFormatting sqref="E23 E29:E43 E25:E26">
    <cfRule type="expression" dxfId="1642" priority="9">
      <formula>H23=1</formula>
    </cfRule>
  </conditionalFormatting>
  <conditionalFormatting sqref="F11">
    <cfRule type="containsText" dxfId="1641" priority="8" operator="containsText" text="FAIL">
      <formula>NOT(ISERROR(SEARCH("FAIL",F11)))</formula>
    </cfRule>
  </conditionalFormatting>
  <conditionalFormatting sqref="F11">
    <cfRule type="containsText" dxfId="1640" priority="7" operator="containsText" text="GOOD">
      <formula>NOT(ISERROR(SEARCH("GOOD",F11)))</formula>
    </cfRule>
  </conditionalFormatting>
  <conditionalFormatting sqref="D27:D28">
    <cfRule type="expression" dxfId="1639" priority="6">
      <formula>H27=1</formula>
    </cfRule>
  </conditionalFormatting>
  <conditionalFormatting sqref="C27:C28">
    <cfRule type="expression" dxfId="1638" priority="5">
      <formula>H27=1</formula>
    </cfRule>
  </conditionalFormatting>
  <conditionalFormatting sqref="E27:E28">
    <cfRule type="expression" dxfId="1637" priority="4">
      <formula>H27=1</formula>
    </cfRule>
  </conditionalFormatting>
  <conditionalFormatting sqref="D24">
    <cfRule type="expression" dxfId="1636" priority="3" stopIfTrue="1">
      <formula>IF($H$25=1,0)</formula>
    </cfRule>
  </conditionalFormatting>
  <conditionalFormatting sqref="D24">
    <cfRule type="expression" dxfId="1635" priority="2">
      <formula>H24=1</formula>
    </cfRule>
  </conditionalFormatting>
  <conditionalFormatting sqref="E24">
    <cfRule type="expression" dxfId="1634" priority="1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2:O47"/>
  <sheetViews>
    <sheetView zoomScaleNormal="100" workbookViewId="0">
      <selection activeCell="M3" sqref="M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995</v>
      </c>
      <c r="I4" s="2" t="s">
        <v>4</v>
      </c>
      <c r="J4" t="s">
        <v>447</v>
      </c>
    </row>
    <row r="5" spans="1:11" x14ac:dyDescent="0.25">
      <c r="D5" s="2" t="s">
        <v>1</v>
      </c>
      <c r="F5" t="s">
        <v>632</v>
      </c>
    </row>
    <row r="6" spans="1:11" x14ac:dyDescent="0.25">
      <c r="D6" s="2" t="s">
        <v>2</v>
      </c>
      <c r="F6" s="6">
        <v>42851</v>
      </c>
      <c r="H6" s="11"/>
    </row>
    <row r="7" spans="1:11" x14ac:dyDescent="0.25">
      <c r="D7" s="2" t="s">
        <v>3</v>
      </c>
      <c r="F7" s="5">
        <v>3589000</v>
      </c>
      <c r="G7" s="2" t="s">
        <v>190</v>
      </c>
      <c r="H7" s="11"/>
    </row>
    <row r="8" spans="1:11" x14ac:dyDescent="0.25">
      <c r="D8" s="2" t="s">
        <v>18</v>
      </c>
      <c r="F8" s="5">
        <f>MIN(I23:I43)</f>
        <v>3875045</v>
      </c>
      <c r="H8" s="11"/>
    </row>
    <row r="9" spans="1:11" x14ac:dyDescent="0.25">
      <c r="D9" s="2" t="s">
        <v>67</v>
      </c>
      <c r="F9" s="4">
        <f>+F8-F7</f>
        <v>286045</v>
      </c>
      <c r="G9" s="16">
        <f>+F9/F7</f>
        <v>7.9700473669545829E-2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-548147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4137147</v>
      </c>
      <c r="G12" s="14"/>
      <c r="H12" s="11">
        <f>COUNT(I23:I43)</f>
        <v>3</v>
      </c>
      <c r="I12" s="1" t="s">
        <v>31</v>
      </c>
      <c r="J12" s="4">
        <f>+F8*0.9</f>
        <v>3487540.5</v>
      </c>
      <c r="K12" s="1" t="s">
        <v>69</v>
      </c>
    </row>
    <row r="13" spans="1:11" x14ac:dyDescent="0.25">
      <c r="D13" s="2" t="s">
        <v>29</v>
      </c>
      <c r="F13" s="4">
        <f>MAX(I23:I43)-MIN(I23:I43)</f>
        <v>570551</v>
      </c>
      <c r="G13" s="269">
        <f>MEDIAN(I23:I43)</f>
        <v>4090800</v>
      </c>
      <c r="H13" s="270"/>
      <c r="I13" s="1" t="s">
        <v>30</v>
      </c>
      <c r="J13" s="4">
        <f>+F12*1.1</f>
        <v>4550861.7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626</v>
      </c>
      <c r="E23" s="33"/>
      <c r="F23" t="s">
        <v>308</v>
      </c>
      <c r="G23" t="s">
        <v>25</v>
      </c>
      <c r="H23">
        <f>RANK(I23,I$23:I$43,1)</f>
        <v>2</v>
      </c>
      <c r="I23" s="4">
        <v>4090800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996</v>
      </c>
      <c r="E24" s="33"/>
      <c r="F24" t="s">
        <v>381</v>
      </c>
      <c r="G24" t="s">
        <v>93</v>
      </c>
      <c r="H24">
        <f>RANK(I24,I$23:I$43,1)</f>
        <v>1</v>
      </c>
      <c r="I24" s="4">
        <v>3875045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997</v>
      </c>
      <c r="E25" s="33"/>
      <c r="F25" t="s">
        <v>998</v>
      </c>
      <c r="G25" t="s">
        <v>25</v>
      </c>
      <c r="H25">
        <f>RANK(I25,I$23:I$43,1)</f>
        <v>3</v>
      </c>
      <c r="I25" s="4">
        <v>4445596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ref="C29:C43" si="0">IF(H29=1,"u","")</f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633" priority="13" operator="containsText" text="FAIL">
      <formula>NOT(ISERROR(SEARCH("FAIL",I9)))</formula>
    </cfRule>
  </conditionalFormatting>
  <conditionalFormatting sqref="I9">
    <cfRule type="containsText" dxfId="1632" priority="12" operator="containsText" text="GOOD">
      <formula>NOT(ISERROR(SEARCH("GOOD",I9)))</formula>
    </cfRule>
  </conditionalFormatting>
  <conditionalFormatting sqref="F11">
    <cfRule type="containsText" dxfId="1631" priority="11" operator="containsText" text="FAIL">
      <formula>NOT(ISERROR(SEARCH("FAIL",F11)))</formula>
    </cfRule>
  </conditionalFormatting>
  <conditionalFormatting sqref="F11">
    <cfRule type="containsText" dxfId="1630" priority="10" operator="containsText" text="GOOD">
      <formula>NOT(ISERROR(SEARCH("GOOD",F11)))</formula>
    </cfRule>
  </conditionalFormatting>
  <conditionalFormatting sqref="D25">
    <cfRule type="expression" dxfId="1629" priority="9" stopIfTrue="1">
      <formula>IF($H$25=1,0)</formula>
    </cfRule>
  </conditionalFormatting>
  <conditionalFormatting sqref="D23:D26 D29:D43">
    <cfRule type="expression" dxfId="1628" priority="8">
      <formula>H23=1</formula>
    </cfRule>
  </conditionalFormatting>
  <conditionalFormatting sqref="C23:C26 C29:C43">
    <cfRule type="expression" dxfId="1627" priority="7">
      <formula>H23=1</formula>
    </cfRule>
  </conditionalFormatting>
  <conditionalFormatting sqref="E23:E26 E29:E43">
    <cfRule type="expression" dxfId="1626" priority="6">
      <formula>H23=1</formula>
    </cfRule>
  </conditionalFormatting>
  <conditionalFormatting sqref="F11">
    <cfRule type="containsText" dxfId="1625" priority="5" operator="containsText" text="FAIL">
      <formula>NOT(ISERROR(SEARCH("FAIL",F11)))</formula>
    </cfRule>
  </conditionalFormatting>
  <conditionalFormatting sqref="F11">
    <cfRule type="containsText" dxfId="1624" priority="4" operator="containsText" text="GOOD">
      <formula>NOT(ISERROR(SEARCH("GOOD",F11)))</formula>
    </cfRule>
  </conditionalFormatting>
  <conditionalFormatting sqref="D27:D28">
    <cfRule type="expression" dxfId="1623" priority="3">
      <formula>H27=1</formula>
    </cfRule>
  </conditionalFormatting>
  <conditionalFormatting sqref="C27:C28">
    <cfRule type="expression" dxfId="1622" priority="2">
      <formula>H27=1</formula>
    </cfRule>
  </conditionalFormatting>
  <conditionalFormatting sqref="E27:E28">
    <cfRule type="expression" dxfId="1621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2:O47"/>
  <sheetViews>
    <sheetView zoomScaleNormal="100" workbookViewId="0">
      <selection activeCell="G8" sqref="G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991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992</v>
      </c>
    </row>
    <row r="6" spans="1:11" x14ac:dyDescent="0.25">
      <c r="D6" s="2" t="s">
        <v>2</v>
      </c>
      <c r="F6" s="6">
        <v>42846</v>
      </c>
      <c r="H6" s="11"/>
    </row>
    <row r="7" spans="1:11" x14ac:dyDescent="0.25">
      <c r="D7" s="2" t="s">
        <v>3</v>
      </c>
      <c r="F7" s="5">
        <v>2060000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2614625</v>
      </c>
      <c r="H8" s="11"/>
    </row>
    <row r="9" spans="1:11" x14ac:dyDescent="0.25">
      <c r="D9" s="2" t="s">
        <v>67</v>
      </c>
      <c r="F9" s="4">
        <f>+F8-F7</f>
        <v>554625</v>
      </c>
      <c r="G9" s="16">
        <f>+F9/F7</f>
        <v>0.26923543689320389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-1580145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3640145</v>
      </c>
      <c r="G12" s="14"/>
      <c r="H12" s="11">
        <f>COUNT(I23:I43)</f>
        <v>5</v>
      </c>
      <c r="I12" s="1" t="s">
        <v>31</v>
      </c>
      <c r="J12" s="4">
        <f>+F8*0.9</f>
        <v>2353162.5</v>
      </c>
      <c r="K12" s="1" t="s">
        <v>69</v>
      </c>
    </row>
    <row r="13" spans="1:11" x14ac:dyDescent="0.25">
      <c r="D13" s="2" t="s">
        <v>29</v>
      </c>
      <c r="F13" s="4">
        <f>MAX(I23:I43)-MIN(I23:I43)</f>
        <v>2472425</v>
      </c>
      <c r="G13" s="269">
        <f>MEDIAN(I23:I43)</f>
        <v>2872650</v>
      </c>
      <c r="H13" s="270"/>
      <c r="I13" s="1" t="s">
        <v>30</v>
      </c>
      <c r="J13" s="4">
        <f>+F12*1.1</f>
        <v>4004159.5000000005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542</v>
      </c>
      <c r="E23" s="33"/>
      <c r="F23" t="s">
        <v>161</v>
      </c>
      <c r="G23" t="s">
        <v>93</v>
      </c>
      <c r="H23">
        <f>RANK(I23,I$23:I$43,1)</f>
        <v>4</v>
      </c>
      <c r="I23" s="4">
        <v>4779000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676</v>
      </c>
      <c r="E24" s="33"/>
      <c r="F24" t="s">
        <v>85</v>
      </c>
      <c r="G24" t="s">
        <v>25</v>
      </c>
      <c r="H24">
        <f>RANK(I24,I$23:I$43,1)</f>
        <v>5</v>
      </c>
      <c r="I24" s="4">
        <v>5087050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993</v>
      </c>
      <c r="E25" s="33"/>
      <c r="F25" t="s">
        <v>131</v>
      </c>
      <c r="G25" t="s">
        <v>25</v>
      </c>
      <c r="H25">
        <f>RANK(I25,I$23:I$43,1)</f>
        <v>2</v>
      </c>
      <c r="I25" s="4">
        <v>2847400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 t="s">
        <v>522</v>
      </c>
      <c r="E26" s="33"/>
      <c r="F26" t="s">
        <v>100</v>
      </c>
      <c r="G26" t="s">
        <v>93</v>
      </c>
      <c r="H26">
        <f>RANK(I26,I$23:I$43,1)</f>
        <v>3</v>
      </c>
      <c r="I26" s="4">
        <v>2872650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>u</v>
      </c>
      <c r="D27" s="11" t="s">
        <v>824</v>
      </c>
      <c r="E27" s="33"/>
      <c r="F27" t="s">
        <v>186</v>
      </c>
      <c r="G27" t="s">
        <v>25</v>
      </c>
      <c r="H27">
        <f>RANK(I27,I$23:I$43,1)</f>
        <v>1</v>
      </c>
      <c r="I27" s="4">
        <v>2614625</v>
      </c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620" priority="13" operator="containsText" text="FAIL">
      <formula>NOT(ISERROR(SEARCH("FAIL",I9)))</formula>
    </cfRule>
  </conditionalFormatting>
  <conditionalFormatting sqref="I9">
    <cfRule type="containsText" dxfId="1619" priority="12" operator="containsText" text="GOOD">
      <formula>NOT(ISERROR(SEARCH("GOOD",I9)))</formula>
    </cfRule>
  </conditionalFormatting>
  <conditionalFormatting sqref="F11">
    <cfRule type="containsText" dxfId="1618" priority="11" operator="containsText" text="FAIL">
      <formula>NOT(ISERROR(SEARCH("FAIL",F11)))</formula>
    </cfRule>
  </conditionalFormatting>
  <conditionalFormatting sqref="F11">
    <cfRule type="containsText" dxfId="1617" priority="10" operator="containsText" text="GOOD">
      <formula>NOT(ISERROR(SEARCH("GOOD",F11)))</formula>
    </cfRule>
  </conditionalFormatting>
  <conditionalFormatting sqref="D25">
    <cfRule type="expression" dxfId="1616" priority="9" stopIfTrue="1">
      <formula>IF($H$25=1,0)</formula>
    </cfRule>
  </conditionalFormatting>
  <conditionalFormatting sqref="D23:D26 D29:D43">
    <cfRule type="expression" dxfId="1615" priority="8">
      <formula>H23=1</formula>
    </cfRule>
  </conditionalFormatting>
  <conditionalFormatting sqref="C23:C26 C29:C43">
    <cfRule type="expression" dxfId="1614" priority="7">
      <formula>H23=1</formula>
    </cfRule>
  </conditionalFormatting>
  <conditionalFormatting sqref="E23:E26 E29:E43">
    <cfRule type="expression" dxfId="1613" priority="6">
      <formula>H23=1</formula>
    </cfRule>
  </conditionalFormatting>
  <conditionalFormatting sqref="F11">
    <cfRule type="containsText" dxfId="1612" priority="5" operator="containsText" text="FAIL">
      <formula>NOT(ISERROR(SEARCH("FAIL",F11)))</formula>
    </cfRule>
  </conditionalFormatting>
  <conditionalFormatting sqref="F11">
    <cfRule type="containsText" dxfId="1611" priority="4" operator="containsText" text="GOOD">
      <formula>NOT(ISERROR(SEARCH("GOOD",F11)))</formula>
    </cfRule>
  </conditionalFormatting>
  <conditionalFormatting sqref="D27:D28">
    <cfRule type="expression" dxfId="1610" priority="3">
      <formula>H27=1</formula>
    </cfRule>
  </conditionalFormatting>
  <conditionalFormatting sqref="C27:C28">
    <cfRule type="expression" dxfId="1609" priority="2">
      <formula>H27=1</formula>
    </cfRule>
  </conditionalFormatting>
  <conditionalFormatting sqref="E27:E28">
    <cfRule type="expression" dxfId="1608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2:O47"/>
  <sheetViews>
    <sheetView zoomScaleNormal="100" workbookViewId="0">
      <selection activeCell="I29" sqref="I2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989</v>
      </c>
      <c r="I4" s="2" t="s">
        <v>4</v>
      </c>
      <c r="J4" t="s">
        <v>816</v>
      </c>
    </row>
    <row r="5" spans="1:11" x14ac:dyDescent="0.25">
      <c r="D5" s="2" t="s">
        <v>1</v>
      </c>
      <c r="F5" t="s">
        <v>879</v>
      </c>
    </row>
    <row r="6" spans="1:11" x14ac:dyDescent="0.25">
      <c r="D6" s="2" t="s">
        <v>2</v>
      </c>
      <c r="F6" s="6">
        <v>42845</v>
      </c>
      <c r="H6" s="11"/>
    </row>
    <row r="7" spans="1:11" x14ac:dyDescent="0.25">
      <c r="D7" s="2" t="s">
        <v>3</v>
      </c>
      <c r="F7" s="5">
        <v>2625000</v>
      </c>
      <c r="G7" s="2" t="s">
        <v>693</v>
      </c>
      <c r="H7" s="11"/>
    </row>
    <row r="8" spans="1:11" x14ac:dyDescent="0.25">
      <c r="D8" s="2" t="s">
        <v>18</v>
      </c>
      <c r="F8" s="5">
        <f>MIN(I23:I43)</f>
        <v>2472675</v>
      </c>
      <c r="H8" s="11"/>
    </row>
    <row r="9" spans="1:11" x14ac:dyDescent="0.25">
      <c r="D9" s="2" t="s">
        <v>67</v>
      </c>
      <c r="F9" s="4">
        <f>+F8-F7</f>
        <v>-152325</v>
      </c>
      <c r="G9" s="16">
        <f>+F9/F7</f>
        <v>-5.8028571428571429E-2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1" x14ac:dyDescent="0.25">
      <c r="D10" s="2" t="s">
        <v>68</v>
      </c>
      <c r="F10" s="4">
        <f>+F7-F12</f>
        <v>-100976.16666666651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2725976.1666666665</v>
      </c>
      <c r="G12" s="14"/>
      <c r="H12" s="11">
        <f>COUNT(I23:I43)</f>
        <v>6</v>
      </c>
      <c r="I12" s="1" t="s">
        <v>31</v>
      </c>
      <c r="J12" s="4">
        <f>+F8*0.9</f>
        <v>2225407.5</v>
      </c>
      <c r="K12" s="1" t="s">
        <v>69</v>
      </c>
    </row>
    <row r="13" spans="1:11" x14ac:dyDescent="0.25">
      <c r="D13" s="2" t="s">
        <v>29</v>
      </c>
      <c r="F13" s="4">
        <f>MAX(I23:I43)-MIN(I23:I43)</f>
        <v>1016025</v>
      </c>
      <c r="G13" s="269">
        <f>MEDIAN(I23:I43)</f>
        <v>2595760.5</v>
      </c>
      <c r="H13" s="270"/>
      <c r="I13" s="1" t="s">
        <v>30</v>
      </c>
      <c r="J13" s="4">
        <f>+F12*1.1</f>
        <v>2998573.7833333332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470</v>
      </c>
      <c r="E23" s="33"/>
      <c r="F23" t="s">
        <v>113</v>
      </c>
      <c r="G23" t="s">
        <v>25</v>
      </c>
      <c r="H23">
        <f t="shared" ref="H23:H28" si="0">RANK(I23,I$23:I$43,1)</f>
        <v>1</v>
      </c>
      <c r="I23" s="4">
        <v>2472675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676</v>
      </c>
      <c r="E24" s="33"/>
      <c r="F24" t="s">
        <v>85</v>
      </c>
      <c r="G24" t="s">
        <v>25</v>
      </c>
      <c r="H24">
        <f t="shared" si="0"/>
        <v>6</v>
      </c>
      <c r="I24" s="4">
        <v>3488700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733</v>
      </c>
      <c r="E25" s="33"/>
      <c r="F25" t="s">
        <v>120</v>
      </c>
      <c r="G25" t="s">
        <v>25</v>
      </c>
      <c r="H25">
        <f t="shared" si="0"/>
        <v>5</v>
      </c>
      <c r="I25" s="4">
        <v>2669111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11" t="s">
        <v>631</v>
      </c>
      <c r="E26" s="33"/>
      <c r="F26" t="s">
        <v>131</v>
      </c>
      <c r="G26" t="s">
        <v>25</v>
      </c>
      <c r="H26">
        <f t="shared" si="0"/>
        <v>4</v>
      </c>
      <c r="I26" s="4">
        <v>2640765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347</v>
      </c>
      <c r="E27" s="33"/>
      <c r="F27" t="s">
        <v>147</v>
      </c>
      <c r="G27" t="s">
        <v>93</v>
      </c>
      <c r="H27">
        <f t="shared" si="0"/>
        <v>2</v>
      </c>
      <c r="I27" s="4">
        <v>2533850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929</v>
      </c>
      <c r="E28" s="33"/>
      <c r="F28" t="s">
        <v>990</v>
      </c>
      <c r="G28" t="s">
        <v>25</v>
      </c>
      <c r="H28">
        <f t="shared" si="0"/>
        <v>3</v>
      </c>
      <c r="I28" s="4">
        <v>2550756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ref="E34:E43" si="2">IF(H34=1,"t","")</f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607" priority="13" operator="containsText" text="FAIL">
      <formula>NOT(ISERROR(SEARCH("FAIL",I9)))</formula>
    </cfRule>
  </conditionalFormatting>
  <conditionalFormatting sqref="I9">
    <cfRule type="containsText" dxfId="1606" priority="12" operator="containsText" text="GOOD">
      <formula>NOT(ISERROR(SEARCH("GOOD",I9)))</formula>
    </cfRule>
  </conditionalFormatting>
  <conditionalFormatting sqref="F11">
    <cfRule type="containsText" dxfId="1605" priority="11" operator="containsText" text="FAIL">
      <formula>NOT(ISERROR(SEARCH("FAIL",F11)))</formula>
    </cfRule>
  </conditionalFormatting>
  <conditionalFormatting sqref="F11">
    <cfRule type="containsText" dxfId="1604" priority="10" operator="containsText" text="GOOD">
      <formula>NOT(ISERROR(SEARCH("GOOD",F11)))</formula>
    </cfRule>
  </conditionalFormatting>
  <conditionalFormatting sqref="D25">
    <cfRule type="expression" dxfId="1603" priority="9" stopIfTrue="1">
      <formula>IF($H$25=1,0)</formula>
    </cfRule>
  </conditionalFormatting>
  <conditionalFormatting sqref="D23:D26 D29:D43">
    <cfRule type="expression" dxfId="1602" priority="8">
      <formula>H23=1</formula>
    </cfRule>
  </conditionalFormatting>
  <conditionalFormatting sqref="C23:C26 C29:C43">
    <cfRule type="expression" dxfId="1601" priority="7">
      <formula>H23=1</formula>
    </cfRule>
  </conditionalFormatting>
  <conditionalFormatting sqref="E23:E26 E29:E43">
    <cfRule type="expression" dxfId="1600" priority="6">
      <formula>H23=1</formula>
    </cfRule>
  </conditionalFormatting>
  <conditionalFormatting sqref="F11">
    <cfRule type="containsText" dxfId="1599" priority="5" operator="containsText" text="FAIL">
      <formula>NOT(ISERROR(SEARCH("FAIL",F11)))</formula>
    </cfRule>
  </conditionalFormatting>
  <conditionalFormatting sqref="F11">
    <cfRule type="containsText" dxfId="1598" priority="4" operator="containsText" text="GOOD">
      <formula>NOT(ISERROR(SEARCH("GOOD",F11)))</formula>
    </cfRule>
  </conditionalFormatting>
  <conditionalFormatting sqref="D27:D28">
    <cfRule type="expression" dxfId="1597" priority="3">
      <formula>H27=1</formula>
    </cfRule>
  </conditionalFormatting>
  <conditionalFormatting sqref="C27:C28">
    <cfRule type="expression" dxfId="1596" priority="2">
      <formula>H27=1</formula>
    </cfRule>
  </conditionalFormatting>
  <conditionalFormatting sqref="E27:E28">
    <cfRule type="expression" dxfId="1595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2:O47"/>
  <sheetViews>
    <sheetView zoomScaleNormal="100" workbookViewId="0">
      <selection activeCell="M26" sqref="M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987</v>
      </c>
      <c r="I4" s="2" t="s">
        <v>4</v>
      </c>
      <c r="J4" t="s">
        <v>816</v>
      </c>
    </row>
    <row r="5" spans="1:11" x14ac:dyDescent="0.25">
      <c r="D5" s="2" t="s">
        <v>1</v>
      </c>
      <c r="F5" t="s">
        <v>988</v>
      </c>
    </row>
    <row r="6" spans="1:11" x14ac:dyDescent="0.25">
      <c r="D6" s="2" t="s">
        <v>2</v>
      </c>
      <c r="F6" s="6">
        <v>42845</v>
      </c>
      <c r="H6" s="11"/>
    </row>
    <row r="7" spans="1:11" x14ac:dyDescent="0.25">
      <c r="D7" s="2" t="s">
        <v>3</v>
      </c>
      <c r="F7" s="5">
        <v>1520000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994200</v>
      </c>
      <c r="H8" s="11"/>
    </row>
    <row r="9" spans="1:11" x14ac:dyDescent="0.25">
      <c r="D9" s="2" t="s">
        <v>67</v>
      </c>
      <c r="F9" s="4">
        <f>+F8-F7</f>
        <v>-525800</v>
      </c>
      <c r="G9" s="16">
        <f>+F9/F7</f>
        <v>-0.34592105263157896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-437750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1957750</v>
      </c>
      <c r="G12" s="14"/>
      <c r="H12" s="11">
        <f>COUNT(I23:I43)</f>
        <v>4</v>
      </c>
      <c r="I12" s="1" t="s">
        <v>31</v>
      </c>
      <c r="J12" s="4">
        <f>+F8*0.9</f>
        <v>894780</v>
      </c>
      <c r="K12" s="1" t="s">
        <v>69</v>
      </c>
    </row>
    <row r="13" spans="1:11" x14ac:dyDescent="0.25">
      <c r="D13" s="2" t="s">
        <v>29</v>
      </c>
      <c r="F13" s="4">
        <f>MAX(I23:I43)-MIN(I23:I43)</f>
        <v>2650800</v>
      </c>
      <c r="G13" s="269">
        <f>MEDIAN(I23:I43)</f>
        <v>1595900</v>
      </c>
      <c r="H13" s="270"/>
      <c r="I13" s="1" t="s">
        <v>30</v>
      </c>
      <c r="J13" s="4">
        <f>+F12*1.1</f>
        <v>2153525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573</v>
      </c>
      <c r="E23" s="33"/>
      <c r="F23" t="s">
        <v>490</v>
      </c>
      <c r="G23" t="s">
        <v>25</v>
      </c>
      <c r="H23">
        <f>RANK(I23,I$23:I$43,1)</f>
        <v>2</v>
      </c>
      <c r="I23" s="4">
        <v>1248000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568</v>
      </c>
      <c r="E24" s="33"/>
      <c r="F24" t="s">
        <v>569</v>
      </c>
      <c r="G24" t="s">
        <v>570</v>
      </c>
      <c r="H24">
        <f>RANK(I24,I$23:I$43,1)</f>
        <v>4</v>
      </c>
      <c r="I24" s="4">
        <v>3645000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576</v>
      </c>
      <c r="E25" s="33"/>
      <c r="F25" t="s">
        <v>147</v>
      </c>
      <c r="G25" t="s">
        <v>93</v>
      </c>
      <c r="H25">
        <f>RANK(I25,I$23:I$43,1)</f>
        <v>3</v>
      </c>
      <c r="I25" s="4">
        <v>1943800</v>
      </c>
      <c r="J25" s="4"/>
      <c r="K25" s="4"/>
      <c r="L25" s="4"/>
      <c r="M25" s="22"/>
      <c r="N25" s="22"/>
      <c r="O25" s="22"/>
    </row>
    <row r="26" spans="3:15" x14ac:dyDescent="0.25">
      <c r="C26" s="33" t="str">
        <f>IF(H26=1,"u","")</f>
        <v>u</v>
      </c>
      <c r="D26" s="11" t="s">
        <v>571</v>
      </c>
      <c r="E26" s="33"/>
      <c r="F26" t="s">
        <v>572</v>
      </c>
      <c r="G26" t="s">
        <v>321</v>
      </c>
      <c r="H26">
        <f>RANK(I26,I$23:I$43,1)</f>
        <v>1</v>
      </c>
      <c r="I26" s="4">
        <v>994200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ref="C27:C43" si="0">IF(H27=1,"u","")</f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ref="E37:E43" si="1">IF(H37=1,"t","")</f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594" priority="20" operator="containsText" text="FAIL">
      <formula>NOT(ISERROR(SEARCH("FAIL",I9)))</formula>
    </cfRule>
  </conditionalFormatting>
  <conditionalFormatting sqref="I9">
    <cfRule type="containsText" dxfId="1593" priority="19" operator="containsText" text="GOOD">
      <formula>NOT(ISERROR(SEARCH("GOOD",I9)))</formula>
    </cfRule>
  </conditionalFormatting>
  <conditionalFormatting sqref="F11">
    <cfRule type="containsText" dxfId="1592" priority="18" operator="containsText" text="FAIL">
      <formula>NOT(ISERROR(SEARCH("FAIL",F11)))</formula>
    </cfRule>
  </conditionalFormatting>
  <conditionalFormatting sqref="F11">
    <cfRule type="containsText" dxfId="1591" priority="17" operator="containsText" text="GOOD">
      <formula>NOT(ISERROR(SEARCH("GOOD",F11)))</formula>
    </cfRule>
  </conditionalFormatting>
  <conditionalFormatting sqref="D25">
    <cfRule type="expression" dxfId="1590" priority="16" stopIfTrue="1">
      <formula>IF($H$25=1,0)</formula>
    </cfRule>
  </conditionalFormatting>
  <conditionalFormatting sqref="D23:D25 D32:D43">
    <cfRule type="expression" dxfId="1589" priority="15">
      <formula>H23=1</formula>
    </cfRule>
  </conditionalFormatting>
  <conditionalFormatting sqref="C23:C25 C32:C43">
    <cfRule type="expression" dxfId="1588" priority="14">
      <formula>H23=1</formula>
    </cfRule>
  </conditionalFormatting>
  <conditionalFormatting sqref="E23:E25 E32:E43">
    <cfRule type="expression" dxfId="1587" priority="13">
      <formula>H23=1</formula>
    </cfRule>
  </conditionalFormatting>
  <conditionalFormatting sqref="F11">
    <cfRule type="containsText" dxfId="1586" priority="12" operator="containsText" text="FAIL">
      <formula>NOT(ISERROR(SEARCH("FAIL",F11)))</formula>
    </cfRule>
  </conditionalFormatting>
  <conditionalFormatting sqref="F11">
    <cfRule type="containsText" dxfId="1585" priority="11" operator="containsText" text="GOOD">
      <formula>NOT(ISERROR(SEARCH("GOOD",F11)))</formula>
    </cfRule>
  </conditionalFormatting>
  <conditionalFormatting sqref="D27:D28">
    <cfRule type="expression" dxfId="1584" priority="10">
      <formula>H27=1</formula>
    </cfRule>
  </conditionalFormatting>
  <conditionalFormatting sqref="C27:C28">
    <cfRule type="expression" dxfId="1583" priority="9">
      <formula>H27=1</formula>
    </cfRule>
  </conditionalFormatting>
  <conditionalFormatting sqref="E27:E28">
    <cfRule type="expression" dxfId="1582" priority="8">
      <formula>H27=1</formula>
    </cfRule>
  </conditionalFormatting>
  <conditionalFormatting sqref="D29:D31">
    <cfRule type="expression" dxfId="1581" priority="6">
      <formula>H29=1</formula>
    </cfRule>
  </conditionalFormatting>
  <conditionalFormatting sqref="C29:C31">
    <cfRule type="expression" dxfId="1580" priority="5">
      <formula>H29=1</formula>
    </cfRule>
  </conditionalFormatting>
  <conditionalFormatting sqref="E29:E31">
    <cfRule type="expression" dxfId="1579" priority="4">
      <formula>H29=1</formula>
    </cfRule>
  </conditionalFormatting>
  <conditionalFormatting sqref="E26">
    <cfRule type="expression" dxfId="1578" priority="1">
      <formula>H26=1</formula>
    </cfRule>
  </conditionalFormatting>
  <conditionalFormatting sqref="D26">
    <cfRule type="expression" dxfId="1577" priority="3">
      <formula>H26=1</formula>
    </cfRule>
  </conditionalFormatting>
  <conditionalFormatting sqref="C26">
    <cfRule type="expression" dxfId="1576" priority="2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2:O56"/>
  <sheetViews>
    <sheetView zoomScaleNormal="100" workbookViewId="0">
      <selection activeCell="N23" sqref="N2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986</v>
      </c>
      <c r="I4" s="2" t="s">
        <v>4</v>
      </c>
      <c r="J4" t="s">
        <v>616</v>
      </c>
    </row>
    <row r="5" spans="1:11" x14ac:dyDescent="0.25">
      <c r="D5" s="2" t="s">
        <v>1</v>
      </c>
      <c r="F5" t="s">
        <v>982</v>
      </c>
    </row>
    <row r="6" spans="1:11" x14ac:dyDescent="0.25">
      <c r="D6" s="2" t="s">
        <v>2</v>
      </c>
      <c r="F6" s="6">
        <v>42845</v>
      </c>
      <c r="H6" s="11"/>
    </row>
    <row r="7" spans="1:11" x14ac:dyDescent="0.25">
      <c r="D7" s="2" t="s">
        <v>3</v>
      </c>
      <c r="F7" s="5">
        <f>+I7+J7</f>
        <v>12630000</v>
      </c>
      <c r="G7" s="2" t="s">
        <v>190</v>
      </c>
      <c r="H7" s="11"/>
      <c r="I7" s="19">
        <v>4265000</v>
      </c>
      <c r="J7" s="19">
        <v>8365000</v>
      </c>
    </row>
    <row r="8" spans="1:11" x14ac:dyDescent="0.25">
      <c r="D8" s="2" t="s">
        <v>18</v>
      </c>
      <c r="F8" s="5">
        <f>MIN(K23:K43)</f>
        <v>10849023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-1780977</v>
      </c>
      <c r="G9" s="16">
        <f>+F9/F7</f>
        <v>-0.14101163895486934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-794511.5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13424511.5</v>
      </c>
      <c r="G12" s="14"/>
      <c r="H12" s="11">
        <f>COUNT(K23:K43)</f>
        <v>2</v>
      </c>
      <c r="I12" s="1" t="s">
        <v>31</v>
      </c>
      <c r="J12" s="4">
        <f>+F8*0.9</f>
        <v>9764120.7000000011</v>
      </c>
      <c r="K12" s="1" t="s">
        <v>69</v>
      </c>
    </row>
    <row r="13" spans="1:11" x14ac:dyDescent="0.25">
      <c r="D13" s="2" t="s">
        <v>29</v>
      </c>
      <c r="F13" s="4">
        <f>MAX(K23:K43)-MIN(K23:K43)</f>
        <v>5150977</v>
      </c>
      <c r="G13" s="269">
        <f>MEDIAN(K23:K43)</f>
        <v>13424511.5</v>
      </c>
      <c r="H13" s="270"/>
      <c r="I13" s="1" t="s">
        <v>30</v>
      </c>
      <c r="J13" s="4">
        <f>+F12*1.1</f>
        <v>14766962.65</v>
      </c>
      <c r="K13" s="1" t="s">
        <v>70</v>
      </c>
    </row>
    <row r="14" spans="1:11" x14ac:dyDescent="0.25">
      <c r="H14" s="11"/>
    </row>
    <row r="15" spans="1:11" hidden="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hidden="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hidden="1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0.42813559322033901</v>
      </c>
    </row>
    <row r="18" spans="3:15" hidden="1" x14ac:dyDescent="0.25">
      <c r="F18" s="4">
        <f>+F7</f>
        <v>12630000</v>
      </c>
      <c r="G18" s="1" t="s">
        <v>12</v>
      </c>
      <c r="H18" s="11"/>
      <c r="I18" t="s">
        <v>16</v>
      </c>
      <c r="J18" s="7">
        <f>+F8/F18</f>
        <v>0.85898836104513066</v>
      </c>
    </row>
    <row r="19" spans="3:15" hidden="1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0.36163410000000001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605</v>
      </c>
      <c r="E23" s="33"/>
      <c r="F23" t="s">
        <v>120</v>
      </c>
      <c r="G23" t="s">
        <v>25</v>
      </c>
      <c r="H23">
        <f>RANK(K23,K$23:K$43,1)</f>
        <v>1</v>
      </c>
      <c r="I23" s="4">
        <v>4076695</v>
      </c>
      <c r="J23" s="4">
        <v>6772328</v>
      </c>
      <c r="K23" s="4">
        <f>+J23+I23</f>
        <v>10849023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489</v>
      </c>
      <c r="E24" s="33"/>
      <c r="F24" t="s">
        <v>490</v>
      </c>
      <c r="G24" t="s">
        <v>25</v>
      </c>
      <c r="H24">
        <f>RANK(K24,K$23:K$43,1)</f>
        <v>2</v>
      </c>
      <c r="I24" s="4">
        <v>4047186</v>
      </c>
      <c r="J24" s="4">
        <v>11952814</v>
      </c>
      <c r="K24" s="4">
        <f>+J24+I24</f>
        <v>16000000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1575" priority="32" operator="containsText" text="FAIL">
      <formula>NOT(ISERROR(SEARCH("FAIL",I9)))</formula>
    </cfRule>
  </conditionalFormatting>
  <conditionalFormatting sqref="I9">
    <cfRule type="containsText" dxfId="1574" priority="31" operator="containsText" text="GOOD">
      <formula>NOT(ISERROR(SEARCH("GOOD",I9)))</formula>
    </cfRule>
  </conditionalFormatting>
  <conditionalFormatting sqref="I9">
    <cfRule type="containsText" dxfId="1573" priority="30" operator="containsText" text="FAIL">
      <formula>NOT(ISERROR(SEARCH("FAIL",I9)))</formula>
    </cfRule>
  </conditionalFormatting>
  <conditionalFormatting sqref="I9">
    <cfRule type="containsText" dxfId="1572" priority="29" operator="containsText" text="GOOD">
      <formula>NOT(ISERROR(SEARCH("GOOD",I9)))</formula>
    </cfRule>
  </conditionalFormatting>
  <conditionalFormatting sqref="I9">
    <cfRule type="containsText" dxfId="1571" priority="28" operator="containsText" text="FAIL">
      <formula>NOT(ISERROR(SEARCH("FAIL",I9)))</formula>
    </cfRule>
  </conditionalFormatting>
  <conditionalFormatting sqref="I9">
    <cfRule type="containsText" dxfId="1570" priority="27" operator="containsText" text="GOOD">
      <formula>NOT(ISERROR(SEARCH("GOOD",I9)))</formula>
    </cfRule>
  </conditionalFormatting>
  <conditionalFormatting sqref="F11">
    <cfRule type="containsText" dxfId="1569" priority="26" operator="containsText" text="FAIL">
      <formula>NOT(ISERROR(SEARCH("FAIL",F11)))</formula>
    </cfRule>
  </conditionalFormatting>
  <conditionalFormatting sqref="F11">
    <cfRule type="containsText" dxfId="1568" priority="25" operator="containsText" text="GOOD">
      <formula>NOT(ISERROR(SEARCH("GOOD",F11)))</formula>
    </cfRule>
  </conditionalFormatting>
  <conditionalFormatting sqref="I9">
    <cfRule type="containsText" dxfId="1567" priority="24" operator="containsText" text="FAIL">
      <formula>NOT(ISERROR(SEARCH("FAIL",I9)))</formula>
    </cfRule>
  </conditionalFormatting>
  <conditionalFormatting sqref="I9">
    <cfRule type="containsText" dxfId="1566" priority="23" operator="containsText" text="GOOD">
      <formula>NOT(ISERROR(SEARCH("GOOD",I9)))</formula>
    </cfRule>
  </conditionalFormatting>
  <conditionalFormatting sqref="F11">
    <cfRule type="containsText" dxfId="1565" priority="22" operator="containsText" text="FAIL">
      <formula>NOT(ISERROR(SEARCH("FAIL",F11)))</formula>
    </cfRule>
  </conditionalFormatting>
  <conditionalFormatting sqref="F11">
    <cfRule type="containsText" dxfId="1564" priority="21" operator="containsText" text="GOOD">
      <formula>NOT(ISERROR(SEARCH("GOOD",F11)))</formula>
    </cfRule>
  </conditionalFormatting>
  <conditionalFormatting sqref="D25">
    <cfRule type="expression" dxfId="1563" priority="20" stopIfTrue="1">
      <formula>IF($H$25=1,0)</formula>
    </cfRule>
  </conditionalFormatting>
  <conditionalFormatting sqref="D23 D39:D43 D25:D33">
    <cfRule type="expression" dxfId="1562" priority="19">
      <formula>H23=1</formula>
    </cfRule>
  </conditionalFormatting>
  <conditionalFormatting sqref="C23 C39:C43 C25:C33">
    <cfRule type="expression" dxfId="1561" priority="18">
      <formula>H23=1</formula>
    </cfRule>
  </conditionalFormatting>
  <conditionalFormatting sqref="E23 E39:E43 E25:E33">
    <cfRule type="expression" dxfId="1560" priority="17">
      <formula>H23=1</formula>
    </cfRule>
  </conditionalFormatting>
  <conditionalFormatting sqref="E23 E39:E43 E25:E33">
    <cfRule type="expression" dxfId="1559" priority="16">
      <formula>H23=1</formula>
    </cfRule>
  </conditionalFormatting>
  <conditionalFormatting sqref="F11">
    <cfRule type="containsText" dxfId="1558" priority="15" operator="containsText" text="FAIL">
      <formula>NOT(ISERROR(SEARCH("FAIL",F11)))</formula>
    </cfRule>
  </conditionalFormatting>
  <conditionalFormatting sqref="F11">
    <cfRule type="containsText" dxfId="1557" priority="14" operator="containsText" text="GOOD">
      <formula>NOT(ISERROR(SEARCH("GOOD",F11)))</formula>
    </cfRule>
  </conditionalFormatting>
  <conditionalFormatting sqref="D34:D37">
    <cfRule type="expression" dxfId="1556" priority="13">
      <formula>H34=1</formula>
    </cfRule>
  </conditionalFormatting>
  <conditionalFormatting sqref="C34:C37">
    <cfRule type="expression" dxfId="1555" priority="12">
      <formula>H34=1</formula>
    </cfRule>
  </conditionalFormatting>
  <conditionalFormatting sqref="E34:E37">
    <cfRule type="expression" dxfId="1554" priority="11">
      <formula>H34=1</formula>
    </cfRule>
  </conditionalFormatting>
  <conditionalFormatting sqref="E34:E37">
    <cfRule type="expression" dxfId="1553" priority="10">
      <formula>H34=1</formula>
    </cfRule>
  </conditionalFormatting>
  <conditionalFormatting sqref="D38">
    <cfRule type="expression" dxfId="1552" priority="9">
      <formula>H38=1</formula>
    </cfRule>
  </conditionalFormatting>
  <conditionalFormatting sqref="C38">
    <cfRule type="expression" dxfId="1551" priority="8">
      <formula>H38=1</formula>
    </cfRule>
  </conditionalFormatting>
  <conditionalFormatting sqref="E38">
    <cfRule type="expression" dxfId="1550" priority="7">
      <formula>H38=1</formula>
    </cfRule>
  </conditionalFormatting>
  <conditionalFormatting sqref="E38">
    <cfRule type="expression" dxfId="1549" priority="6">
      <formula>H38=1</formula>
    </cfRule>
  </conditionalFormatting>
  <conditionalFormatting sqref="E24">
    <cfRule type="expression" dxfId="1548" priority="1">
      <formula>H24=1</formula>
    </cfRule>
  </conditionalFormatting>
  <conditionalFormatting sqref="D24">
    <cfRule type="expression" dxfId="1547" priority="5" stopIfTrue="1">
      <formula>IF($H$25=1,0)</formula>
    </cfRule>
  </conditionalFormatting>
  <conditionalFormatting sqref="D24">
    <cfRule type="expression" dxfId="1546" priority="4">
      <formula>H24=1</formula>
    </cfRule>
  </conditionalFormatting>
  <conditionalFormatting sqref="C24">
    <cfRule type="expression" dxfId="1545" priority="3">
      <formula>H24=1</formula>
    </cfRule>
  </conditionalFormatting>
  <conditionalFormatting sqref="E24">
    <cfRule type="expression" dxfId="1544" priority="2">
      <formula>H24=1</formula>
    </cfRule>
  </conditionalFormatting>
  <pageMargins left="0.7" right="0.7" top="0.75" bottom="0.75" header="0.3" footer="0.3"/>
  <pageSetup scale="68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2:O56"/>
  <sheetViews>
    <sheetView zoomScaleNormal="100" workbookViewId="0">
      <selection activeCell="K25" sqref="K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983</v>
      </c>
      <c r="I4" s="2" t="s">
        <v>4</v>
      </c>
      <c r="J4" t="s">
        <v>447</v>
      </c>
    </row>
    <row r="5" spans="1:11" x14ac:dyDescent="0.25">
      <c r="D5" s="2" t="s">
        <v>1</v>
      </c>
      <c r="F5" t="s">
        <v>985</v>
      </c>
    </row>
    <row r="6" spans="1:11" x14ac:dyDescent="0.25">
      <c r="D6" s="2" t="s">
        <v>2</v>
      </c>
      <c r="F6" s="6">
        <v>42844</v>
      </c>
      <c r="H6" s="11"/>
    </row>
    <row r="7" spans="1:11" x14ac:dyDescent="0.25">
      <c r="D7" s="2" t="s">
        <v>3</v>
      </c>
      <c r="F7" s="5">
        <f>+I7+J7</f>
        <v>30360000</v>
      </c>
      <c r="G7" s="2" t="s">
        <v>190</v>
      </c>
      <c r="H7" s="11"/>
      <c r="I7" s="19">
        <v>2630000</v>
      </c>
      <c r="J7" s="19">
        <v>27730000</v>
      </c>
    </row>
    <row r="8" spans="1:11" x14ac:dyDescent="0.25">
      <c r="D8" s="2" t="s">
        <v>18</v>
      </c>
      <c r="F8" s="5">
        <f>MIN(K23:K43)</f>
        <v>32920674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2560674</v>
      </c>
      <c r="G9" s="16">
        <f>+F9/F7</f>
        <v>8.4343675889328062E-2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-11072104.666666664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41432104.666666664</v>
      </c>
      <c r="G12" s="14"/>
      <c r="H12" s="11">
        <f>COUNT(K23:K43)</f>
        <v>3</v>
      </c>
      <c r="I12" s="1" t="s">
        <v>31</v>
      </c>
      <c r="J12" s="4">
        <f>+F8*0.9</f>
        <v>29628606.600000001</v>
      </c>
      <c r="K12" s="1" t="s">
        <v>69</v>
      </c>
    </row>
    <row r="13" spans="1:11" x14ac:dyDescent="0.25">
      <c r="D13" s="2" t="s">
        <v>29</v>
      </c>
      <c r="F13" s="4">
        <f>MAX(K23:K43)-MIN(K23:K43)</f>
        <v>14496326</v>
      </c>
      <c r="G13" s="269">
        <f>MEDIAN(K23:K43)</f>
        <v>43958640</v>
      </c>
      <c r="H13" s="270"/>
      <c r="I13" s="1" t="s">
        <v>30</v>
      </c>
      <c r="J13" s="4">
        <f>+F12*1.1</f>
        <v>45575315.133333333</v>
      </c>
      <c r="K13" s="1" t="s">
        <v>70</v>
      </c>
    </row>
    <row r="14" spans="1:11" x14ac:dyDescent="0.25">
      <c r="H14" s="11"/>
    </row>
    <row r="15" spans="1:11" hidden="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hidden="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hidden="1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1.0291525423728813</v>
      </c>
    </row>
    <row r="18" spans="3:15" hidden="1" x14ac:dyDescent="0.25">
      <c r="F18" s="4">
        <f>+F7</f>
        <v>30360000</v>
      </c>
      <c r="G18" s="1" t="s">
        <v>12</v>
      </c>
      <c r="H18" s="11"/>
      <c r="I18" t="s">
        <v>16</v>
      </c>
      <c r="J18" s="7">
        <f>+F8/F18</f>
        <v>1.0843436758893281</v>
      </c>
    </row>
    <row r="19" spans="3:15" hidden="1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1.0973558000000001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487</v>
      </c>
      <c r="E23" s="33"/>
      <c r="F23" t="s">
        <v>113</v>
      </c>
      <c r="G23" t="s">
        <v>25</v>
      </c>
      <c r="H23">
        <f>RANK(K23,K$23:K$43,1)</f>
        <v>2</v>
      </c>
      <c r="I23" s="4">
        <v>149430</v>
      </c>
      <c r="J23" s="4">
        <v>43809210</v>
      </c>
      <c r="K23" s="4">
        <f>+J23+I23</f>
        <v>43958640</v>
      </c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984</v>
      </c>
      <c r="E24" s="33"/>
      <c r="F24" t="s">
        <v>208</v>
      </c>
      <c r="G24" t="s">
        <v>93</v>
      </c>
      <c r="H24">
        <f>RANK(K24,K$23:K$43,1)</f>
        <v>1</v>
      </c>
      <c r="I24" s="4">
        <v>1192240</v>
      </c>
      <c r="J24" s="4">
        <v>31728434</v>
      </c>
      <c r="K24" s="4">
        <f>+J24+I24</f>
        <v>32920674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700</v>
      </c>
      <c r="E25" s="33"/>
      <c r="F25" t="s">
        <v>95</v>
      </c>
      <c r="G25" t="s">
        <v>93</v>
      </c>
      <c r="H25">
        <f>RANK(K25,K$23:K$43,1)</f>
        <v>3</v>
      </c>
      <c r="I25" s="4">
        <v>1427500</v>
      </c>
      <c r="J25" s="4">
        <v>45989500</v>
      </c>
      <c r="K25" s="4">
        <f>+J25+I25</f>
        <v>47417000</v>
      </c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1543" priority="27" operator="containsText" text="FAIL">
      <formula>NOT(ISERROR(SEARCH("FAIL",I9)))</formula>
    </cfRule>
  </conditionalFormatting>
  <conditionalFormatting sqref="I9">
    <cfRule type="containsText" dxfId="1542" priority="26" operator="containsText" text="GOOD">
      <formula>NOT(ISERROR(SEARCH("GOOD",I9)))</formula>
    </cfRule>
  </conditionalFormatting>
  <conditionalFormatting sqref="I9">
    <cfRule type="containsText" dxfId="1541" priority="25" operator="containsText" text="FAIL">
      <formula>NOT(ISERROR(SEARCH("FAIL",I9)))</formula>
    </cfRule>
  </conditionalFormatting>
  <conditionalFormatting sqref="I9">
    <cfRule type="containsText" dxfId="1540" priority="24" operator="containsText" text="GOOD">
      <formula>NOT(ISERROR(SEARCH("GOOD",I9)))</formula>
    </cfRule>
  </conditionalFormatting>
  <conditionalFormatting sqref="I9">
    <cfRule type="containsText" dxfId="1539" priority="23" operator="containsText" text="FAIL">
      <formula>NOT(ISERROR(SEARCH("FAIL",I9)))</formula>
    </cfRule>
  </conditionalFormatting>
  <conditionalFormatting sqref="I9">
    <cfRule type="containsText" dxfId="1538" priority="22" operator="containsText" text="GOOD">
      <formula>NOT(ISERROR(SEARCH("GOOD",I9)))</formula>
    </cfRule>
  </conditionalFormatting>
  <conditionalFormatting sqref="F11">
    <cfRule type="containsText" dxfId="1537" priority="21" operator="containsText" text="FAIL">
      <formula>NOT(ISERROR(SEARCH("FAIL",F11)))</formula>
    </cfRule>
  </conditionalFormatting>
  <conditionalFormatting sqref="F11">
    <cfRule type="containsText" dxfId="1536" priority="20" operator="containsText" text="GOOD">
      <formula>NOT(ISERROR(SEARCH("GOOD",F11)))</formula>
    </cfRule>
  </conditionalFormatting>
  <conditionalFormatting sqref="I9">
    <cfRule type="containsText" dxfId="1535" priority="19" operator="containsText" text="FAIL">
      <formula>NOT(ISERROR(SEARCH("FAIL",I9)))</formula>
    </cfRule>
  </conditionalFormatting>
  <conditionalFormatting sqref="I9">
    <cfRule type="containsText" dxfId="1534" priority="18" operator="containsText" text="GOOD">
      <formula>NOT(ISERROR(SEARCH("GOOD",I9)))</formula>
    </cfRule>
  </conditionalFormatting>
  <conditionalFormatting sqref="F11">
    <cfRule type="containsText" dxfId="1533" priority="17" operator="containsText" text="FAIL">
      <formula>NOT(ISERROR(SEARCH("FAIL",F11)))</formula>
    </cfRule>
  </conditionalFormatting>
  <conditionalFormatting sqref="F11">
    <cfRule type="containsText" dxfId="1532" priority="16" operator="containsText" text="GOOD">
      <formula>NOT(ISERROR(SEARCH("GOOD",F11)))</formula>
    </cfRule>
  </conditionalFormatting>
  <conditionalFormatting sqref="D25">
    <cfRule type="expression" dxfId="1531" priority="15" stopIfTrue="1">
      <formula>IF($H$25=1,0)</formula>
    </cfRule>
  </conditionalFormatting>
  <conditionalFormatting sqref="D23:D33 D39:D43">
    <cfRule type="expression" dxfId="1530" priority="14">
      <formula>H23=1</formula>
    </cfRule>
  </conditionalFormatting>
  <conditionalFormatting sqref="C23:C33 C39:C43">
    <cfRule type="expression" dxfId="1529" priority="13">
      <formula>H23=1</formula>
    </cfRule>
  </conditionalFormatting>
  <conditionalFormatting sqref="E23:E33 E39:E43">
    <cfRule type="expression" dxfId="1528" priority="12">
      <formula>H23=1</formula>
    </cfRule>
  </conditionalFormatting>
  <conditionalFormatting sqref="E23:E33 E39:E43">
    <cfRule type="expression" dxfId="1527" priority="11">
      <formula>H23=1</formula>
    </cfRule>
  </conditionalFormatting>
  <conditionalFormatting sqref="F11">
    <cfRule type="containsText" dxfId="1526" priority="10" operator="containsText" text="FAIL">
      <formula>NOT(ISERROR(SEARCH("FAIL",F11)))</formula>
    </cfRule>
  </conditionalFormatting>
  <conditionalFormatting sqref="F11">
    <cfRule type="containsText" dxfId="1525" priority="9" operator="containsText" text="GOOD">
      <formula>NOT(ISERROR(SEARCH("GOOD",F11)))</formula>
    </cfRule>
  </conditionalFormatting>
  <conditionalFormatting sqref="D34:D37">
    <cfRule type="expression" dxfId="1524" priority="8">
      <formula>H34=1</formula>
    </cfRule>
  </conditionalFormatting>
  <conditionalFormatting sqref="C34:C37">
    <cfRule type="expression" dxfId="1523" priority="7">
      <formula>H34=1</formula>
    </cfRule>
  </conditionalFormatting>
  <conditionalFormatting sqref="E34:E37">
    <cfRule type="expression" dxfId="1522" priority="6">
      <formula>H34=1</formula>
    </cfRule>
  </conditionalFormatting>
  <conditionalFormatting sqref="E34:E37">
    <cfRule type="expression" dxfId="1521" priority="5">
      <formula>H34=1</formula>
    </cfRule>
  </conditionalFormatting>
  <conditionalFormatting sqref="D38">
    <cfRule type="expression" dxfId="1520" priority="4">
      <formula>H38=1</formula>
    </cfRule>
  </conditionalFormatting>
  <conditionalFormatting sqref="C38">
    <cfRule type="expression" dxfId="1519" priority="3">
      <formula>H38=1</formula>
    </cfRule>
  </conditionalFormatting>
  <conditionalFormatting sqref="E38">
    <cfRule type="expression" dxfId="1518" priority="2">
      <formula>H38=1</formula>
    </cfRule>
  </conditionalFormatting>
  <conditionalFormatting sqref="E38">
    <cfRule type="expression" dxfId="1517" priority="1">
      <formula>H38=1</formula>
    </cfRule>
  </conditionalFormatting>
  <pageMargins left="0.7" right="0.7" top="0.75" bottom="0.75" header="0.3" footer="0.3"/>
  <pageSetup scale="68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2:O56"/>
  <sheetViews>
    <sheetView zoomScaleNormal="100" workbookViewId="0">
      <selection activeCell="K25" sqref="K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981</v>
      </c>
      <c r="I4" s="2" t="s">
        <v>4</v>
      </c>
      <c r="J4" t="s">
        <v>616</v>
      </c>
    </row>
    <row r="5" spans="1:11" x14ac:dyDescent="0.25">
      <c r="D5" s="2" t="s">
        <v>1</v>
      </c>
      <c r="F5" t="s">
        <v>982</v>
      </c>
    </row>
    <row r="6" spans="1:11" x14ac:dyDescent="0.25">
      <c r="D6" s="2" t="s">
        <v>2</v>
      </c>
      <c r="F6" s="6">
        <v>42844</v>
      </c>
      <c r="H6" s="11"/>
    </row>
    <row r="7" spans="1:11" x14ac:dyDescent="0.25">
      <c r="D7" s="2" t="s">
        <v>3</v>
      </c>
      <c r="F7" s="5">
        <f>+I7+J7</f>
        <v>18870000</v>
      </c>
      <c r="G7" s="2" t="s">
        <v>190</v>
      </c>
      <c r="H7" s="11"/>
      <c r="I7" s="19">
        <v>5160000</v>
      </c>
      <c r="J7" s="19">
        <v>13710000</v>
      </c>
    </row>
    <row r="8" spans="1:11" x14ac:dyDescent="0.25">
      <c r="D8" s="2" t="s">
        <v>18</v>
      </c>
      <c r="F8" s="5">
        <f>MIN(K23:K43)</f>
        <v>19910000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1040000</v>
      </c>
      <c r="G9" s="16">
        <f>+F9/F7</f>
        <v>5.5113937466878642E-2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-2890702.6666666679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21760702.666666668</v>
      </c>
      <c r="G12" s="14"/>
      <c r="H12" s="11">
        <f>COUNT(K23:K43)</f>
        <v>3</v>
      </c>
      <c r="I12" s="1" t="s">
        <v>31</v>
      </c>
      <c r="J12" s="4">
        <f>+F8*0.9</f>
        <v>17919000</v>
      </c>
      <c r="K12" s="1" t="s">
        <v>69</v>
      </c>
    </row>
    <row r="13" spans="1:11" x14ac:dyDescent="0.25">
      <c r="D13" s="2" t="s">
        <v>29</v>
      </c>
      <c r="F13" s="4">
        <f>MAX(K23:K43)-MIN(K23:K43)</f>
        <v>4679973</v>
      </c>
      <c r="G13" s="269">
        <f>MEDIAN(K23:K43)</f>
        <v>20782135</v>
      </c>
      <c r="H13" s="270"/>
      <c r="I13" s="1" t="s">
        <v>30</v>
      </c>
      <c r="J13" s="4">
        <f>+F12*1.1</f>
        <v>23936772.933333337</v>
      </c>
      <c r="K13" s="1" t="s">
        <v>70</v>
      </c>
    </row>
    <row r="14" spans="1:11" x14ac:dyDescent="0.25">
      <c r="H14" s="11"/>
    </row>
    <row r="15" spans="1:11" hidden="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hidden="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hidden="1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0.63966101694915256</v>
      </c>
    </row>
    <row r="18" spans="3:15" hidden="1" x14ac:dyDescent="0.25">
      <c r="F18" s="4">
        <f>+F7</f>
        <v>18870000</v>
      </c>
      <c r="G18" s="1" t="s">
        <v>12</v>
      </c>
      <c r="H18" s="11"/>
      <c r="I18" t="s">
        <v>16</v>
      </c>
      <c r="J18" s="7">
        <f>+F8/F18</f>
        <v>1.0551139374668785</v>
      </c>
    </row>
    <row r="19" spans="3:15" hidden="1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0.66366666666666663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605</v>
      </c>
      <c r="E23" s="33"/>
      <c r="F23" t="s">
        <v>120</v>
      </c>
      <c r="G23" t="s">
        <v>25</v>
      </c>
      <c r="H23">
        <f>RANK(K23,K$23:K$43,1)</f>
        <v>2</v>
      </c>
      <c r="I23" s="4">
        <v>7274055</v>
      </c>
      <c r="J23" s="4">
        <v>13508080</v>
      </c>
      <c r="K23" s="4">
        <f>+J23+I23</f>
        <v>20782135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491</v>
      </c>
      <c r="E24" s="33"/>
      <c r="F24" t="s">
        <v>203</v>
      </c>
      <c r="G24" t="s">
        <v>204</v>
      </c>
      <c r="H24">
        <f>RANK(K24,K$23:K$43,1)</f>
        <v>3</v>
      </c>
      <c r="I24" s="4">
        <v>10952713</v>
      </c>
      <c r="J24" s="4">
        <v>13637260</v>
      </c>
      <c r="K24" s="4">
        <f>+J24+I24</f>
        <v>24589973</v>
      </c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489</v>
      </c>
      <c r="E25" s="33"/>
      <c r="F25" t="s">
        <v>490</v>
      </c>
      <c r="G25" t="s">
        <v>25</v>
      </c>
      <c r="H25">
        <f>RANK(K25,K$23:K$43,1)</f>
        <v>1</v>
      </c>
      <c r="I25" s="4">
        <v>7380210</v>
      </c>
      <c r="J25" s="4">
        <v>12529790</v>
      </c>
      <c r="K25" s="4">
        <f>+J25+I25</f>
        <v>19910000</v>
      </c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1516" priority="27" operator="containsText" text="FAIL">
      <formula>NOT(ISERROR(SEARCH("FAIL",I9)))</formula>
    </cfRule>
  </conditionalFormatting>
  <conditionalFormatting sqref="I9">
    <cfRule type="containsText" dxfId="1515" priority="26" operator="containsText" text="GOOD">
      <formula>NOT(ISERROR(SEARCH("GOOD",I9)))</formula>
    </cfRule>
  </conditionalFormatting>
  <conditionalFormatting sqref="I9">
    <cfRule type="containsText" dxfId="1514" priority="25" operator="containsText" text="FAIL">
      <formula>NOT(ISERROR(SEARCH("FAIL",I9)))</formula>
    </cfRule>
  </conditionalFormatting>
  <conditionalFormatting sqref="I9">
    <cfRule type="containsText" dxfId="1513" priority="24" operator="containsText" text="GOOD">
      <formula>NOT(ISERROR(SEARCH("GOOD",I9)))</formula>
    </cfRule>
  </conditionalFormatting>
  <conditionalFormatting sqref="I9">
    <cfRule type="containsText" dxfId="1512" priority="23" operator="containsText" text="FAIL">
      <formula>NOT(ISERROR(SEARCH("FAIL",I9)))</formula>
    </cfRule>
  </conditionalFormatting>
  <conditionalFormatting sqref="I9">
    <cfRule type="containsText" dxfId="1511" priority="22" operator="containsText" text="GOOD">
      <formula>NOT(ISERROR(SEARCH("GOOD",I9)))</formula>
    </cfRule>
  </conditionalFormatting>
  <conditionalFormatting sqref="F11">
    <cfRule type="containsText" dxfId="1510" priority="21" operator="containsText" text="FAIL">
      <formula>NOT(ISERROR(SEARCH("FAIL",F11)))</formula>
    </cfRule>
  </conditionalFormatting>
  <conditionalFormatting sqref="F11">
    <cfRule type="containsText" dxfId="1509" priority="20" operator="containsText" text="GOOD">
      <formula>NOT(ISERROR(SEARCH("GOOD",F11)))</formula>
    </cfRule>
  </conditionalFormatting>
  <conditionalFormatting sqref="I9">
    <cfRule type="containsText" dxfId="1508" priority="19" operator="containsText" text="FAIL">
      <formula>NOT(ISERROR(SEARCH("FAIL",I9)))</formula>
    </cfRule>
  </conditionalFormatting>
  <conditionalFormatting sqref="I9">
    <cfRule type="containsText" dxfId="1507" priority="18" operator="containsText" text="GOOD">
      <formula>NOT(ISERROR(SEARCH("GOOD",I9)))</formula>
    </cfRule>
  </conditionalFormatting>
  <conditionalFormatting sqref="F11">
    <cfRule type="containsText" dxfId="1506" priority="17" operator="containsText" text="FAIL">
      <formula>NOT(ISERROR(SEARCH("FAIL",F11)))</formula>
    </cfRule>
  </conditionalFormatting>
  <conditionalFormatting sqref="F11">
    <cfRule type="containsText" dxfId="1505" priority="16" operator="containsText" text="GOOD">
      <formula>NOT(ISERROR(SEARCH("GOOD",F11)))</formula>
    </cfRule>
  </conditionalFormatting>
  <conditionalFormatting sqref="D25">
    <cfRule type="expression" dxfId="1504" priority="15" stopIfTrue="1">
      <formula>IF($H$25=1,0)</formula>
    </cfRule>
  </conditionalFormatting>
  <conditionalFormatting sqref="D23:D33 D39:D43">
    <cfRule type="expression" dxfId="1503" priority="14">
      <formula>H23=1</formula>
    </cfRule>
  </conditionalFormatting>
  <conditionalFormatting sqref="C23:C33 C39:C43">
    <cfRule type="expression" dxfId="1502" priority="13">
      <formula>H23=1</formula>
    </cfRule>
  </conditionalFormatting>
  <conditionalFormatting sqref="E23:E33 E39:E43">
    <cfRule type="expression" dxfId="1501" priority="12">
      <formula>H23=1</formula>
    </cfRule>
  </conditionalFormatting>
  <conditionalFormatting sqref="E23:E33 E39:E43">
    <cfRule type="expression" dxfId="1500" priority="11">
      <formula>H23=1</formula>
    </cfRule>
  </conditionalFormatting>
  <conditionalFormatting sqref="F11">
    <cfRule type="containsText" dxfId="1499" priority="10" operator="containsText" text="FAIL">
      <formula>NOT(ISERROR(SEARCH("FAIL",F11)))</formula>
    </cfRule>
  </conditionalFormatting>
  <conditionalFormatting sqref="F11">
    <cfRule type="containsText" dxfId="1498" priority="9" operator="containsText" text="GOOD">
      <formula>NOT(ISERROR(SEARCH("GOOD",F11)))</formula>
    </cfRule>
  </conditionalFormatting>
  <conditionalFormatting sqref="D34:D37">
    <cfRule type="expression" dxfId="1497" priority="8">
      <formula>H34=1</formula>
    </cfRule>
  </conditionalFormatting>
  <conditionalFormatting sqref="C34:C37">
    <cfRule type="expression" dxfId="1496" priority="7">
      <formula>H34=1</formula>
    </cfRule>
  </conditionalFormatting>
  <conditionalFormatting sqref="E34:E37">
    <cfRule type="expression" dxfId="1495" priority="6">
      <formula>H34=1</formula>
    </cfRule>
  </conditionalFormatting>
  <conditionalFormatting sqref="E34:E37">
    <cfRule type="expression" dxfId="1494" priority="5">
      <formula>H34=1</formula>
    </cfRule>
  </conditionalFormatting>
  <conditionalFormatting sqref="D38">
    <cfRule type="expression" dxfId="1493" priority="4">
      <formula>H38=1</formula>
    </cfRule>
  </conditionalFormatting>
  <conditionalFormatting sqref="C38">
    <cfRule type="expression" dxfId="1492" priority="3">
      <formula>H38=1</formula>
    </cfRule>
  </conditionalFormatting>
  <conditionalFormatting sqref="E38">
    <cfRule type="expression" dxfId="1491" priority="2">
      <formula>H38=1</formula>
    </cfRule>
  </conditionalFormatting>
  <conditionalFormatting sqref="E38">
    <cfRule type="expression" dxfId="1490" priority="1">
      <formula>H38=1</formula>
    </cfRule>
  </conditionalFormatting>
  <pageMargins left="0.7" right="0.7" top="0.75" bottom="0.75" header="0.3" footer="0.3"/>
  <pageSetup scale="68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2:O47"/>
  <sheetViews>
    <sheetView zoomScaleNormal="100" workbookViewId="0">
      <selection activeCell="K26" sqref="K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977</v>
      </c>
      <c r="I4" s="2" t="s">
        <v>4</v>
      </c>
      <c r="J4" t="s">
        <v>816</v>
      </c>
    </row>
    <row r="5" spans="1:11" x14ac:dyDescent="0.25">
      <c r="D5" s="2" t="s">
        <v>1</v>
      </c>
      <c r="F5" t="s">
        <v>978</v>
      </c>
    </row>
    <row r="6" spans="1:11" x14ac:dyDescent="0.25">
      <c r="D6" s="2" t="s">
        <v>2</v>
      </c>
      <c r="F6" s="6">
        <v>42831</v>
      </c>
      <c r="H6" s="11"/>
    </row>
    <row r="7" spans="1:11" x14ac:dyDescent="0.25">
      <c r="D7" s="2" t="s">
        <v>3</v>
      </c>
      <c r="F7" s="5">
        <v>1655000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1398667</v>
      </c>
      <c r="H8" s="11"/>
    </row>
    <row r="9" spans="1:11" x14ac:dyDescent="0.25">
      <c r="D9" s="2" t="s">
        <v>67</v>
      </c>
      <c r="F9" s="4">
        <f>+F8-F7</f>
        <v>-256333</v>
      </c>
      <c r="G9" s="16">
        <f>+F9/F7</f>
        <v>-0.15488398791540786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78606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1576394</v>
      </c>
      <c r="G12" s="14"/>
      <c r="H12" s="11">
        <f>COUNT(I23:I43)</f>
        <v>3</v>
      </c>
      <c r="I12" s="1" t="s">
        <v>31</v>
      </c>
      <c r="J12" s="4">
        <f>+F8*0.9</f>
        <v>1258800.3</v>
      </c>
      <c r="K12" s="1" t="s">
        <v>69</v>
      </c>
    </row>
    <row r="13" spans="1:11" x14ac:dyDescent="0.25">
      <c r="D13" s="2" t="s">
        <v>29</v>
      </c>
      <c r="F13" s="4">
        <f>MAX(I23:I43)-MIN(I23:I43)</f>
        <v>380388</v>
      </c>
      <c r="G13" s="269">
        <f>MEDIAN(I23:I43)</f>
        <v>1551460</v>
      </c>
      <c r="H13" s="270"/>
      <c r="I13" s="1" t="s">
        <v>30</v>
      </c>
      <c r="J13" s="4">
        <f>+F12*1.1</f>
        <v>1734033.4000000001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836</v>
      </c>
      <c r="E23" s="33"/>
      <c r="F23" t="s">
        <v>486</v>
      </c>
      <c r="G23" t="s">
        <v>25</v>
      </c>
      <c r="H23">
        <f>RANK(I23,I$23:I$43,1)</f>
        <v>2</v>
      </c>
      <c r="I23" s="4">
        <v>1551460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979</v>
      </c>
      <c r="E24" s="33"/>
      <c r="F24" t="s">
        <v>201</v>
      </c>
      <c r="G24" t="s">
        <v>25</v>
      </c>
      <c r="H24">
        <f>RANK(I24,I$23:I$43,1)</f>
        <v>1</v>
      </c>
      <c r="I24" s="4">
        <v>1398667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533</v>
      </c>
      <c r="E25" s="33"/>
      <c r="F25" t="s">
        <v>92</v>
      </c>
      <c r="G25" t="s">
        <v>93</v>
      </c>
      <c r="H25">
        <f>RANK(I25,I$23:I$43,1)</f>
        <v>3</v>
      </c>
      <c r="I25" s="4">
        <v>1779055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ref="E37:E43" si="1">IF(H37=1,"t","")</f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489" priority="17" operator="containsText" text="FAIL">
      <formula>NOT(ISERROR(SEARCH("FAIL",I9)))</formula>
    </cfRule>
  </conditionalFormatting>
  <conditionalFormatting sqref="I9">
    <cfRule type="containsText" dxfId="1488" priority="16" operator="containsText" text="GOOD">
      <formula>NOT(ISERROR(SEARCH("GOOD",I9)))</formula>
    </cfRule>
  </conditionalFormatting>
  <conditionalFormatting sqref="F11">
    <cfRule type="containsText" dxfId="1487" priority="15" operator="containsText" text="FAIL">
      <formula>NOT(ISERROR(SEARCH("FAIL",F11)))</formula>
    </cfRule>
  </conditionalFormatting>
  <conditionalFormatting sqref="F11">
    <cfRule type="containsText" dxfId="1486" priority="14" operator="containsText" text="GOOD">
      <formula>NOT(ISERROR(SEARCH("GOOD",F11)))</formula>
    </cfRule>
  </conditionalFormatting>
  <conditionalFormatting sqref="D25">
    <cfRule type="expression" dxfId="1485" priority="13" stopIfTrue="1">
      <formula>IF($H$25=1,0)</formula>
    </cfRule>
  </conditionalFormatting>
  <conditionalFormatting sqref="D23:D25 D32:D43">
    <cfRule type="expression" dxfId="1484" priority="12">
      <formula>H23=1</formula>
    </cfRule>
  </conditionalFormatting>
  <conditionalFormatting sqref="C23:C26 C32:C43">
    <cfRule type="expression" dxfId="1483" priority="11">
      <formula>H23=1</formula>
    </cfRule>
  </conditionalFormatting>
  <conditionalFormatting sqref="E23:E26 E32:E43">
    <cfRule type="expression" dxfId="1482" priority="10">
      <formula>H23=1</formula>
    </cfRule>
  </conditionalFormatting>
  <conditionalFormatting sqref="F11">
    <cfRule type="containsText" dxfId="1481" priority="9" operator="containsText" text="FAIL">
      <formula>NOT(ISERROR(SEARCH("FAIL",F11)))</formula>
    </cfRule>
  </conditionalFormatting>
  <conditionalFormatting sqref="F11">
    <cfRule type="containsText" dxfId="1480" priority="8" operator="containsText" text="GOOD">
      <formula>NOT(ISERROR(SEARCH("GOOD",F11)))</formula>
    </cfRule>
  </conditionalFormatting>
  <conditionalFormatting sqref="D27:D28">
    <cfRule type="expression" dxfId="1479" priority="7">
      <formula>H27=1</formula>
    </cfRule>
  </conditionalFormatting>
  <conditionalFormatting sqref="C27:C28">
    <cfRule type="expression" dxfId="1478" priority="6">
      <formula>H27=1</formula>
    </cfRule>
  </conditionalFormatting>
  <conditionalFormatting sqref="E27:E28">
    <cfRule type="expression" dxfId="1477" priority="5">
      <formula>H27=1</formula>
    </cfRule>
  </conditionalFormatting>
  <conditionalFormatting sqref="D26">
    <cfRule type="expression" dxfId="1476" priority="4">
      <formula>H26=1</formula>
    </cfRule>
  </conditionalFormatting>
  <conditionalFormatting sqref="D29:D31">
    <cfRule type="expression" dxfId="1475" priority="3">
      <formula>H29=1</formula>
    </cfRule>
  </conditionalFormatting>
  <conditionalFormatting sqref="C29:C31">
    <cfRule type="expression" dxfId="1474" priority="2">
      <formula>H29=1</formula>
    </cfRule>
  </conditionalFormatting>
  <conditionalFormatting sqref="E29:E31">
    <cfRule type="expression" dxfId="1473" priority="1">
      <formula>H29=1</formula>
    </cfRule>
  </conditionalFormatting>
  <pageMargins left="0.7" right="0.7" top="0.75" bottom="0.75" header="0.3" footer="0.3"/>
  <pageSetup scale="68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2:O47"/>
  <sheetViews>
    <sheetView zoomScaleNormal="100" workbookViewId="0">
      <selection activeCell="I26" sqref="I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966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967</v>
      </c>
    </row>
    <row r="6" spans="1:11" x14ac:dyDescent="0.25">
      <c r="D6" s="2" t="s">
        <v>2</v>
      </c>
      <c r="F6" s="6">
        <v>42823</v>
      </c>
      <c r="H6" s="11"/>
    </row>
    <row r="7" spans="1:11" x14ac:dyDescent="0.25">
      <c r="D7" s="2" t="s">
        <v>3</v>
      </c>
      <c r="F7" s="5">
        <v>3700000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2490000</v>
      </c>
      <c r="H8" s="11"/>
    </row>
    <row r="9" spans="1:11" x14ac:dyDescent="0.25">
      <c r="D9" s="2" t="s">
        <v>67</v>
      </c>
      <c r="F9" s="4">
        <f>+F8-F7</f>
        <v>-1210000</v>
      </c>
      <c r="G9" s="16">
        <f>+F9/F7</f>
        <v>-0.32702702702702702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-22260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3722260</v>
      </c>
      <c r="G12" s="14"/>
      <c r="H12" s="11">
        <f>COUNT(I23:I43)</f>
        <v>7</v>
      </c>
      <c r="I12" s="1" t="s">
        <v>31</v>
      </c>
      <c r="J12" s="4">
        <f>+F8*0.9</f>
        <v>2241000</v>
      </c>
      <c r="K12" s="1" t="s">
        <v>69</v>
      </c>
    </row>
    <row r="13" spans="1:11" x14ac:dyDescent="0.25">
      <c r="D13" s="2" t="s">
        <v>29</v>
      </c>
      <c r="F13" s="4">
        <f>MAX(I23:I43)-MIN(I23:I43)</f>
        <v>2671890</v>
      </c>
      <c r="G13" s="269">
        <f>MEDIAN(I23:I43)</f>
        <v>3807430</v>
      </c>
      <c r="H13" s="270"/>
      <c r="I13" s="1" t="s">
        <v>30</v>
      </c>
      <c r="J13" s="4">
        <f>+F12*1.1</f>
        <v>4094486.0000000005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968</v>
      </c>
      <c r="E23" s="33"/>
      <c r="F23" t="s">
        <v>203</v>
      </c>
      <c r="G23" t="s">
        <v>204</v>
      </c>
      <c r="H23">
        <f t="shared" ref="H23:H29" si="0">RANK(I23,I$23:I$43,1)</f>
        <v>7</v>
      </c>
      <c r="I23" s="4">
        <v>5161890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969</v>
      </c>
      <c r="E24" s="33"/>
      <c r="F24" t="s">
        <v>95</v>
      </c>
      <c r="G24" t="s">
        <v>93</v>
      </c>
      <c r="H24">
        <f t="shared" si="0"/>
        <v>2</v>
      </c>
      <c r="I24" s="4">
        <v>3185420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970</v>
      </c>
      <c r="E25" s="33"/>
      <c r="F25" t="s">
        <v>405</v>
      </c>
      <c r="G25" t="s">
        <v>93</v>
      </c>
      <c r="H25">
        <f t="shared" si="0"/>
        <v>6</v>
      </c>
      <c r="I25" s="4">
        <v>3998696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>u</v>
      </c>
      <c r="D26" s="11" t="s">
        <v>971</v>
      </c>
      <c r="E26" s="33"/>
      <c r="F26" t="s">
        <v>181</v>
      </c>
      <c r="G26" t="s">
        <v>93</v>
      </c>
      <c r="H26">
        <f t="shared" si="0"/>
        <v>1</v>
      </c>
      <c r="I26" s="4">
        <v>2490000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499</v>
      </c>
      <c r="E27" s="33"/>
      <c r="F27" t="s">
        <v>100</v>
      </c>
      <c r="G27" t="s">
        <v>93</v>
      </c>
      <c r="H27">
        <f t="shared" si="0"/>
        <v>4</v>
      </c>
      <c r="I27" s="4">
        <v>3807430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972</v>
      </c>
      <c r="E28" s="33"/>
      <c r="F28" t="s">
        <v>973</v>
      </c>
      <c r="G28" t="s">
        <v>93</v>
      </c>
      <c r="H28">
        <f t="shared" si="0"/>
        <v>3</v>
      </c>
      <c r="I28" s="4">
        <v>3537384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 t="s">
        <v>974</v>
      </c>
      <c r="E29" s="33"/>
      <c r="F29" t="s">
        <v>143</v>
      </c>
      <c r="G29" t="s">
        <v>25</v>
      </c>
      <c r="H29">
        <f t="shared" si="0"/>
        <v>5</v>
      </c>
      <c r="I29" s="4">
        <v>3875000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/>
      <c r="I36" s="4"/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ref="E37:E43" si="2">IF(H37=1,"t","")</f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472" priority="17" operator="containsText" text="FAIL">
      <formula>NOT(ISERROR(SEARCH("FAIL",I9)))</formula>
    </cfRule>
  </conditionalFormatting>
  <conditionalFormatting sqref="I9">
    <cfRule type="containsText" dxfId="1471" priority="16" operator="containsText" text="GOOD">
      <formula>NOT(ISERROR(SEARCH("GOOD",I9)))</formula>
    </cfRule>
  </conditionalFormatting>
  <conditionalFormatting sqref="F11">
    <cfRule type="containsText" dxfId="1470" priority="15" operator="containsText" text="FAIL">
      <formula>NOT(ISERROR(SEARCH("FAIL",F11)))</formula>
    </cfRule>
  </conditionalFormatting>
  <conditionalFormatting sqref="F11">
    <cfRule type="containsText" dxfId="1469" priority="14" operator="containsText" text="GOOD">
      <formula>NOT(ISERROR(SEARCH("GOOD",F11)))</formula>
    </cfRule>
  </conditionalFormatting>
  <conditionalFormatting sqref="D25">
    <cfRule type="expression" dxfId="1468" priority="13" stopIfTrue="1">
      <formula>IF($H$25=1,0)</formula>
    </cfRule>
  </conditionalFormatting>
  <conditionalFormatting sqref="D23:D25 D32:D43">
    <cfRule type="expression" dxfId="1467" priority="12">
      <formula>H23=1</formula>
    </cfRule>
  </conditionalFormatting>
  <conditionalFormatting sqref="C23:C26 C32:C43">
    <cfRule type="expression" dxfId="1466" priority="11">
      <formula>H23=1</formula>
    </cfRule>
  </conditionalFormatting>
  <conditionalFormatting sqref="E23:E26 E32:E43">
    <cfRule type="expression" dxfId="1465" priority="10">
      <formula>H23=1</formula>
    </cfRule>
  </conditionalFormatting>
  <conditionalFormatting sqref="F11">
    <cfRule type="containsText" dxfId="1464" priority="9" operator="containsText" text="FAIL">
      <formula>NOT(ISERROR(SEARCH("FAIL",F11)))</formula>
    </cfRule>
  </conditionalFormatting>
  <conditionalFormatting sqref="F11">
    <cfRule type="containsText" dxfId="1463" priority="8" operator="containsText" text="GOOD">
      <formula>NOT(ISERROR(SEARCH("GOOD",F11)))</formula>
    </cfRule>
  </conditionalFormatting>
  <conditionalFormatting sqref="D27:D28">
    <cfRule type="expression" dxfId="1462" priority="7">
      <formula>H27=1</formula>
    </cfRule>
  </conditionalFormatting>
  <conditionalFormatting sqref="C27:C28">
    <cfRule type="expression" dxfId="1461" priority="6">
      <formula>H27=1</formula>
    </cfRule>
  </conditionalFormatting>
  <conditionalFormatting sqref="E27:E28">
    <cfRule type="expression" dxfId="1460" priority="5">
      <formula>H27=1</formula>
    </cfRule>
  </conditionalFormatting>
  <conditionalFormatting sqref="D26">
    <cfRule type="expression" dxfId="1459" priority="4">
      <formula>H26=1</formula>
    </cfRule>
  </conditionalFormatting>
  <conditionalFormatting sqref="D29:D31">
    <cfRule type="expression" dxfId="1458" priority="3">
      <formula>H29=1</formula>
    </cfRule>
  </conditionalFormatting>
  <conditionalFormatting sqref="C29:C31">
    <cfRule type="expression" dxfId="1457" priority="2">
      <formula>H29=1</formula>
    </cfRule>
  </conditionalFormatting>
  <conditionalFormatting sqref="E29:E31">
    <cfRule type="expression" dxfId="1456" priority="1">
      <formula>H29=1</formula>
    </cfRule>
  </conditionalFormatting>
  <pageMargins left="0.7" right="0.7" top="0.75" bottom="0.75" header="0.3" footer="0.3"/>
  <pageSetup scale="68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2:O47"/>
  <sheetViews>
    <sheetView zoomScaleNormal="100" workbookViewId="0">
      <selection activeCell="B24" sqref="B2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964</v>
      </c>
      <c r="I4" s="2" t="s">
        <v>4</v>
      </c>
      <c r="J4" t="s">
        <v>784</v>
      </c>
    </row>
    <row r="5" spans="1:11" x14ac:dyDescent="0.25">
      <c r="D5" s="2" t="s">
        <v>1</v>
      </c>
      <c r="F5" t="s">
        <v>965</v>
      </c>
    </row>
    <row r="6" spans="1:11" x14ac:dyDescent="0.25">
      <c r="D6" s="2" t="s">
        <v>2</v>
      </c>
      <c r="F6" s="6">
        <v>42815</v>
      </c>
      <c r="H6" s="11"/>
    </row>
    <row r="7" spans="1:11" x14ac:dyDescent="0.25">
      <c r="D7" s="2" t="s">
        <v>3</v>
      </c>
      <c r="F7" s="5">
        <v>3750000</v>
      </c>
      <c r="G7" s="2" t="s">
        <v>190</v>
      </c>
      <c r="H7" s="11"/>
    </row>
    <row r="8" spans="1:11" x14ac:dyDescent="0.25">
      <c r="D8" s="2" t="s">
        <v>18</v>
      </c>
      <c r="F8" s="5">
        <f>MIN(I23:I43)</f>
        <v>2468147</v>
      </c>
      <c r="H8" s="11"/>
    </row>
    <row r="9" spans="1:11" x14ac:dyDescent="0.25">
      <c r="D9" s="2" t="s">
        <v>67</v>
      </c>
      <c r="F9" s="4">
        <f>+F8-F7</f>
        <v>-1281853</v>
      </c>
      <c r="G9" s="16">
        <f>+F9/F7</f>
        <v>-0.34182746666666669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1046126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2703874</v>
      </c>
      <c r="G12" s="14"/>
      <c r="H12" s="11">
        <f>COUNT(I23:I43)</f>
        <v>3</v>
      </c>
      <c r="I12" s="1" t="s">
        <v>31</v>
      </c>
      <c r="J12" s="4">
        <f>+F8*0.9</f>
        <v>2221332.3000000003</v>
      </c>
      <c r="K12" s="1" t="s">
        <v>69</v>
      </c>
    </row>
    <row r="13" spans="1:11" x14ac:dyDescent="0.25">
      <c r="D13" s="2" t="s">
        <v>29</v>
      </c>
      <c r="F13" s="4">
        <f>MAX(I23:I43)-MIN(I23:I43)</f>
        <v>699853</v>
      </c>
      <c r="G13" s="269">
        <f>MEDIAN(I23:I43)</f>
        <v>2475475</v>
      </c>
      <c r="H13" s="270"/>
      <c r="I13" s="1" t="s">
        <v>30</v>
      </c>
      <c r="J13" s="4">
        <f>+F12*1.1</f>
        <v>2974261.4000000004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540</v>
      </c>
      <c r="E23" s="33"/>
      <c r="F23" t="s">
        <v>195</v>
      </c>
      <c r="G23" t="s">
        <v>93</v>
      </c>
      <c r="H23">
        <f>RANK(I23,I$23:I$43,1)</f>
        <v>2</v>
      </c>
      <c r="I23" s="4">
        <v>2475475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541</v>
      </c>
      <c r="E24" s="33"/>
      <c r="F24" t="s">
        <v>159</v>
      </c>
      <c r="G24" t="s">
        <v>93</v>
      </c>
      <c r="H24">
        <f>RANK(I24,I$23:I$43,1)</f>
        <v>1</v>
      </c>
      <c r="I24" s="4">
        <v>2468147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665</v>
      </c>
      <c r="E25" s="33"/>
      <c r="F25" t="s">
        <v>413</v>
      </c>
      <c r="G25" t="s">
        <v>93</v>
      </c>
      <c r="H25">
        <f>RANK(I25,I$23:I$43,1)</f>
        <v>3</v>
      </c>
      <c r="I25" s="4">
        <v>3168000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/>
      <c r="I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ref="E37:E43" si="1">IF(H37=1,"t","")</f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455" priority="17" operator="containsText" text="FAIL">
      <formula>NOT(ISERROR(SEARCH("FAIL",I9)))</formula>
    </cfRule>
  </conditionalFormatting>
  <conditionalFormatting sqref="I9">
    <cfRule type="containsText" dxfId="1454" priority="16" operator="containsText" text="GOOD">
      <formula>NOT(ISERROR(SEARCH("GOOD",I9)))</formula>
    </cfRule>
  </conditionalFormatting>
  <conditionalFormatting sqref="F11">
    <cfRule type="containsText" dxfId="1453" priority="15" operator="containsText" text="FAIL">
      <formula>NOT(ISERROR(SEARCH("FAIL",F11)))</formula>
    </cfRule>
  </conditionalFormatting>
  <conditionalFormatting sqref="F11">
    <cfRule type="containsText" dxfId="1452" priority="14" operator="containsText" text="GOOD">
      <formula>NOT(ISERROR(SEARCH("GOOD",F11)))</formula>
    </cfRule>
  </conditionalFormatting>
  <conditionalFormatting sqref="D25">
    <cfRule type="expression" dxfId="1451" priority="13" stopIfTrue="1">
      <formula>IF($H$25=1,0)</formula>
    </cfRule>
  </conditionalFormatting>
  <conditionalFormatting sqref="D23:D25 D32:D43">
    <cfRule type="expression" dxfId="1450" priority="12">
      <formula>H23=1</formula>
    </cfRule>
  </conditionalFormatting>
  <conditionalFormatting sqref="C23:C26 C32:C43">
    <cfRule type="expression" dxfId="1449" priority="11">
      <formula>H23=1</formula>
    </cfRule>
  </conditionalFormatting>
  <conditionalFormatting sqref="E23:E26 E32:E43">
    <cfRule type="expression" dxfId="1448" priority="10">
      <formula>H23=1</formula>
    </cfRule>
  </conditionalFormatting>
  <conditionalFormatting sqref="F11">
    <cfRule type="containsText" dxfId="1447" priority="9" operator="containsText" text="FAIL">
      <formula>NOT(ISERROR(SEARCH("FAIL",F11)))</formula>
    </cfRule>
  </conditionalFormatting>
  <conditionalFormatting sqref="F11">
    <cfRule type="containsText" dxfId="1446" priority="8" operator="containsText" text="GOOD">
      <formula>NOT(ISERROR(SEARCH("GOOD",F11)))</formula>
    </cfRule>
  </conditionalFormatting>
  <conditionalFormatting sqref="D27:D28">
    <cfRule type="expression" dxfId="1445" priority="7">
      <formula>H27=1</formula>
    </cfRule>
  </conditionalFormatting>
  <conditionalFormatting sqref="C27:C28">
    <cfRule type="expression" dxfId="1444" priority="6">
      <formula>H27=1</formula>
    </cfRule>
  </conditionalFormatting>
  <conditionalFormatting sqref="E27:E28">
    <cfRule type="expression" dxfId="1443" priority="5">
      <formula>H27=1</formula>
    </cfRule>
  </conditionalFormatting>
  <conditionalFormatting sqref="D26">
    <cfRule type="expression" dxfId="1442" priority="4">
      <formula>H26=1</formula>
    </cfRule>
  </conditionalFormatting>
  <conditionalFormatting sqref="D29:D31">
    <cfRule type="expression" dxfId="1441" priority="3">
      <formula>H29=1</formula>
    </cfRule>
  </conditionalFormatting>
  <conditionalFormatting sqref="C29:C31">
    <cfRule type="expression" dxfId="1440" priority="2">
      <formula>H29=1</formula>
    </cfRule>
  </conditionalFormatting>
  <conditionalFormatting sqref="E29:E31">
    <cfRule type="expression" dxfId="1439" priority="1">
      <formula>H29=1</formula>
    </cfRule>
  </conditionalFormatting>
  <pageMargins left="0.7" right="0.7" top="0.75" bottom="0.75" header="0.3" footer="0.3"/>
  <pageSetup scale="68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2:O47"/>
  <sheetViews>
    <sheetView zoomScaleNormal="100" workbookViewId="0">
      <selection activeCell="K25" sqref="K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956</v>
      </c>
      <c r="I4" s="2" t="s">
        <v>4</v>
      </c>
      <c r="J4" t="s">
        <v>816</v>
      </c>
    </row>
    <row r="5" spans="1:11" x14ac:dyDescent="0.25">
      <c r="D5" s="2" t="s">
        <v>1</v>
      </c>
      <c r="F5" t="s">
        <v>957</v>
      </c>
    </row>
    <row r="6" spans="1:11" x14ac:dyDescent="0.25">
      <c r="D6" s="2" t="s">
        <v>2</v>
      </c>
      <c r="F6" s="6">
        <v>42810</v>
      </c>
      <c r="H6" s="11"/>
    </row>
    <row r="7" spans="1:11" x14ac:dyDescent="0.25">
      <c r="D7" s="2" t="s">
        <v>3</v>
      </c>
      <c r="F7" s="5">
        <v>1425000</v>
      </c>
      <c r="G7" s="2" t="s">
        <v>693</v>
      </c>
      <c r="H7" s="11"/>
    </row>
    <row r="8" spans="1:11" x14ac:dyDescent="0.25">
      <c r="D8" s="2" t="s">
        <v>18</v>
      </c>
      <c r="F8" s="5">
        <f>MIN(I23:I43)</f>
        <v>1087425</v>
      </c>
      <c r="H8" s="11"/>
    </row>
    <row r="9" spans="1:11" x14ac:dyDescent="0.25">
      <c r="D9" s="2" t="s">
        <v>67</v>
      </c>
      <c r="F9" s="4">
        <f>+F8-F7</f>
        <v>-337575</v>
      </c>
      <c r="G9" s="16">
        <f>+F9/F7</f>
        <v>-0.23689473684210527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-660729.33333333326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2085729.3333333333</v>
      </c>
      <c r="G12" s="14"/>
      <c r="H12" s="11">
        <f>COUNT(I23:I43)</f>
        <v>6</v>
      </c>
      <c r="I12" s="1" t="s">
        <v>31</v>
      </c>
      <c r="J12" s="4">
        <f>+F8*0.9</f>
        <v>978682.5</v>
      </c>
      <c r="K12" s="1" t="s">
        <v>69</v>
      </c>
    </row>
    <row r="13" spans="1:11" x14ac:dyDescent="0.25">
      <c r="D13" s="2" t="s">
        <v>29</v>
      </c>
      <c r="F13" s="4">
        <f>MAX(I23:I43)-MIN(I23:I43)</f>
        <v>2224831</v>
      </c>
      <c r="G13" s="269">
        <f>MEDIAN(I23:I43)</f>
        <v>1783817.5</v>
      </c>
      <c r="H13" s="270"/>
      <c r="I13" s="1" t="s">
        <v>30</v>
      </c>
      <c r="J13" s="4">
        <f>+F12*1.1</f>
        <v>2294302.2666666666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676</v>
      </c>
      <c r="E23" s="33"/>
      <c r="F23" t="s">
        <v>85</v>
      </c>
      <c r="G23" t="s">
        <v>25</v>
      </c>
      <c r="H23">
        <f t="shared" ref="H23:H28" si="0">RANK(I23,I$23:I$43,1)</f>
        <v>3</v>
      </c>
      <c r="I23" s="4">
        <v>1687060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958</v>
      </c>
      <c r="E24" s="33"/>
      <c r="F24" t="s">
        <v>95</v>
      </c>
      <c r="G24" t="s">
        <v>93</v>
      </c>
      <c r="H24">
        <f t="shared" si="0"/>
        <v>6</v>
      </c>
      <c r="I24" s="4">
        <v>3312256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347</v>
      </c>
      <c r="E25" s="33"/>
      <c r="F25" t="s">
        <v>147</v>
      </c>
      <c r="G25" t="s">
        <v>93</v>
      </c>
      <c r="H25">
        <f t="shared" si="0"/>
        <v>1</v>
      </c>
      <c r="I25" s="4">
        <v>1087425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11" t="s">
        <v>631</v>
      </c>
      <c r="E26" s="33"/>
      <c r="F26" t="s">
        <v>131</v>
      </c>
      <c r="G26" t="s">
        <v>25</v>
      </c>
      <c r="H26">
        <f t="shared" si="0"/>
        <v>2</v>
      </c>
      <c r="I26" s="4">
        <v>1668410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959</v>
      </c>
      <c r="E27" s="33"/>
      <c r="F27" t="s">
        <v>199</v>
      </c>
      <c r="G27" t="s">
        <v>93</v>
      </c>
      <c r="H27">
        <f t="shared" si="0"/>
        <v>5</v>
      </c>
      <c r="I27" s="4">
        <v>2878650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960</v>
      </c>
      <c r="E28" s="33"/>
      <c r="F28" t="s">
        <v>432</v>
      </c>
      <c r="G28" t="s">
        <v>93</v>
      </c>
      <c r="H28">
        <f t="shared" si="0"/>
        <v>4</v>
      </c>
      <c r="I28" s="4">
        <v>1880575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/>
      <c r="I36" s="4"/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ref="E37:E43" si="2">IF(H37=1,"t","")</f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438" priority="17" operator="containsText" text="FAIL">
      <formula>NOT(ISERROR(SEARCH("FAIL",I9)))</formula>
    </cfRule>
  </conditionalFormatting>
  <conditionalFormatting sqref="I9">
    <cfRule type="containsText" dxfId="1437" priority="16" operator="containsText" text="GOOD">
      <formula>NOT(ISERROR(SEARCH("GOOD",I9)))</formula>
    </cfRule>
  </conditionalFormatting>
  <conditionalFormatting sqref="F11">
    <cfRule type="containsText" dxfId="1436" priority="15" operator="containsText" text="FAIL">
      <formula>NOT(ISERROR(SEARCH("FAIL",F11)))</formula>
    </cfRule>
  </conditionalFormatting>
  <conditionalFormatting sqref="F11">
    <cfRule type="containsText" dxfId="1435" priority="14" operator="containsText" text="GOOD">
      <formula>NOT(ISERROR(SEARCH("GOOD",F11)))</formula>
    </cfRule>
  </conditionalFormatting>
  <conditionalFormatting sqref="D25">
    <cfRule type="expression" dxfId="1434" priority="13" stopIfTrue="1">
      <formula>IF($H$25=1,0)</formula>
    </cfRule>
  </conditionalFormatting>
  <conditionalFormatting sqref="D23:D25 D32:D43">
    <cfRule type="expression" dxfId="1433" priority="12">
      <formula>H23=1</formula>
    </cfRule>
  </conditionalFormatting>
  <conditionalFormatting sqref="C23:C26 C32:C43">
    <cfRule type="expression" dxfId="1432" priority="11">
      <formula>H23=1</formula>
    </cfRule>
  </conditionalFormatting>
  <conditionalFormatting sqref="E23:E26 E32:E43">
    <cfRule type="expression" dxfId="1431" priority="10">
      <formula>H23=1</formula>
    </cfRule>
  </conditionalFormatting>
  <conditionalFormatting sqref="F11">
    <cfRule type="containsText" dxfId="1430" priority="9" operator="containsText" text="FAIL">
      <formula>NOT(ISERROR(SEARCH("FAIL",F11)))</formula>
    </cfRule>
  </conditionalFormatting>
  <conditionalFormatting sqref="F11">
    <cfRule type="containsText" dxfId="1429" priority="8" operator="containsText" text="GOOD">
      <formula>NOT(ISERROR(SEARCH("GOOD",F11)))</formula>
    </cfRule>
  </conditionalFormatting>
  <conditionalFormatting sqref="D27:D28">
    <cfRule type="expression" dxfId="1428" priority="7">
      <formula>H27=1</formula>
    </cfRule>
  </conditionalFormatting>
  <conditionalFormatting sqref="C27:C28">
    <cfRule type="expression" dxfId="1427" priority="6">
      <formula>H27=1</formula>
    </cfRule>
  </conditionalFormatting>
  <conditionalFormatting sqref="E27:E28">
    <cfRule type="expression" dxfId="1426" priority="5">
      <formula>H27=1</formula>
    </cfRule>
  </conditionalFormatting>
  <conditionalFormatting sqref="D26">
    <cfRule type="expression" dxfId="1425" priority="4">
      <formula>H26=1</formula>
    </cfRule>
  </conditionalFormatting>
  <conditionalFormatting sqref="D29:D31">
    <cfRule type="expression" dxfId="1424" priority="3">
      <formula>H29=1</formula>
    </cfRule>
  </conditionalFormatting>
  <conditionalFormatting sqref="C29:C31">
    <cfRule type="expression" dxfId="1423" priority="2">
      <formula>H29=1</formula>
    </cfRule>
  </conditionalFormatting>
  <conditionalFormatting sqref="E29:E31">
    <cfRule type="expression" dxfId="1422" priority="1">
      <formula>H29=1</formula>
    </cfRule>
  </conditionalFormatting>
  <pageMargins left="0.7" right="0.7" top="0.75" bottom="0.75" header="0.3" footer="0.3"/>
  <pageSetup scale="68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2:O47"/>
  <sheetViews>
    <sheetView zoomScaleNormal="100" workbookViewId="0">
      <selection activeCell="I24" sqref="I2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941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940</v>
      </c>
    </row>
    <row r="6" spans="1:11" x14ac:dyDescent="0.25">
      <c r="D6" s="2" t="s">
        <v>2</v>
      </c>
      <c r="F6" s="6">
        <v>42789</v>
      </c>
      <c r="H6" s="11"/>
    </row>
    <row r="7" spans="1:11" x14ac:dyDescent="0.25">
      <c r="D7" s="2" t="s">
        <v>3</v>
      </c>
      <c r="F7" s="5">
        <v>240000</v>
      </c>
      <c r="G7" s="2" t="s">
        <v>693</v>
      </c>
      <c r="H7" s="11"/>
    </row>
    <row r="8" spans="1:11" x14ac:dyDescent="0.25">
      <c r="D8" s="2" t="s">
        <v>18</v>
      </c>
      <c r="F8" s="5">
        <f>MIN(I23:I43)</f>
        <v>97300</v>
      </c>
      <c r="H8" s="11"/>
    </row>
    <row r="9" spans="1:11" x14ac:dyDescent="0.25">
      <c r="D9" s="2" t="s">
        <v>67</v>
      </c>
      <c r="F9" s="4">
        <f>+F8-F7</f>
        <v>-142700</v>
      </c>
      <c r="G9" s="16">
        <f>+F9/F7</f>
        <v>-0.59458333333333335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30063.333333333343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209936.66666666666</v>
      </c>
      <c r="G12" s="14"/>
      <c r="H12" s="11">
        <f>COUNT(I23:I43)</f>
        <v>6</v>
      </c>
      <c r="I12" s="1" t="s">
        <v>31</v>
      </c>
      <c r="J12" s="4">
        <f>+F8*0.9</f>
        <v>87570</v>
      </c>
      <c r="K12" s="1" t="s">
        <v>69</v>
      </c>
    </row>
    <row r="13" spans="1:11" x14ac:dyDescent="0.25">
      <c r="D13" s="2" t="s">
        <v>29</v>
      </c>
      <c r="F13" s="4">
        <f>MAX(I23:I43)-MIN(I23:I43)</f>
        <v>229020</v>
      </c>
      <c r="G13" s="269">
        <f>MEDIAN(I23:I43)</f>
        <v>222500</v>
      </c>
      <c r="H13" s="270"/>
      <c r="I13" s="1" t="s">
        <v>30</v>
      </c>
      <c r="J13" s="4">
        <f>+F12*1.1</f>
        <v>230930.33333333334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942</v>
      </c>
      <c r="E23" s="33"/>
      <c r="F23" t="s">
        <v>943</v>
      </c>
      <c r="G23" t="s">
        <v>25</v>
      </c>
      <c r="H23">
        <f t="shared" ref="H23:H28" si="0">RANK(I23,I$23:I$43,1)</f>
        <v>1</v>
      </c>
      <c r="I23" s="4">
        <v>97300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944</v>
      </c>
      <c r="E24" s="33"/>
      <c r="F24" t="s">
        <v>139</v>
      </c>
      <c r="G24" t="s">
        <v>25</v>
      </c>
      <c r="H24">
        <f t="shared" si="0"/>
        <v>5</v>
      </c>
      <c r="I24" s="4">
        <v>249000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945</v>
      </c>
      <c r="E25" s="33"/>
      <c r="F25" t="s">
        <v>532</v>
      </c>
      <c r="G25" t="s">
        <v>93</v>
      </c>
      <c r="H25">
        <f t="shared" si="0"/>
        <v>3</v>
      </c>
      <c r="I25" s="4">
        <v>210000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11" t="s">
        <v>641</v>
      </c>
      <c r="E26" s="33"/>
      <c r="F26" t="s">
        <v>147</v>
      </c>
      <c r="G26" t="s">
        <v>93</v>
      </c>
      <c r="H26">
        <f t="shared" si="0"/>
        <v>2</v>
      </c>
      <c r="I26" s="4">
        <v>142000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946</v>
      </c>
      <c r="E27" s="33"/>
      <c r="F27" t="s">
        <v>181</v>
      </c>
      <c r="G27" t="s">
        <v>93</v>
      </c>
      <c r="H27">
        <f t="shared" si="0"/>
        <v>6</v>
      </c>
      <c r="I27" s="4">
        <v>326320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708</v>
      </c>
      <c r="E28" s="33"/>
      <c r="F28" t="s">
        <v>709</v>
      </c>
      <c r="G28" t="s">
        <v>93</v>
      </c>
      <c r="H28">
        <f t="shared" si="0"/>
        <v>4</v>
      </c>
      <c r="I28" s="4">
        <v>235000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/>
      <c r="I36" s="4"/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ref="E37:E43" si="2">IF(H37=1,"t","")</f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421" priority="17" operator="containsText" text="FAIL">
      <formula>NOT(ISERROR(SEARCH("FAIL",I9)))</formula>
    </cfRule>
  </conditionalFormatting>
  <conditionalFormatting sqref="I9">
    <cfRule type="containsText" dxfId="1420" priority="16" operator="containsText" text="GOOD">
      <formula>NOT(ISERROR(SEARCH("GOOD",I9)))</formula>
    </cfRule>
  </conditionalFormatting>
  <conditionalFormatting sqref="F11">
    <cfRule type="containsText" dxfId="1419" priority="15" operator="containsText" text="FAIL">
      <formula>NOT(ISERROR(SEARCH("FAIL",F11)))</formula>
    </cfRule>
  </conditionalFormatting>
  <conditionalFormatting sqref="F11">
    <cfRule type="containsText" dxfId="1418" priority="14" operator="containsText" text="GOOD">
      <formula>NOT(ISERROR(SEARCH("GOOD",F11)))</formula>
    </cfRule>
  </conditionalFormatting>
  <conditionalFormatting sqref="D25">
    <cfRule type="expression" dxfId="1417" priority="13" stopIfTrue="1">
      <formula>IF($H$25=1,0)</formula>
    </cfRule>
  </conditionalFormatting>
  <conditionalFormatting sqref="D23:D25 D32:D43">
    <cfRule type="expression" dxfId="1416" priority="12">
      <formula>H23=1</formula>
    </cfRule>
  </conditionalFormatting>
  <conditionalFormatting sqref="C23:C26 C32:C43">
    <cfRule type="expression" dxfId="1415" priority="11">
      <formula>H23=1</formula>
    </cfRule>
  </conditionalFormatting>
  <conditionalFormatting sqref="E23:E26 E32:E43">
    <cfRule type="expression" dxfId="1414" priority="10">
      <formula>H23=1</formula>
    </cfRule>
  </conditionalFormatting>
  <conditionalFormatting sqref="F11">
    <cfRule type="containsText" dxfId="1413" priority="9" operator="containsText" text="FAIL">
      <formula>NOT(ISERROR(SEARCH("FAIL",F11)))</formula>
    </cfRule>
  </conditionalFormatting>
  <conditionalFormatting sqref="F11">
    <cfRule type="containsText" dxfId="1412" priority="8" operator="containsText" text="GOOD">
      <formula>NOT(ISERROR(SEARCH("GOOD",F11)))</formula>
    </cfRule>
  </conditionalFormatting>
  <conditionalFormatting sqref="D27:D28">
    <cfRule type="expression" dxfId="1411" priority="7">
      <formula>H27=1</formula>
    </cfRule>
  </conditionalFormatting>
  <conditionalFormatting sqref="C27:C28">
    <cfRule type="expression" dxfId="1410" priority="6">
      <formula>H27=1</formula>
    </cfRule>
  </conditionalFormatting>
  <conditionalFormatting sqref="E27:E28">
    <cfRule type="expression" dxfId="1409" priority="5">
      <formula>H27=1</formula>
    </cfRule>
  </conditionalFormatting>
  <conditionalFormatting sqref="D26">
    <cfRule type="expression" dxfId="1408" priority="4">
      <formula>H26=1</formula>
    </cfRule>
  </conditionalFormatting>
  <conditionalFormatting sqref="D29:D31">
    <cfRule type="expression" dxfId="1407" priority="3">
      <formula>H29=1</formula>
    </cfRule>
  </conditionalFormatting>
  <conditionalFormatting sqref="C29:C31">
    <cfRule type="expression" dxfId="1406" priority="2">
      <formula>H29=1</formula>
    </cfRule>
  </conditionalFormatting>
  <conditionalFormatting sqref="E29:E31">
    <cfRule type="expression" dxfId="1405" priority="1">
      <formula>H29=1</formula>
    </cfRule>
  </conditionalFormatting>
  <pageMargins left="0.7" right="0.7" top="0.75" bottom="0.75" header="0.3" footer="0.3"/>
  <pageSetup scale="68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2:P47"/>
  <sheetViews>
    <sheetView zoomScaleNormal="100" workbookViewId="0">
      <selection activeCell="I32" sqref="I32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6" width="15.7109375" customWidth="1"/>
  </cols>
  <sheetData>
    <row r="2" spans="1:15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  <c r="L2" s="15"/>
    </row>
    <row r="3" spans="1:15" ht="18.75" x14ac:dyDescent="0.3">
      <c r="C3" s="3" t="s">
        <v>26</v>
      </c>
      <c r="J3" s="8" t="s">
        <v>48</v>
      </c>
    </row>
    <row r="4" spans="1:15" x14ac:dyDescent="0.25">
      <c r="C4" s="1"/>
      <c r="D4" s="2" t="s">
        <v>0</v>
      </c>
      <c r="E4" s="1"/>
      <c r="F4" t="s">
        <v>912</v>
      </c>
      <c r="I4" s="2" t="s">
        <v>4</v>
      </c>
      <c r="J4" t="s">
        <v>630</v>
      </c>
    </row>
    <row r="5" spans="1:15" x14ac:dyDescent="0.25">
      <c r="D5" s="2" t="s">
        <v>1</v>
      </c>
      <c r="F5" t="s">
        <v>935</v>
      </c>
    </row>
    <row r="6" spans="1:15" x14ac:dyDescent="0.25">
      <c r="D6" s="2" t="s">
        <v>2</v>
      </c>
      <c r="F6" s="6">
        <v>42789</v>
      </c>
      <c r="H6" s="11"/>
    </row>
    <row r="7" spans="1:15" x14ac:dyDescent="0.25">
      <c r="D7" s="2" t="s">
        <v>3</v>
      </c>
      <c r="F7" s="5">
        <f>+L7+K7+J7+I7+(M7*K7)</f>
        <v>479900000</v>
      </c>
      <c r="G7" s="2" t="s">
        <v>190</v>
      </c>
      <c r="H7" s="11"/>
      <c r="I7" s="19">
        <v>9500000</v>
      </c>
      <c r="J7" s="19">
        <f>442500000</f>
        <v>442500000</v>
      </c>
      <c r="K7" s="19">
        <v>22000000</v>
      </c>
      <c r="L7" s="19">
        <v>2600000</v>
      </c>
      <c r="M7" s="20">
        <v>0.15</v>
      </c>
    </row>
    <row r="8" spans="1:15" x14ac:dyDescent="0.25">
      <c r="D8" s="2" t="s">
        <v>18</v>
      </c>
      <c r="F8" s="5">
        <f>MIN(M23:M43)</f>
        <v>451841280</v>
      </c>
      <c r="H8" s="11"/>
      <c r="I8" s="18" t="s">
        <v>43</v>
      </c>
      <c r="J8" s="18" t="s">
        <v>44</v>
      </c>
      <c r="K8" s="18" t="s">
        <v>49</v>
      </c>
      <c r="L8" s="18" t="s">
        <v>934</v>
      </c>
      <c r="M8" s="18" t="s">
        <v>50</v>
      </c>
    </row>
    <row r="9" spans="1:15" x14ac:dyDescent="0.25">
      <c r="D9" s="2" t="s">
        <v>19</v>
      </c>
      <c r="F9" s="4">
        <f>+F8-F7</f>
        <v>-28058720</v>
      </c>
      <c r="G9" s="16">
        <f>+F9/F7</f>
        <v>-5.8467847468222547E-2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5" x14ac:dyDescent="0.25">
      <c r="D10" s="2" t="s">
        <v>68</v>
      </c>
      <c r="F10" s="4">
        <f>+F7-F12</f>
        <v>-41995915.399999976</v>
      </c>
      <c r="H10" s="11"/>
      <c r="K10" s="31"/>
      <c r="L10" s="31"/>
      <c r="O10" t="e">
        <f>LOOKUP(1,D23:D43)</f>
        <v>#N/A</v>
      </c>
    </row>
    <row r="11" spans="1:15" x14ac:dyDescent="0.25">
      <c r="A11" s="30"/>
      <c r="D11" s="2" t="s">
        <v>71</v>
      </c>
      <c r="F11" s="11" t="str">
        <f>(IF(F7&lt;J12,"FAIL",IF(F7&gt;J13,"FAIL","GOOD")))</f>
        <v>GOOD</v>
      </c>
      <c r="H11" s="11"/>
      <c r="M11" s="31"/>
      <c r="O11" t="e">
        <f>MATCH(1,D23:H43,0)</f>
        <v>#N/A</v>
      </c>
    </row>
    <row r="12" spans="1:15" x14ac:dyDescent="0.25">
      <c r="D12" s="2" t="s">
        <v>28</v>
      </c>
      <c r="F12" s="4">
        <f>SUM(M23:M43)/H12</f>
        <v>521895915.39999998</v>
      </c>
      <c r="G12" s="14"/>
      <c r="H12" s="11">
        <f>COUNT(M23:M43)</f>
        <v>5</v>
      </c>
      <c r="I12" s="1" t="s">
        <v>31</v>
      </c>
      <c r="J12" s="4">
        <f>+F8*0.9</f>
        <v>406657152</v>
      </c>
      <c r="K12" s="1" t="s">
        <v>69</v>
      </c>
      <c r="L12" s="1"/>
      <c r="O12" t="str">
        <f>INDEX(D23:D43,MATCH(1,H23:H43,0))</f>
        <v>Skanska Koch</v>
      </c>
    </row>
    <row r="13" spans="1:15" x14ac:dyDescent="0.25">
      <c r="D13" s="2" t="s">
        <v>29</v>
      </c>
      <c r="F13" s="4">
        <f>MAX(M23:M43)-MIN(M23:M43)</f>
        <v>202277720</v>
      </c>
      <c r="G13" s="269">
        <f>MEDIAN(M23:M43)</f>
        <v>493677000</v>
      </c>
      <c r="H13" s="270"/>
      <c r="I13" s="1" t="s">
        <v>30</v>
      </c>
      <c r="J13" s="4">
        <f>+F12*1.1</f>
        <v>574085506.94000006</v>
      </c>
      <c r="K13" s="1" t="s">
        <v>70</v>
      </c>
      <c r="L13" s="1"/>
    </row>
    <row r="14" spans="1:15" x14ac:dyDescent="0.25">
      <c r="H14" s="11"/>
    </row>
    <row r="15" spans="1:15" x14ac:dyDescent="0.25">
      <c r="D15" s="2" t="s">
        <v>8</v>
      </c>
      <c r="F15" s="4">
        <v>5000000</v>
      </c>
      <c r="G15" s="1" t="s">
        <v>9</v>
      </c>
      <c r="H15" s="11"/>
      <c r="I15" t="s">
        <v>15</v>
      </c>
      <c r="J15" s="7">
        <f>+F16/F15</f>
        <v>1.2</v>
      </c>
    </row>
    <row r="16" spans="1:15" x14ac:dyDescent="0.25">
      <c r="F16" s="4">
        <v>6000000</v>
      </c>
      <c r="G16" s="1" t="s">
        <v>10</v>
      </c>
      <c r="H16" s="11"/>
      <c r="I16" t="s">
        <v>14</v>
      </c>
      <c r="J16" s="7">
        <f>+F17/F16</f>
        <v>1.0833333333333333</v>
      </c>
    </row>
    <row r="17" spans="3:16" x14ac:dyDescent="0.25">
      <c r="F17" s="4">
        <v>6500000</v>
      </c>
      <c r="G17" s="1" t="s">
        <v>11</v>
      </c>
      <c r="H17" s="11"/>
      <c r="I17" t="s">
        <v>13</v>
      </c>
      <c r="J17" s="7">
        <f>+F18/F17</f>
        <v>73.830769230769235</v>
      </c>
    </row>
    <row r="18" spans="3:16" x14ac:dyDescent="0.25">
      <c r="F18" s="4">
        <f>+F7</f>
        <v>479900000</v>
      </c>
      <c r="G18" s="1" t="s">
        <v>12</v>
      </c>
      <c r="H18" s="11"/>
      <c r="I18" t="s">
        <v>16</v>
      </c>
      <c r="J18" s="7">
        <f>+F8/F18</f>
        <v>0.94153215253177747</v>
      </c>
    </row>
    <row r="19" spans="3:16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90.368256000000002</v>
      </c>
    </row>
    <row r="20" spans="3:16" x14ac:dyDescent="0.25">
      <c r="H20" s="11"/>
    </row>
    <row r="21" spans="3:16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7" t="s">
        <v>42</v>
      </c>
      <c r="M21" s="10" t="s">
        <v>39</v>
      </c>
      <c r="N21" s="21"/>
      <c r="O21" s="21"/>
      <c r="P21" s="21"/>
    </row>
    <row r="22" spans="3:16" ht="6" customHeight="1" x14ac:dyDescent="0.25">
      <c r="N22" s="21"/>
      <c r="O22" s="21"/>
      <c r="P22" s="21"/>
    </row>
    <row r="23" spans="3:16" x14ac:dyDescent="0.25">
      <c r="C23" s="33" t="str">
        <f>IF(H23=1,"u","")</f>
        <v>u</v>
      </c>
      <c r="D23" s="11" t="s">
        <v>506</v>
      </c>
      <c r="E23" s="33"/>
      <c r="F23" t="s">
        <v>40</v>
      </c>
      <c r="G23" t="s">
        <v>25</v>
      </c>
      <c r="H23">
        <f>RANK(M23,M$23:M$43,1)</f>
        <v>1</v>
      </c>
      <c r="I23" s="4">
        <v>5069900</v>
      </c>
      <c r="J23" s="4">
        <v>417393236</v>
      </c>
      <c r="K23" s="4">
        <v>2538144</v>
      </c>
      <c r="L23" s="7">
        <v>0.22</v>
      </c>
      <c r="M23" s="4">
        <f>+K23+I23+J23+(L23*K$7)+$K$7</f>
        <v>451841280</v>
      </c>
      <c r="N23" s="22"/>
      <c r="O23" s="22"/>
      <c r="P23" s="22"/>
    </row>
    <row r="24" spans="3:16" x14ac:dyDescent="0.25">
      <c r="C24" s="33" t="str">
        <f>IF(H24=1,"u","")</f>
        <v/>
      </c>
      <c r="D24" s="11" t="s">
        <v>947</v>
      </c>
      <c r="E24" s="33"/>
      <c r="F24" t="s">
        <v>145</v>
      </c>
      <c r="G24" t="s">
        <v>25</v>
      </c>
      <c r="H24">
        <f>RANK(M24,M$23:M$43,1)</f>
        <v>4</v>
      </c>
      <c r="I24" s="4">
        <v>5362974</v>
      </c>
      <c r="J24" s="4">
        <v>494680941</v>
      </c>
      <c r="K24" s="4">
        <v>7053382</v>
      </c>
      <c r="L24" s="7">
        <v>0.05</v>
      </c>
      <c r="M24" s="4">
        <f>+K24+I24+J24+(L24*K$7)+$K$7</f>
        <v>530197297</v>
      </c>
      <c r="N24" s="22"/>
      <c r="O24" s="22"/>
      <c r="P24" s="22"/>
    </row>
    <row r="25" spans="3:16" x14ac:dyDescent="0.25">
      <c r="C25" s="33" t="str">
        <f>IF(H25=1,"u","")</f>
        <v/>
      </c>
      <c r="D25" s="11" t="s">
        <v>913</v>
      </c>
      <c r="E25" s="33"/>
      <c r="F25" t="s">
        <v>937</v>
      </c>
      <c r="G25" t="s">
        <v>25</v>
      </c>
      <c r="H25">
        <f>RANK(M25,M$23:M$43,1)</f>
        <v>2</v>
      </c>
      <c r="I25" s="4">
        <v>3749620</v>
      </c>
      <c r="J25" s="4">
        <v>445395380</v>
      </c>
      <c r="K25" s="4">
        <v>3000000</v>
      </c>
      <c r="L25" s="7">
        <v>0.25</v>
      </c>
      <c r="M25" s="4">
        <f>+K25+I25+J25+(L25*K$7)+$K$7</f>
        <v>479645000</v>
      </c>
      <c r="N25" s="22"/>
      <c r="O25" s="22"/>
      <c r="P25" s="22"/>
    </row>
    <row r="26" spans="3:16" x14ac:dyDescent="0.25">
      <c r="C26" s="33" t="str">
        <f t="shared" ref="C26:C43" si="0">IF(H26=1,"u","")</f>
        <v/>
      </c>
      <c r="D26" s="11" t="s">
        <v>939</v>
      </c>
      <c r="E26" s="33"/>
      <c r="F26" t="s">
        <v>295</v>
      </c>
      <c r="G26" t="s">
        <v>25</v>
      </c>
      <c r="H26">
        <f>RANK(M26,M$23:M$43,1)</f>
        <v>5</v>
      </c>
      <c r="I26" s="4">
        <v>3045300</v>
      </c>
      <c r="J26" s="4">
        <v>622309700</v>
      </c>
      <c r="K26" s="4">
        <v>2364000</v>
      </c>
      <c r="L26" s="7">
        <v>0.2</v>
      </c>
      <c r="M26" s="4">
        <f>+K26+I26+J26+(L26*K$7)+$K$7</f>
        <v>654119000</v>
      </c>
      <c r="N26" s="22"/>
      <c r="O26" s="22"/>
      <c r="P26" s="22"/>
    </row>
    <row r="27" spans="3:16" x14ac:dyDescent="0.25">
      <c r="C27" s="33" t="str">
        <f t="shared" si="0"/>
        <v/>
      </c>
      <c r="D27" s="11" t="s">
        <v>938</v>
      </c>
      <c r="E27" s="33"/>
      <c r="F27" t="s">
        <v>100</v>
      </c>
      <c r="G27" t="s">
        <v>93</v>
      </c>
      <c r="H27">
        <f>RANK(M27,M$23:M$43,1)</f>
        <v>3</v>
      </c>
      <c r="I27" s="4">
        <v>3123680</v>
      </c>
      <c r="J27" s="4">
        <v>459273320</v>
      </c>
      <c r="K27" s="4">
        <v>3780000</v>
      </c>
      <c r="L27" s="7">
        <v>0.25</v>
      </c>
      <c r="M27" s="4">
        <f>+K27+I27+J27+(L27*K$7)+$K$7</f>
        <v>493677000</v>
      </c>
      <c r="N27" s="22"/>
      <c r="O27" s="22"/>
      <c r="P27" s="22"/>
    </row>
    <row r="28" spans="3:16" x14ac:dyDescent="0.25">
      <c r="C28" s="33"/>
      <c r="D28" s="11"/>
      <c r="E28" s="33"/>
      <c r="I28" s="4"/>
      <c r="J28" s="4"/>
      <c r="K28" s="7"/>
      <c r="L28" s="7"/>
      <c r="M28" s="4"/>
      <c r="N28" s="22"/>
      <c r="O28" s="22"/>
      <c r="P28" s="22"/>
    </row>
    <row r="29" spans="3:16" x14ac:dyDescent="0.25">
      <c r="C29" s="33"/>
      <c r="D29" s="11"/>
      <c r="E29" s="33"/>
      <c r="I29" s="4"/>
      <c r="J29" s="4"/>
      <c r="K29" s="7"/>
      <c r="L29" s="7"/>
      <c r="M29" s="4"/>
      <c r="N29" s="22"/>
      <c r="O29" s="22"/>
      <c r="P29" s="22"/>
    </row>
    <row r="30" spans="3:16" x14ac:dyDescent="0.25">
      <c r="C30" s="33" t="str">
        <f t="shared" si="0"/>
        <v/>
      </c>
      <c r="D30" s="11"/>
      <c r="E30" s="33" t="str">
        <f t="shared" ref="E30:E43" si="1">IF(H30=1,"t","")</f>
        <v/>
      </c>
      <c r="I30" s="4"/>
      <c r="J30" s="4"/>
      <c r="K30" s="7"/>
      <c r="L30" s="7"/>
      <c r="M30" s="4"/>
      <c r="N30" s="22"/>
      <c r="O30" s="22"/>
      <c r="P30" s="22"/>
    </row>
    <row r="31" spans="3:16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7"/>
      <c r="L31" s="7"/>
      <c r="M31" s="4"/>
      <c r="N31" s="22"/>
      <c r="O31" s="22"/>
      <c r="P31" s="22"/>
    </row>
    <row r="32" spans="3:16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7"/>
      <c r="L32" s="7"/>
      <c r="M32" s="4"/>
      <c r="N32" s="22"/>
      <c r="O32" s="22"/>
      <c r="P32" s="22"/>
    </row>
    <row r="33" spans="3:16" x14ac:dyDescent="0.25">
      <c r="C33" s="33" t="str">
        <f t="shared" si="0"/>
        <v/>
      </c>
      <c r="D33" s="11"/>
      <c r="E33" s="33" t="str">
        <f t="shared" si="1"/>
        <v/>
      </c>
      <c r="I33" s="4"/>
      <c r="J33" s="4"/>
      <c r="K33" s="7"/>
      <c r="L33" s="7"/>
      <c r="M33" s="4"/>
      <c r="N33" s="21"/>
      <c r="O33" s="21"/>
      <c r="P33" s="21"/>
    </row>
    <row r="34" spans="3:16" x14ac:dyDescent="0.25">
      <c r="C34" s="33" t="str">
        <f t="shared" si="0"/>
        <v/>
      </c>
      <c r="D34" s="11"/>
      <c r="E34" s="33" t="str">
        <f t="shared" si="1"/>
        <v/>
      </c>
      <c r="K34" s="7"/>
      <c r="L34" s="7"/>
      <c r="N34" s="21"/>
      <c r="O34" s="21"/>
      <c r="P34" s="21"/>
    </row>
    <row r="35" spans="3:16" x14ac:dyDescent="0.25">
      <c r="C35" s="33" t="str">
        <f t="shared" si="0"/>
        <v/>
      </c>
      <c r="D35" s="11"/>
      <c r="E35" s="33" t="str">
        <f t="shared" si="1"/>
        <v/>
      </c>
      <c r="K35" s="7"/>
      <c r="L35" s="7"/>
      <c r="N35" s="21"/>
      <c r="O35" s="21"/>
      <c r="P35" s="21"/>
    </row>
    <row r="36" spans="3:16" x14ac:dyDescent="0.25">
      <c r="C36" s="33" t="str">
        <f t="shared" si="0"/>
        <v/>
      </c>
      <c r="D36" s="11"/>
      <c r="E36" s="33" t="str">
        <f t="shared" si="1"/>
        <v/>
      </c>
      <c r="K36" s="7"/>
      <c r="L36" s="7"/>
      <c r="N36" s="21"/>
      <c r="O36" s="21"/>
      <c r="P36" s="21"/>
    </row>
    <row r="37" spans="3:16" x14ac:dyDescent="0.25">
      <c r="C37" s="33" t="str">
        <f t="shared" si="0"/>
        <v/>
      </c>
      <c r="D37" s="11"/>
      <c r="E37" s="33" t="str">
        <f t="shared" si="1"/>
        <v/>
      </c>
      <c r="K37" s="7"/>
      <c r="L37" s="7"/>
      <c r="N37" s="21"/>
      <c r="O37" s="21"/>
      <c r="P37" s="21"/>
    </row>
    <row r="38" spans="3:16" x14ac:dyDescent="0.25">
      <c r="C38" s="33" t="str">
        <f t="shared" si="0"/>
        <v/>
      </c>
      <c r="D38" s="11"/>
      <c r="E38" s="33" t="str">
        <f t="shared" si="1"/>
        <v/>
      </c>
      <c r="K38" s="7"/>
      <c r="L38" s="7"/>
      <c r="N38" s="21"/>
      <c r="O38" s="21"/>
      <c r="P38" s="21"/>
    </row>
    <row r="39" spans="3:16" x14ac:dyDescent="0.25">
      <c r="C39" s="33" t="str">
        <f t="shared" si="0"/>
        <v/>
      </c>
      <c r="D39" s="11"/>
      <c r="E39" s="33" t="str">
        <f t="shared" si="1"/>
        <v/>
      </c>
      <c r="K39" s="7"/>
      <c r="L39" s="7"/>
      <c r="N39" s="21"/>
      <c r="O39" s="21"/>
      <c r="P39" s="21"/>
    </row>
    <row r="40" spans="3:16" x14ac:dyDescent="0.25">
      <c r="C40" s="33" t="str">
        <f t="shared" si="0"/>
        <v/>
      </c>
      <c r="D40" s="11"/>
      <c r="E40" s="33" t="str">
        <f t="shared" si="1"/>
        <v/>
      </c>
      <c r="K40" s="7"/>
      <c r="L40" s="7"/>
      <c r="N40" s="21"/>
      <c r="O40" s="21"/>
      <c r="P40" s="21"/>
    </row>
    <row r="41" spans="3:16" x14ac:dyDescent="0.25">
      <c r="C41" s="33" t="str">
        <f t="shared" si="0"/>
        <v/>
      </c>
      <c r="D41" s="11"/>
      <c r="E41" s="33" t="str">
        <f t="shared" si="1"/>
        <v/>
      </c>
      <c r="K41" s="7"/>
      <c r="L41" s="7"/>
      <c r="N41" s="21"/>
      <c r="O41" s="21"/>
      <c r="P41" s="21"/>
    </row>
    <row r="42" spans="3:16" x14ac:dyDescent="0.25">
      <c r="C42" s="33" t="str">
        <f t="shared" si="0"/>
        <v/>
      </c>
      <c r="D42" s="11"/>
      <c r="E42" s="33" t="str">
        <f t="shared" si="1"/>
        <v/>
      </c>
      <c r="K42" s="7"/>
      <c r="L42" s="7"/>
      <c r="N42" s="21"/>
      <c r="O42" s="21"/>
      <c r="P42" s="21"/>
    </row>
    <row r="43" spans="3:16" x14ac:dyDescent="0.25">
      <c r="C43" s="33" t="str">
        <f t="shared" si="0"/>
        <v/>
      </c>
      <c r="D43" s="11"/>
      <c r="E43" s="33" t="str">
        <f t="shared" si="1"/>
        <v/>
      </c>
      <c r="K43" s="7"/>
      <c r="L43" s="7"/>
      <c r="N43" s="21"/>
      <c r="O43" s="21"/>
      <c r="P43" s="21"/>
    </row>
    <row r="44" spans="3:16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21"/>
      <c r="O44" s="21"/>
      <c r="P44" s="21"/>
    </row>
    <row r="45" spans="3:16" ht="6" customHeight="1" x14ac:dyDescent="0.25">
      <c r="N45" s="21"/>
      <c r="O45" s="21"/>
      <c r="P45" s="21"/>
    </row>
    <row r="46" spans="3:16" x14ac:dyDescent="0.25">
      <c r="C46" s="15" t="s">
        <v>79</v>
      </c>
      <c r="N46" s="21"/>
      <c r="O46" s="21"/>
      <c r="P46" s="21"/>
    </row>
    <row r="47" spans="3:16" x14ac:dyDescent="0.25">
      <c r="C47" s="15" t="s">
        <v>78</v>
      </c>
      <c r="N47" s="21"/>
      <c r="O47" s="21"/>
      <c r="P47" s="21"/>
    </row>
  </sheetData>
  <mergeCells count="1">
    <mergeCell ref="G13:H13"/>
  </mergeCells>
  <conditionalFormatting sqref="I9 F11">
    <cfRule type="containsText" dxfId="1404" priority="8" operator="containsText" text="FAIL">
      <formula>NOT(ISERROR(SEARCH("FAIL",F9)))</formula>
    </cfRule>
  </conditionalFormatting>
  <conditionalFormatting sqref="I9 F11">
    <cfRule type="containsText" dxfId="1403" priority="7" operator="containsText" text="GOOD">
      <formula>NOT(ISERROR(SEARCH("GOOD",F9)))</formula>
    </cfRule>
  </conditionalFormatting>
  <conditionalFormatting sqref="I9">
    <cfRule type="containsText" dxfId="1402" priority="6" operator="containsText" text="FAIL">
      <formula>NOT(ISERROR(SEARCH("FAIL",I9)))</formula>
    </cfRule>
  </conditionalFormatting>
  <conditionalFormatting sqref="I9">
    <cfRule type="containsText" dxfId="1401" priority="5" operator="containsText" text="GOOD">
      <formula>NOT(ISERROR(SEARCH("GOOD",I9)))</formula>
    </cfRule>
  </conditionalFormatting>
  <conditionalFormatting sqref="D25">
    <cfRule type="expression" dxfId="1400" priority="4" stopIfTrue="1">
      <formula>IF($H$25=1,0)</formula>
    </cfRule>
  </conditionalFormatting>
  <conditionalFormatting sqref="D23:D43">
    <cfRule type="expression" dxfId="1399" priority="3">
      <formula>H23=1</formula>
    </cfRule>
  </conditionalFormatting>
  <conditionalFormatting sqref="C23:C43">
    <cfRule type="expression" dxfId="1398" priority="2">
      <formula>H23=1</formula>
    </cfRule>
  </conditionalFormatting>
  <conditionalFormatting sqref="E23:E43">
    <cfRule type="expression" dxfId="1397" priority="1">
      <formula>H23=1</formula>
    </cfRule>
  </conditionalFormatting>
  <pageMargins left="0.7" right="0.7" top="0.75" bottom="0.75" header="0.3" footer="0.3"/>
  <pageSetup scale="77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2:O56"/>
  <sheetViews>
    <sheetView zoomScaleNormal="100" workbookViewId="0">
      <selection activeCell="L31" sqref="L31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914</v>
      </c>
      <c r="I4" s="2" t="s">
        <v>4</v>
      </c>
      <c r="J4" t="s">
        <v>784</v>
      </c>
    </row>
    <row r="5" spans="1:11" x14ac:dyDescent="0.25">
      <c r="D5" s="2" t="s">
        <v>1</v>
      </c>
      <c r="F5" t="s">
        <v>933</v>
      </c>
    </row>
    <row r="6" spans="1:11" x14ac:dyDescent="0.25">
      <c r="D6" s="2" t="s">
        <v>2</v>
      </c>
      <c r="F6" s="6">
        <v>42787</v>
      </c>
      <c r="H6" s="11"/>
    </row>
    <row r="7" spans="1:11" x14ac:dyDescent="0.25">
      <c r="D7" s="2" t="s">
        <v>3</v>
      </c>
      <c r="F7" s="5">
        <f>+I7+J7</f>
        <v>10393000</v>
      </c>
      <c r="G7" s="2" t="s">
        <v>190</v>
      </c>
      <c r="H7" s="11"/>
      <c r="I7" s="19">
        <v>2915168</v>
      </c>
      <c r="J7" s="19">
        <v>7477832</v>
      </c>
    </row>
    <row r="8" spans="1:11" x14ac:dyDescent="0.25">
      <c r="D8" s="2" t="s">
        <v>18</v>
      </c>
      <c r="F8" s="5">
        <f>MIN(K23:K43)</f>
        <v>7903950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-2489050</v>
      </c>
      <c r="G9" s="16">
        <f>+F9/F7</f>
        <v>-0.2394929279322621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1478350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SUM(K23:K43)/H12</f>
        <v>8914650</v>
      </c>
      <c r="G12" s="14"/>
      <c r="H12" s="11">
        <f>COUNT(K23:K43)</f>
        <v>3</v>
      </c>
      <c r="I12" s="1" t="s">
        <v>31</v>
      </c>
      <c r="J12" s="4">
        <f>+F8*0.9</f>
        <v>7113555</v>
      </c>
      <c r="K12" s="1" t="s">
        <v>69</v>
      </c>
    </row>
    <row r="13" spans="1:11" x14ac:dyDescent="0.25">
      <c r="D13" s="2" t="s">
        <v>29</v>
      </c>
      <c r="F13" s="4">
        <f>MAX(K23:K43)-MIN(K23:K43)</f>
        <v>1760050</v>
      </c>
      <c r="G13" s="269">
        <f>MEDIAN(K23:K43)</f>
        <v>9176000</v>
      </c>
      <c r="H13" s="270"/>
      <c r="I13" s="1" t="s">
        <v>30</v>
      </c>
      <c r="J13" s="4">
        <f>+F12*1.1</f>
        <v>9806115</v>
      </c>
      <c r="K13" s="1" t="s">
        <v>70</v>
      </c>
    </row>
    <row r="14" spans="1:11" x14ac:dyDescent="0.25">
      <c r="H14" s="11"/>
    </row>
    <row r="15" spans="1:11" hidden="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hidden="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hidden="1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0.35230508474576272</v>
      </c>
    </row>
    <row r="18" spans="3:15" hidden="1" x14ac:dyDescent="0.25">
      <c r="F18" s="4">
        <f>+F7</f>
        <v>10393000</v>
      </c>
      <c r="G18" s="1" t="s">
        <v>12</v>
      </c>
      <c r="H18" s="11"/>
      <c r="I18" t="s">
        <v>16</v>
      </c>
      <c r="J18" s="7">
        <f>+F8/F18</f>
        <v>0.76050707206773793</v>
      </c>
    </row>
    <row r="19" spans="3:15" hidden="1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0.263465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541</v>
      </c>
      <c r="E23" s="33"/>
      <c r="F23" t="s">
        <v>159</v>
      </c>
      <c r="G23" t="s">
        <v>93</v>
      </c>
      <c r="H23">
        <f>RANK(K23,K$23:K$43,1)</f>
        <v>1</v>
      </c>
      <c r="I23" s="4">
        <v>2317950</v>
      </c>
      <c r="J23" s="4">
        <v>5586000</v>
      </c>
      <c r="K23" s="4">
        <f>+J23+I23</f>
        <v>7903950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665</v>
      </c>
      <c r="E24" s="33"/>
      <c r="F24" t="s">
        <v>413</v>
      </c>
      <c r="G24" t="s">
        <v>93</v>
      </c>
      <c r="H24">
        <f>RANK(K24,K$23:K$43,1)</f>
        <v>3</v>
      </c>
      <c r="I24" s="4">
        <v>2419750</v>
      </c>
      <c r="J24" s="4">
        <v>7244250</v>
      </c>
      <c r="K24" s="4">
        <f>+J24+I24</f>
        <v>9664000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915</v>
      </c>
      <c r="E25" s="33"/>
      <c r="F25" t="s">
        <v>195</v>
      </c>
      <c r="G25" t="s">
        <v>93</v>
      </c>
      <c r="H25">
        <f>RANK(K25,K$23:K$43,1)</f>
        <v>2</v>
      </c>
      <c r="I25" s="4">
        <v>3155250</v>
      </c>
      <c r="J25" s="4">
        <v>6020750</v>
      </c>
      <c r="K25" s="4">
        <f>+J25+I25</f>
        <v>9176000</v>
      </c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>IF(H34=1,"u","")</f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>IF(H35=1,"u","")</f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>IF(H36=1,"u","")</f>
        <v/>
      </c>
      <c r="D36" s="11"/>
      <c r="E36" s="33"/>
      <c r="I36" s="4"/>
      <c r="J36" s="4"/>
      <c r="K36" s="4"/>
      <c r="M36" s="21"/>
      <c r="N36" s="21"/>
      <c r="O36" s="21"/>
    </row>
    <row r="37" spans="3:15" x14ac:dyDescent="0.25">
      <c r="C37" s="33" t="str">
        <f>IF(H37=1,"u","")</f>
        <v/>
      </c>
      <c r="D37" s="11"/>
      <c r="E37" s="33"/>
      <c r="I37" s="4"/>
      <c r="J37" s="4"/>
      <c r="K37" s="4"/>
      <c r="M37" s="21"/>
      <c r="N37" s="21"/>
      <c r="O37" s="21"/>
    </row>
    <row r="38" spans="3:15" x14ac:dyDescent="0.25">
      <c r="C38" s="33" t="str">
        <f>IF(H38=1,"u","")</f>
        <v/>
      </c>
      <c r="D38" s="11"/>
      <c r="E38" s="33"/>
      <c r="I38" s="4"/>
      <c r="J38" s="4"/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>IF(H43=1,"t","")</f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  <row r="49" spans="3:10" x14ac:dyDescent="0.25">
      <c r="C49" s="31" t="s">
        <v>948</v>
      </c>
      <c r="D49" s="31"/>
      <c r="H49" t="s">
        <v>949</v>
      </c>
      <c r="I49" t="s">
        <v>784</v>
      </c>
      <c r="J49" s="6">
        <v>42802</v>
      </c>
    </row>
    <row r="50" spans="3:10" ht="6" customHeight="1" x14ac:dyDescent="0.25"/>
    <row r="51" spans="3:10" x14ac:dyDescent="0.25">
      <c r="D51" s="93" t="s">
        <v>950</v>
      </c>
    </row>
    <row r="52" spans="3:10" x14ac:dyDescent="0.25">
      <c r="D52" s="93" t="s">
        <v>951</v>
      </c>
    </row>
    <row r="53" spans="3:10" x14ac:dyDescent="0.25">
      <c r="D53" s="93" t="s">
        <v>952</v>
      </c>
    </row>
    <row r="54" spans="3:10" x14ac:dyDescent="0.25">
      <c r="D54" s="93" t="s">
        <v>953</v>
      </c>
    </row>
    <row r="55" spans="3:10" x14ac:dyDescent="0.25">
      <c r="D55" s="93" t="s">
        <v>954</v>
      </c>
    </row>
    <row r="56" spans="3:10" x14ac:dyDescent="0.25">
      <c r="D56" s="93" t="s">
        <v>955</v>
      </c>
    </row>
  </sheetData>
  <mergeCells count="1">
    <mergeCell ref="G13:H13"/>
  </mergeCells>
  <conditionalFormatting sqref="I9">
    <cfRule type="containsText" dxfId="1396" priority="27" operator="containsText" text="FAIL">
      <formula>NOT(ISERROR(SEARCH("FAIL",I9)))</formula>
    </cfRule>
  </conditionalFormatting>
  <conditionalFormatting sqref="I9">
    <cfRule type="containsText" dxfId="1395" priority="26" operator="containsText" text="GOOD">
      <formula>NOT(ISERROR(SEARCH("GOOD",I9)))</formula>
    </cfRule>
  </conditionalFormatting>
  <conditionalFormatting sqref="I9">
    <cfRule type="containsText" dxfId="1394" priority="25" operator="containsText" text="FAIL">
      <formula>NOT(ISERROR(SEARCH("FAIL",I9)))</formula>
    </cfRule>
  </conditionalFormatting>
  <conditionalFormatting sqref="I9">
    <cfRule type="containsText" dxfId="1393" priority="24" operator="containsText" text="GOOD">
      <formula>NOT(ISERROR(SEARCH("GOOD",I9)))</formula>
    </cfRule>
  </conditionalFormatting>
  <conditionalFormatting sqref="I9">
    <cfRule type="containsText" dxfId="1392" priority="23" operator="containsText" text="FAIL">
      <formula>NOT(ISERROR(SEARCH("FAIL",I9)))</formula>
    </cfRule>
  </conditionalFormatting>
  <conditionalFormatting sqref="I9">
    <cfRule type="containsText" dxfId="1391" priority="22" operator="containsText" text="GOOD">
      <formula>NOT(ISERROR(SEARCH("GOOD",I9)))</formula>
    </cfRule>
  </conditionalFormatting>
  <conditionalFormatting sqref="F11">
    <cfRule type="containsText" dxfId="1390" priority="21" operator="containsText" text="FAIL">
      <formula>NOT(ISERROR(SEARCH("FAIL",F11)))</formula>
    </cfRule>
  </conditionalFormatting>
  <conditionalFormatting sqref="F11">
    <cfRule type="containsText" dxfId="1389" priority="20" operator="containsText" text="GOOD">
      <formula>NOT(ISERROR(SEARCH("GOOD",F11)))</formula>
    </cfRule>
  </conditionalFormatting>
  <conditionalFormatting sqref="I9">
    <cfRule type="containsText" dxfId="1388" priority="19" operator="containsText" text="FAIL">
      <formula>NOT(ISERROR(SEARCH("FAIL",I9)))</formula>
    </cfRule>
  </conditionalFormatting>
  <conditionalFormatting sqref="I9">
    <cfRule type="containsText" dxfId="1387" priority="18" operator="containsText" text="GOOD">
      <formula>NOT(ISERROR(SEARCH("GOOD",I9)))</formula>
    </cfRule>
  </conditionalFormatting>
  <conditionalFormatting sqref="F11">
    <cfRule type="containsText" dxfId="1386" priority="17" operator="containsText" text="FAIL">
      <formula>NOT(ISERROR(SEARCH("FAIL",F11)))</formula>
    </cfRule>
  </conditionalFormatting>
  <conditionalFormatting sqref="F11">
    <cfRule type="containsText" dxfId="1385" priority="16" operator="containsText" text="GOOD">
      <formula>NOT(ISERROR(SEARCH("GOOD",F11)))</formula>
    </cfRule>
  </conditionalFormatting>
  <conditionalFormatting sqref="D25">
    <cfRule type="expression" dxfId="1384" priority="15" stopIfTrue="1">
      <formula>IF($H$25=1,0)</formula>
    </cfRule>
  </conditionalFormatting>
  <conditionalFormatting sqref="D23:D33 D39:D43">
    <cfRule type="expression" dxfId="1383" priority="14">
      <formula>H23=1</formula>
    </cfRule>
  </conditionalFormatting>
  <conditionalFormatting sqref="C23:C33 C39:C43">
    <cfRule type="expression" dxfId="1382" priority="13">
      <formula>H23=1</formula>
    </cfRule>
  </conditionalFormatting>
  <conditionalFormatting sqref="E23:E33 E39:E43">
    <cfRule type="expression" dxfId="1381" priority="12">
      <formula>H23=1</formula>
    </cfRule>
  </conditionalFormatting>
  <conditionalFormatting sqref="E23:E33 E39:E43">
    <cfRule type="expression" dxfId="1380" priority="11">
      <formula>H23=1</formula>
    </cfRule>
  </conditionalFormatting>
  <conditionalFormatting sqref="F11">
    <cfRule type="containsText" dxfId="1379" priority="10" operator="containsText" text="FAIL">
      <formula>NOT(ISERROR(SEARCH("FAIL",F11)))</formula>
    </cfRule>
  </conditionalFormatting>
  <conditionalFormatting sqref="F11">
    <cfRule type="containsText" dxfId="1378" priority="9" operator="containsText" text="GOOD">
      <formula>NOT(ISERROR(SEARCH("GOOD",F11)))</formula>
    </cfRule>
  </conditionalFormatting>
  <conditionalFormatting sqref="D34:D37">
    <cfRule type="expression" dxfId="1377" priority="8">
      <formula>H34=1</formula>
    </cfRule>
  </conditionalFormatting>
  <conditionalFormatting sqref="C34:C37">
    <cfRule type="expression" dxfId="1376" priority="7">
      <formula>H34=1</formula>
    </cfRule>
  </conditionalFormatting>
  <conditionalFormatting sqref="E34:E37">
    <cfRule type="expression" dxfId="1375" priority="6">
      <formula>H34=1</formula>
    </cfRule>
  </conditionalFormatting>
  <conditionalFormatting sqref="E34:E37">
    <cfRule type="expression" dxfId="1374" priority="5">
      <formula>H34=1</formula>
    </cfRule>
  </conditionalFormatting>
  <conditionalFormatting sqref="D38">
    <cfRule type="expression" dxfId="1373" priority="4">
      <formula>H38=1</formula>
    </cfRule>
  </conditionalFormatting>
  <conditionalFormatting sqref="C38">
    <cfRule type="expression" dxfId="1372" priority="3">
      <formula>H38=1</formula>
    </cfRule>
  </conditionalFormatting>
  <conditionalFormatting sqref="E38">
    <cfRule type="expression" dxfId="1371" priority="2">
      <formula>H38=1</formula>
    </cfRule>
  </conditionalFormatting>
  <conditionalFormatting sqref="E38">
    <cfRule type="expression" dxfId="1370" priority="1">
      <formula>H38=1</formula>
    </cfRule>
  </conditionalFormatting>
  <pageMargins left="0.7" right="0.7" top="0.75" bottom="0.75" header="0.3" footer="0.3"/>
  <pageSetup scale="68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2:O46"/>
  <sheetViews>
    <sheetView topLeftCell="A10" workbookViewId="0">
      <selection activeCell="K37" sqref="K3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916</v>
      </c>
      <c r="I4" s="2" t="s">
        <v>4</v>
      </c>
      <c r="J4" t="s">
        <v>616</v>
      </c>
    </row>
    <row r="5" spans="1:11" x14ac:dyDescent="0.25">
      <c r="D5" s="2" t="s">
        <v>1</v>
      </c>
      <c r="F5" t="s">
        <v>917</v>
      </c>
    </row>
    <row r="6" spans="1:11" x14ac:dyDescent="0.25">
      <c r="D6" s="2" t="s">
        <v>2</v>
      </c>
      <c r="F6" s="6">
        <v>42780</v>
      </c>
      <c r="H6" s="11"/>
    </row>
    <row r="7" spans="1:11" x14ac:dyDescent="0.25">
      <c r="D7" s="2" t="s">
        <v>3</v>
      </c>
      <c r="F7" s="5">
        <f>+I7+J7</f>
        <v>2580000</v>
      </c>
      <c r="G7" s="2" t="s">
        <v>34</v>
      </c>
      <c r="H7" s="11"/>
      <c r="I7" s="19">
        <v>106000</v>
      </c>
      <c r="J7" s="19">
        <v>2474000</v>
      </c>
    </row>
    <row r="8" spans="1:11" x14ac:dyDescent="0.25">
      <c r="D8" s="2" t="s">
        <v>18</v>
      </c>
      <c r="F8" s="5">
        <f>MIN(K23:K42)</f>
        <v>1386000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-1194000</v>
      </c>
      <c r="G9" s="16">
        <f>+F9/F7</f>
        <v>-0.46279069767441861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215042.75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SUM(K23:K42)/H12</f>
        <v>2364957.25</v>
      </c>
      <c r="G12" s="14"/>
      <c r="H12" s="11">
        <f>COUNT(K23:K42)</f>
        <v>16</v>
      </c>
      <c r="I12" s="1" t="s">
        <v>31</v>
      </c>
      <c r="J12" s="4">
        <f>+F8*0.9</f>
        <v>1247400</v>
      </c>
      <c r="K12" s="1" t="s">
        <v>69</v>
      </c>
    </row>
    <row r="13" spans="1:11" x14ac:dyDescent="0.25">
      <c r="D13" s="2" t="s">
        <v>29</v>
      </c>
      <c r="F13" s="4">
        <f>MAX(K23:K42)-MIN(K23:K42)</f>
        <v>1898000</v>
      </c>
      <c r="G13" s="269">
        <f>MEDIAN(K23:K42)</f>
        <v>2339981.5</v>
      </c>
      <c r="H13" s="270"/>
      <c r="I13" s="1" t="s">
        <v>30</v>
      </c>
      <c r="J13" s="4">
        <f>+F12*1.1</f>
        <v>2601452.9750000001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8.7457627118644063E-2</v>
      </c>
    </row>
    <row r="18" spans="3:15" x14ac:dyDescent="0.25">
      <c r="F18" s="4">
        <f>+F7</f>
        <v>2580000</v>
      </c>
      <c r="G18" s="1" t="s">
        <v>12</v>
      </c>
      <c r="H18" s="11"/>
      <c r="I18" t="s">
        <v>16</v>
      </c>
      <c r="J18" s="7">
        <f>+F8/F18</f>
        <v>0.53720930232558139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4.6199999999999998E-2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541</v>
      </c>
      <c r="E23" s="33"/>
      <c r="F23" t="s">
        <v>159</v>
      </c>
      <c r="G23" t="s">
        <v>93</v>
      </c>
      <c r="H23">
        <f t="shared" ref="H23:H38" si="0">RANK(K23,K$23:K$42,1)</f>
        <v>16</v>
      </c>
      <c r="I23" s="4">
        <v>134000</v>
      </c>
      <c r="J23" s="4">
        <v>3150000</v>
      </c>
      <c r="K23" s="4">
        <f>+J23+I23</f>
        <v>3284000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908</v>
      </c>
      <c r="E24" s="33"/>
      <c r="F24" t="s">
        <v>918</v>
      </c>
      <c r="G24" t="s">
        <v>25</v>
      </c>
      <c r="H24">
        <f t="shared" si="0"/>
        <v>8</v>
      </c>
      <c r="I24" s="4">
        <v>134000</v>
      </c>
      <c r="J24" s="4">
        <v>2163285</v>
      </c>
      <c r="K24" s="4">
        <f t="shared" ref="K24:K38" si="1">+J24+I24</f>
        <v>2297285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733</v>
      </c>
      <c r="E25" s="33"/>
      <c r="F25" t="s">
        <v>120</v>
      </c>
      <c r="G25" t="s">
        <v>25</v>
      </c>
      <c r="H25">
        <f t="shared" si="0"/>
        <v>4</v>
      </c>
      <c r="I25" s="4">
        <v>126000</v>
      </c>
      <c r="J25" s="4">
        <v>1635111</v>
      </c>
      <c r="K25" s="4">
        <f t="shared" si="1"/>
        <v>1761111</v>
      </c>
      <c r="L25" s="4"/>
      <c r="M25" s="22"/>
      <c r="N25" s="22"/>
      <c r="O25" s="22"/>
    </row>
    <row r="26" spans="3:15" x14ac:dyDescent="0.25">
      <c r="C26" s="33" t="str">
        <f t="shared" ref="C26:C42" si="2">IF(H26=1,"u","")</f>
        <v/>
      </c>
      <c r="D26" s="11" t="s">
        <v>564</v>
      </c>
      <c r="E26" s="33"/>
      <c r="F26" t="s">
        <v>558</v>
      </c>
      <c r="G26" t="s">
        <v>25</v>
      </c>
      <c r="H26">
        <f t="shared" si="0"/>
        <v>9</v>
      </c>
      <c r="I26" s="4">
        <v>67200</v>
      </c>
      <c r="J26" s="4">
        <v>2315478</v>
      </c>
      <c r="K26" s="4">
        <f t="shared" si="1"/>
        <v>2382678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11" t="s">
        <v>919</v>
      </c>
      <c r="E27" s="33"/>
      <c r="F27" t="s">
        <v>920</v>
      </c>
      <c r="G27" t="s">
        <v>25</v>
      </c>
      <c r="H27">
        <f t="shared" si="0"/>
        <v>2</v>
      </c>
      <c r="I27" s="4">
        <v>92400</v>
      </c>
      <c r="J27" s="4">
        <v>1615000</v>
      </c>
      <c r="K27" s="4">
        <f t="shared" si="1"/>
        <v>1707400</v>
      </c>
      <c r="L27" s="4"/>
      <c r="M27" s="22"/>
      <c r="N27" s="22"/>
      <c r="O27" s="22"/>
    </row>
    <row r="28" spans="3:15" x14ac:dyDescent="0.25">
      <c r="C28" s="33" t="str">
        <f t="shared" si="2"/>
        <v>u</v>
      </c>
      <c r="D28" s="11" t="s">
        <v>921</v>
      </c>
      <c r="E28" s="33"/>
      <c r="F28" t="s">
        <v>113</v>
      </c>
      <c r="G28" t="s">
        <v>25</v>
      </c>
      <c r="H28">
        <f t="shared" si="0"/>
        <v>1</v>
      </c>
      <c r="I28" s="4">
        <v>285600</v>
      </c>
      <c r="J28" s="4">
        <v>1100400</v>
      </c>
      <c r="K28" s="4">
        <f t="shared" si="1"/>
        <v>1386000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11" t="s">
        <v>922</v>
      </c>
      <c r="E29" s="33"/>
      <c r="F29" t="s">
        <v>923</v>
      </c>
      <c r="G29" t="s">
        <v>25</v>
      </c>
      <c r="H29">
        <f t="shared" si="0"/>
        <v>10</v>
      </c>
      <c r="I29" s="4">
        <v>84000</v>
      </c>
      <c r="J29" s="4">
        <v>2580000</v>
      </c>
      <c r="K29" s="4">
        <f t="shared" si="1"/>
        <v>2664000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11" t="s">
        <v>924</v>
      </c>
      <c r="E30" s="33"/>
      <c r="F30" t="s">
        <v>865</v>
      </c>
      <c r="G30" t="s">
        <v>25</v>
      </c>
      <c r="H30">
        <f t="shared" si="0"/>
        <v>15</v>
      </c>
      <c r="I30" s="4">
        <v>91459</v>
      </c>
      <c r="J30" s="4">
        <v>3137986</v>
      </c>
      <c r="K30" s="4">
        <f t="shared" si="1"/>
        <v>3229445</v>
      </c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 t="s">
        <v>925</v>
      </c>
      <c r="E31" s="33"/>
      <c r="F31" t="s">
        <v>899</v>
      </c>
      <c r="G31" t="s">
        <v>25</v>
      </c>
      <c r="H31">
        <f t="shared" si="0"/>
        <v>12</v>
      </c>
      <c r="I31" s="4">
        <v>106932</v>
      </c>
      <c r="J31" s="4">
        <v>2652690</v>
      </c>
      <c r="K31" s="4">
        <f t="shared" si="1"/>
        <v>2759622</v>
      </c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 t="s">
        <v>679</v>
      </c>
      <c r="E32" s="33"/>
      <c r="F32" t="s">
        <v>899</v>
      </c>
      <c r="G32" t="s">
        <v>25</v>
      </c>
      <c r="H32">
        <f t="shared" si="0"/>
        <v>3</v>
      </c>
      <c r="I32" s="4">
        <v>87360</v>
      </c>
      <c r="J32" s="4">
        <v>1659640</v>
      </c>
      <c r="K32" s="4">
        <f t="shared" si="1"/>
        <v>1747000</v>
      </c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 t="s">
        <v>904</v>
      </c>
      <c r="E33" s="33"/>
      <c r="F33" t="s">
        <v>905</v>
      </c>
      <c r="G33" t="s">
        <v>25</v>
      </c>
      <c r="H33">
        <f t="shared" si="0"/>
        <v>5</v>
      </c>
      <c r="I33" s="4">
        <v>100800</v>
      </c>
      <c r="J33" s="4">
        <v>1696997</v>
      </c>
      <c r="K33" s="4">
        <f t="shared" si="1"/>
        <v>1797797</v>
      </c>
      <c r="M33" s="21"/>
      <c r="N33" s="21"/>
      <c r="O33" s="21"/>
    </row>
    <row r="34" spans="3:15" x14ac:dyDescent="0.25">
      <c r="C34" s="33" t="str">
        <f t="shared" si="2"/>
        <v/>
      </c>
      <c r="D34" s="11" t="s">
        <v>926</v>
      </c>
      <c r="E34" s="33"/>
      <c r="F34" t="s">
        <v>127</v>
      </c>
      <c r="G34" t="s">
        <v>25</v>
      </c>
      <c r="H34">
        <f t="shared" si="0"/>
        <v>11</v>
      </c>
      <c r="I34" s="4">
        <v>117600</v>
      </c>
      <c r="J34" s="4">
        <v>2561102</v>
      </c>
      <c r="K34" s="4">
        <f t="shared" si="1"/>
        <v>2678702</v>
      </c>
      <c r="M34" s="21"/>
      <c r="N34" s="21"/>
      <c r="O34" s="21"/>
    </row>
    <row r="35" spans="3:15" x14ac:dyDescent="0.25">
      <c r="C35" s="33" t="str">
        <f t="shared" si="2"/>
        <v/>
      </c>
      <c r="D35" s="11" t="s">
        <v>687</v>
      </c>
      <c r="E35" s="33"/>
      <c r="F35" t="s">
        <v>201</v>
      </c>
      <c r="G35" t="s">
        <v>25</v>
      </c>
      <c r="H35">
        <f t="shared" si="0"/>
        <v>14</v>
      </c>
      <c r="I35" s="4">
        <v>199920</v>
      </c>
      <c r="J35" s="4">
        <v>2873000</v>
      </c>
      <c r="K35" s="4">
        <f t="shared" si="1"/>
        <v>3072920</v>
      </c>
      <c r="M35" s="21"/>
      <c r="N35" s="21"/>
      <c r="O35" s="21"/>
    </row>
    <row r="36" spans="3:15" x14ac:dyDescent="0.25">
      <c r="C36" s="33" t="str">
        <f t="shared" si="2"/>
        <v/>
      </c>
      <c r="D36" s="11" t="s">
        <v>927</v>
      </c>
      <c r="E36" s="33"/>
      <c r="F36" t="s">
        <v>928</v>
      </c>
      <c r="G36" t="s">
        <v>25</v>
      </c>
      <c r="H36">
        <f t="shared" si="0"/>
        <v>7</v>
      </c>
      <c r="I36" s="4">
        <v>114240</v>
      </c>
      <c r="J36" s="4">
        <v>2076625</v>
      </c>
      <c r="K36" s="4">
        <f t="shared" si="1"/>
        <v>2190865</v>
      </c>
      <c r="M36" s="21"/>
      <c r="N36" s="21"/>
      <c r="O36" s="21"/>
    </row>
    <row r="37" spans="3:15" x14ac:dyDescent="0.25">
      <c r="C37" s="33" t="str">
        <f t="shared" si="2"/>
        <v/>
      </c>
      <c r="D37" s="11" t="s">
        <v>929</v>
      </c>
      <c r="E37" s="33"/>
      <c r="F37" t="s">
        <v>930</v>
      </c>
      <c r="G37" t="s">
        <v>25</v>
      </c>
      <c r="H37">
        <f t="shared" si="0"/>
        <v>6</v>
      </c>
      <c r="I37" s="4">
        <v>103320</v>
      </c>
      <c r="J37" s="4">
        <v>2017461</v>
      </c>
      <c r="K37" s="4">
        <f t="shared" si="1"/>
        <v>2120781</v>
      </c>
      <c r="M37" s="21"/>
      <c r="N37" s="21"/>
      <c r="O37" s="21"/>
    </row>
    <row r="38" spans="3:15" x14ac:dyDescent="0.25">
      <c r="C38" s="33" t="str">
        <f t="shared" si="2"/>
        <v/>
      </c>
      <c r="D38" s="11" t="s">
        <v>931</v>
      </c>
      <c r="E38" s="33"/>
      <c r="F38" t="s">
        <v>131</v>
      </c>
      <c r="G38" t="s">
        <v>25</v>
      </c>
      <c r="H38">
        <f t="shared" si="0"/>
        <v>13</v>
      </c>
      <c r="I38" s="4">
        <v>126000</v>
      </c>
      <c r="J38" s="4">
        <v>2633710</v>
      </c>
      <c r="K38" s="4">
        <f t="shared" si="1"/>
        <v>2759710</v>
      </c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>IF(H39=1,"t","")</f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>IF(H40=1,"t","")</f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>IF(H41=1,"t","")</f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>IF(H42=1,"t","")</f>
        <v/>
      </c>
      <c r="K42" s="4"/>
      <c r="M42" s="21"/>
      <c r="N42" s="21"/>
      <c r="O42" s="21"/>
    </row>
    <row r="43" spans="3:15" ht="6" customHeight="1" x14ac:dyDescent="0.25">
      <c r="C43" s="9"/>
      <c r="D43" s="9"/>
      <c r="E43" s="9"/>
      <c r="F43" s="9"/>
      <c r="G43" s="9"/>
      <c r="H43" s="9"/>
      <c r="I43" s="9"/>
      <c r="J43" s="9"/>
      <c r="K43" s="9"/>
      <c r="L43" s="9"/>
      <c r="M43" s="21"/>
      <c r="N43" s="21"/>
      <c r="O43" s="21"/>
    </row>
    <row r="44" spans="3:15" ht="6" customHeight="1" x14ac:dyDescent="0.25">
      <c r="M44" s="21"/>
      <c r="N44" s="21"/>
      <c r="O44" s="21"/>
    </row>
    <row r="45" spans="3:15" x14ac:dyDescent="0.25">
      <c r="C45" s="15" t="s">
        <v>79</v>
      </c>
      <c r="M45" s="21"/>
      <c r="N45" s="21"/>
      <c r="O45" s="21"/>
    </row>
    <row r="46" spans="3:15" x14ac:dyDescent="0.25">
      <c r="C46" s="15" t="s">
        <v>78</v>
      </c>
    </row>
  </sheetData>
  <mergeCells count="1">
    <mergeCell ref="G13:H13"/>
  </mergeCells>
  <conditionalFormatting sqref="I9">
    <cfRule type="containsText" dxfId="1369" priority="27" operator="containsText" text="FAIL">
      <formula>NOT(ISERROR(SEARCH("FAIL",I9)))</formula>
    </cfRule>
  </conditionalFormatting>
  <conditionalFormatting sqref="I9">
    <cfRule type="containsText" dxfId="1368" priority="26" operator="containsText" text="GOOD">
      <formula>NOT(ISERROR(SEARCH("GOOD",I9)))</formula>
    </cfRule>
  </conditionalFormatting>
  <conditionalFormatting sqref="I9">
    <cfRule type="containsText" dxfId="1367" priority="25" operator="containsText" text="FAIL">
      <formula>NOT(ISERROR(SEARCH("FAIL",I9)))</formula>
    </cfRule>
  </conditionalFormatting>
  <conditionalFormatting sqref="I9">
    <cfRule type="containsText" dxfId="1366" priority="24" operator="containsText" text="GOOD">
      <formula>NOT(ISERROR(SEARCH("GOOD",I9)))</formula>
    </cfRule>
  </conditionalFormatting>
  <conditionalFormatting sqref="I9">
    <cfRule type="containsText" dxfId="1365" priority="23" operator="containsText" text="FAIL">
      <formula>NOT(ISERROR(SEARCH("FAIL",I9)))</formula>
    </cfRule>
  </conditionalFormatting>
  <conditionalFormatting sqref="I9">
    <cfRule type="containsText" dxfId="1364" priority="22" operator="containsText" text="GOOD">
      <formula>NOT(ISERROR(SEARCH("GOOD",I9)))</formula>
    </cfRule>
  </conditionalFormatting>
  <conditionalFormatting sqref="F11">
    <cfRule type="containsText" dxfId="1363" priority="21" operator="containsText" text="FAIL">
      <formula>NOT(ISERROR(SEARCH("FAIL",F11)))</formula>
    </cfRule>
  </conditionalFormatting>
  <conditionalFormatting sqref="F11">
    <cfRule type="containsText" dxfId="1362" priority="20" operator="containsText" text="GOOD">
      <formula>NOT(ISERROR(SEARCH("GOOD",F11)))</formula>
    </cfRule>
  </conditionalFormatting>
  <conditionalFormatting sqref="I9">
    <cfRule type="containsText" dxfId="1361" priority="19" operator="containsText" text="FAIL">
      <formula>NOT(ISERROR(SEARCH("FAIL",I9)))</formula>
    </cfRule>
  </conditionalFormatting>
  <conditionalFormatting sqref="I9">
    <cfRule type="containsText" dxfId="1360" priority="18" operator="containsText" text="GOOD">
      <formula>NOT(ISERROR(SEARCH("GOOD",I9)))</formula>
    </cfRule>
  </conditionalFormatting>
  <conditionalFormatting sqref="F11">
    <cfRule type="containsText" dxfId="1359" priority="17" operator="containsText" text="FAIL">
      <formula>NOT(ISERROR(SEARCH("FAIL",F11)))</formula>
    </cfRule>
  </conditionalFormatting>
  <conditionalFormatting sqref="F11">
    <cfRule type="containsText" dxfId="1358" priority="16" operator="containsText" text="GOOD">
      <formula>NOT(ISERROR(SEARCH("GOOD",F11)))</formula>
    </cfRule>
  </conditionalFormatting>
  <conditionalFormatting sqref="D25">
    <cfRule type="expression" dxfId="1357" priority="15" stopIfTrue="1">
      <formula>IF($H$25=1,0)</formula>
    </cfRule>
  </conditionalFormatting>
  <conditionalFormatting sqref="D23:D33 D39:D42">
    <cfRule type="expression" dxfId="1356" priority="14">
      <formula>H23=1</formula>
    </cfRule>
  </conditionalFormatting>
  <conditionalFormatting sqref="C23:C33 C39:C42">
    <cfRule type="expression" dxfId="1355" priority="13">
      <formula>H23=1</formula>
    </cfRule>
  </conditionalFormatting>
  <conditionalFormatting sqref="E23:E33 E39:E42">
    <cfRule type="expression" dxfId="1354" priority="12">
      <formula>H23=1</formula>
    </cfRule>
  </conditionalFormatting>
  <conditionalFormatting sqref="E23:E33">
    <cfRule type="expression" dxfId="1353" priority="11">
      <formula>H23=1</formula>
    </cfRule>
  </conditionalFormatting>
  <conditionalFormatting sqref="F11">
    <cfRule type="containsText" dxfId="1352" priority="10" operator="containsText" text="FAIL">
      <formula>NOT(ISERROR(SEARCH("FAIL",F11)))</formula>
    </cfRule>
  </conditionalFormatting>
  <conditionalFormatting sqref="F11">
    <cfRule type="containsText" dxfId="1351" priority="9" operator="containsText" text="GOOD">
      <formula>NOT(ISERROR(SEARCH("GOOD",F11)))</formula>
    </cfRule>
  </conditionalFormatting>
  <conditionalFormatting sqref="D34:D37">
    <cfRule type="expression" dxfId="1350" priority="8">
      <formula>H34=1</formula>
    </cfRule>
  </conditionalFormatting>
  <conditionalFormatting sqref="C34:C37">
    <cfRule type="expression" dxfId="1349" priority="7">
      <formula>H34=1</formula>
    </cfRule>
  </conditionalFormatting>
  <conditionalFormatting sqref="E34:E37">
    <cfRule type="expression" dxfId="1348" priority="6">
      <formula>H34=1</formula>
    </cfRule>
  </conditionalFormatting>
  <conditionalFormatting sqref="E34:E37">
    <cfRule type="expression" dxfId="1347" priority="5">
      <formula>H34=1</formula>
    </cfRule>
  </conditionalFormatting>
  <conditionalFormatting sqref="D38">
    <cfRule type="expression" dxfId="1346" priority="4">
      <formula>H38=1</formula>
    </cfRule>
  </conditionalFormatting>
  <conditionalFormatting sqref="C38">
    <cfRule type="expression" dxfId="1345" priority="3">
      <formula>H38=1</formula>
    </cfRule>
  </conditionalFormatting>
  <conditionalFormatting sqref="E38">
    <cfRule type="expression" dxfId="1344" priority="2">
      <formula>H38=1</formula>
    </cfRule>
  </conditionalFormatting>
  <conditionalFormatting sqref="E38">
    <cfRule type="expression" dxfId="1343" priority="1">
      <formula>H38=1</formula>
    </cfRule>
  </conditionalFormatting>
  <pageMargins left="0.7" right="0.7" top="0.75" bottom="0.75" header="0.3" footer="0.3"/>
  <pageSetup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2:O47"/>
  <sheetViews>
    <sheetView topLeftCell="A7" zoomScaleNormal="100" workbookViewId="0">
      <selection activeCell="N24" sqref="N2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901</v>
      </c>
      <c r="I4" s="2" t="s">
        <v>4</v>
      </c>
      <c r="J4" t="s">
        <v>616</v>
      </c>
    </row>
    <row r="5" spans="1:11" x14ac:dyDescent="0.25">
      <c r="D5" s="2" t="s">
        <v>1</v>
      </c>
      <c r="F5" t="s">
        <v>902</v>
      </c>
    </row>
    <row r="6" spans="1:11" x14ac:dyDescent="0.25">
      <c r="D6" s="2" t="s">
        <v>2</v>
      </c>
      <c r="F6" s="6">
        <v>42774</v>
      </c>
      <c r="H6" s="11"/>
    </row>
    <row r="7" spans="1:11" x14ac:dyDescent="0.25">
      <c r="D7" s="2" t="s">
        <v>3</v>
      </c>
      <c r="F7" s="5">
        <v>970000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756482</v>
      </c>
      <c r="H8" s="11"/>
    </row>
    <row r="9" spans="1:11" x14ac:dyDescent="0.25">
      <c r="D9" s="2" t="s">
        <v>67</v>
      </c>
      <c r="F9" s="4">
        <f>+F8-F7</f>
        <v>-213518</v>
      </c>
      <c r="G9" s="16">
        <f>+F9/F7</f>
        <v>-0.22012164948453608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2843.2222222222481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967156.77777777775</v>
      </c>
      <c r="G12" s="14"/>
      <c r="H12" s="11">
        <f>COUNT(I23:I43)</f>
        <v>9</v>
      </c>
      <c r="I12" s="1" t="s">
        <v>31</v>
      </c>
      <c r="J12" s="4">
        <f>+F8*0.9</f>
        <v>680833.8</v>
      </c>
      <c r="K12" s="1" t="s">
        <v>69</v>
      </c>
    </row>
    <row r="13" spans="1:11" x14ac:dyDescent="0.25">
      <c r="D13" s="2" t="s">
        <v>29</v>
      </c>
      <c r="F13" s="4">
        <f>MAX(I23:I43)-MIN(I23:I43)</f>
        <v>875697</v>
      </c>
      <c r="G13" s="269">
        <f>MEDIAN(I23:I43)</f>
        <v>879879</v>
      </c>
      <c r="H13" s="270"/>
      <c r="I13" s="1" t="s">
        <v>30</v>
      </c>
      <c r="J13" s="4">
        <f>+F12*1.1</f>
        <v>1063872.4555555556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903</v>
      </c>
      <c r="E23" s="33"/>
      <c r="F23" t="s">
        <v>305</v>
      </c>
      <c r="G23" t="s">
        <v>25</v>
      </c>
      <c r="H23">
        <f t="shared" ref="H23:H28" si="0">RANK(I23,I$23:I$43,1)</f>
        <v>2</v>
      </c>
      <c r="I23" s="4">
        <v>792963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904</v>
      </c>
      <c r="E24" s="33"/>
      <c r="F24" t="s">
        <v>905</v>
      </c>
      <c r="G24" t="s">
        <v>25</v>
      </c>
      <c r="H24">
        <f t="shared" si="0"/>
        <v>5</v>
      </c>
      <c r="I24" s="4">
        <v>879879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623</v>
      </c>
      <c r="E25" s="33"/>
      <c r="F25" t="s">
        <v>624</v>
      </c>
      <c r="G25" t="s">
        <v>25</v>
      </c>
      <c r="H25">
        <f t="shared" si="0"/>
        <v>9</v>
      </c>
      <c r="I25" s="4">
        <v>1632179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11" t="s">
        <v>906</v>
      </c>
      <c r="E26" s="33"/>
      <c r="F26" t="s">
        <v>95</v>
      </c>
      <c r="G26" t="s">
        <v>93</v>
      </c>
      <c r="H26">
        <f t="shared" si="0"/>
        <v>8</v>
      </c>
      <c r="I26" s="4">
        <v>1043352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740</v>
      </c>
      <c r="E27" s="33"/>
      <c r="F27" t="s">
        <v>149</v>
      </c>
      <c r="G27" t="s">
        <v>25</v>
      </c>
      <c r="H27">
        <f t="shared" si="0"/>
        <v>3</v>
      </c>
      <c r="I27" s="4">
        <v>829406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>u</v>
      </c>
      <c r="D28" s="11" t="s">
        <v>907</v>
      </c>
      <c r="E28" s="33"/>
      <c r="F28" t="s">
        <v>312</v>
      </c>
      <c r="G28" t="s">
        <v>25</v>
      </c>
      <c r="H28">
        <f t="shared" si="0"/>
        <v>1</v>
      </c>
      <c r="I28" s="4">
        <v>756482</v>
      </c>
      <c r="J28" s="4"/>
      <c r="K28" s="4"/>
      <c r="L28" s="4"/>
      <c r="M28" s="22"/>
      <c r="N28" s="22"/>
      <c r="O28" s="22"/>
    </row>
    <row r="29" spans="3:15" x14ac:dyDescent="0.25">
      <c r="C29" s="33" t="str">
        <f>IF(H29=1,"u","")</f>
        <v/>
      </c>
      <c r="D29" s="11" t="s">
        <v>908</v>
      </c>
      <c r="E29" s="33"/>
      <c r="F29" t="s">
        <v>131</v>
      </c>
      <c r="G29" t="s">
        <v>25</v>
      </c>
      <c r="H29">
        <f>RANK(I29,I$23:I$43,1)</f>
        <v>6</v>
      </c>
      <c r="I29" s="4">
        <v>964350</v>
      </c>
      <c r="J29" s="4"/>
      <c r="K29" s="4"/>
      <c r="L29" s="4"/>
      <c r="M29" s="22"/>
      <c r="N29" s="22"/>
      <c r="O29" s="22"/>
    </row>
    <row r="30" spans="3:15" x14ac:dyDescent="0.25">
      <c r="C30" s="33" t="str">
        <f>IF(H30=1,"u","")</f>
        <v/>
      </c>
      <c r="D30" s="11" t="s">
        <v>909</v>
      </c>
      <c r="E30" s="33"/>
      <c r="F30" t="s">
        <v>215</v>
      </c>
      <c r="G30" t="s">
        <v>25</v>
      </c>
      <c r="H30">
        <f>RANK(I30,I$23:I$43,1)</f>
        <v>7</v>
      </c>
      <c r="I30" s="4">
        <v>968800</v>
      </c>
      <c r="J30" s="4"/>
      <c r="K30" s="4"/>
      <c r="L30" s="4"/>
      <c r="M30" s="22"/>
      <c r="N30" s="22"/>
      <c r="O30" s="22"/>
    </row>
    <row r="31" spans="3:15" x14ac:dyDescent="0.25">
      <c r="C31" s="33" t="str">
        <f>IF(H31=1,"u","")</f>
        <v/>
      </c>
      <c r="D31" s="11" t="s">
        <v>679</v>
      </c>
      <c r="E31" s="33"/>
      <c r="F31" t="s">
        <v>193</v>
      </c>
      <c r="G31" t="s">
        <v>25</v>
      </c>
      <c r="H31">
        <f>RANK(I31,I$23:I$43,1)</f>
        <v>4</v>
      </c>
      <c r="I31" s="4">
        <v>837000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/>
      <c r="I36" s="4"/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ref="E37:E43" si="2">IF(H37=1,"t","")</f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342" priority="17" operator="containsText" text="FAIL">
      <formula>NOT(ISERROR(SEARCH("FAIL",I9)))</formula>
    </cfRule>
  </conditionalFormatting>
  <conditionalFormatting sqref="I9">
    <cfRule type="containsText" dxfId="1341" priority="16" operator="containsText" text="GOOD">
      <formula>NOT(ISERROR(SEARCH("GOOD",I9)))</formula>
    </cfRule>
  </conditionalFormatting>
  <conditionalFormatting sqref="F11">
    <cfRule type="containsText" dxfId="1340" priority="15" operator="containsText" text="FAIL">
      <formula>NOT(ISERROR(SEARCH("FAIL",F11)))</formula>
    </cfRule>
  </conditionalFormatting>
  <conditionalFormatting sqref="F11">
    <cfRule type="containsText" dxfId="1339" priority="14" operator="containsText" text="GOOD">
      <formula>NOT(ISERROR(SEARCH("GOOD",F11)))</formula>
    </cfRule>
  </conditionalFormatting>
  <conditionalFormatting sqref="D25">
    <cfRule type="expression" dxfId="1338" priority="13" stopIfTrue="1">
      <formula>IF($H$25=1,0)</formula>
    </cfRule>
  </conditionalFormatting>
  <conditionalFormatting sqref="D23:D25 D32:D43">
    <cfRule type="expression" dxfId="1337" priority="12">
      <formula>H23=1</formula>
    </cfRule>
  </conditionalFormatting>
  <conditionalFormatting sqref="C23:C26 C32:C43">
    <cfRule type="expression" dxfId="1336" priority="11">
      <formula>H23=1</formula>
    </cfRule>
  </conditionalFormatting>
  <conditionalFormatting sqref="E23:E26 E32:E43">
    <cfRule type="expression" dxfId="1335" priority="10">
      <formula>H23=1</formula>
    </cfRule>
  </conditionalFormatting>
  <conditionalFormatting sqref="F11">
    <cfRule type="containsText" dxfId="1334" priority="9" operator="containsText" text="FAIL">
      <formula>NOT(ISERROR(SEARCH("FAIL",F11)))</formula>
    </cfRule>
  </conditionalFormatting>
  <conditionalFormatting sqref="F11">
    <cfRule type="containsText" dxfId="1333" priority="8" operator="containsText" text="GOOD">
      <formula>NOT(ISERROR(SEARCH("GOOD",F11)))</formula>
    </cfRule>
  </conditionalFormatting>
  <conditionalFormatting sqref="D27:D28">
    <cfRule type="expression" dxfId="1332" priority="7">
      <formula>H27=1</formula>
    </cfRule>
  </conditionalFormatting>
  <conditionalFormatting sqref="C27:C28">
    <cfRule type="expression" dxfId="1331" priority="6">
      <formula>H27=1</formula>
    </cfRule>
  </conditionalFormatting>
  <conditionalFormatting sqref="E27:E28">
    <cfRule type="expression" dxfId="1330" priority="5">
      <formula>H27=1</formula>
    </cfRule>
  </conditionalFormatting>
  <conditionalFormatting sqref="D26">
    <cfRule type="expression" dxfId="1329" priority="4">
      <formula>H26=1</formula>
    </cfRule>
  </conditionalFormatting>
  <conditionalFormatting sqref="D29:D31">
    <cfRule type="expression" dxfId="1328" priority="3">
      <formula>H29=1</formula>
    </cfRule>
  </conditionalFormatting>
  <conditionalFormatting sqref="C29:C31">
    <cfRule type="expression" dxfId="1327" priority="2">
      <formula>H29=1</formula>
    </cfRule>
  </conditionalFormatting>
  <conditionalFormatting sqref="E29:E31">
    <cfRule type="expression" dxfId="1326" priority="1">
      <formula>H29=1</formula>
    </cfRule>
  </conditionalFormatting>
  <pageMargins left="0.7" right="0.7" top="0.75" bottom="0.75" header="0.3" footer="0.3"/>
  <pageSetup scale="68"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2:O47"/>
  <sheetViews>
    <sheetView zoomScaleNormal="100" workbookViewId="0">
      <selection activeCell="K26" sqref="K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898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717</v>
      </c>
    </row>
    <row r="6" spans="1:11" x14ac:dyDescent="0.25">
      <c r="D6" s="2" t="s">
        <v>2</v>
      </c>
      <c r="F6" s="6">
        <v>42773</v>
      </c>
      <c r="H6" s="11"/>
    </row>
    <row r="7" spans="1:11" x14ac:dyDescent="0.25">
      <c r="D7" s="2" t="s">
        <v>3</v>
      </c>
      <c r="F7" s="5">
        <v>1965000</v>
      </c>
      <c r="G7" s="2" t="s">
        <v>190</v>
      </c>
      <c r="H7" s="11"/>
    </row>
    <row r="8" spans="1:11" x14ac:dyDescent="0.25">
      <c r="D8" s="2" t="s">
        <v>18</v>
      </c>
      <c r="F8" s="5">
        <f>MIN(I23:I43)</f>
        <v>1450000</v>
      </c>
      <c r="H8" s="11"/>
    </row>
    <row r="9" spans="1:11" x14ac:dyDescent="0.25">
      <c r="D9" s="2" t="s">
        <v>67</v>
      </c>
      <c r="F9" s="4">
        <f>+F8-F7</f>
        <v>-515000</v>
      </c>
      <c r="G9" s="16">
        <f>+F9/F7</f>
        <v>-0.26208651399491095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-599821.66666666651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2564821.6666666665</v>
      </c>
      <c r="G12" s="14"/>
      <c r="H12" s="11">
        <f>COUNT(I23:I43)</f>
        <v>6</v>
      </c>
      <c r="I12" s="1" t="s">
        <v>31</v>
      </c>
      <c r="J12" s="4">
        <f>+F8*0.9</f>
        <v>1305000</v>
      </c>
      <c r="K12" s="1" t="s">
        <v>69</v>
      </c>
    </row>
    <row r="13" spans="1:11" x14ac:dyDescent="0.25">
      <c r="D13" s="2" t="s">
        <v>29</v>
      </c>
      <c r="F13" s="4">
        <f>MAX(I23:I43)-MIN(I23:I43)</f>
        <v>2207500</v>
      </c>
      <c r="G13" s="269">
        <f>MEDIAN(I23:I43)</f>
        <v>2507650</v>
      </c>
      <c r="H13" s="270"/>
      <c r="I13" s="1" t="s">
        <v>30</v>
      </c>
      <c r="J13" s="4">
        <f>+F12*1.1</f>
        <v>2821303.8333333335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542</v>
      </c>
      <c r="E23" s="33"/>
      <c r="F23" t="s">
        <v>161</v>
      </c>
      <c r="G23" t="s">
        <v>93</v>
      </c>
      <c r="H23">
        <f t="shared" ref="H23:H28" si="0">RANK(I23,I$23:I$43,1)</f>
        <v>2</v>
      </c>
      <c r="I23" s="4">
        <v>2280000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676</v>
      </c>
      <c r="E24" s="33"/>
      <c r="F24" t="s">
        <v>85</v>
      </c>
      <c r="G24" t="s">
        <v>25</v>
      </c>
      <c r="H24">
        <f t="shared" si="0"/>
        <v>3</v>
      </c>
      <c r="I24" s="4">
        <v>2378300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439</v>
      </c>
      <c r="E25" s="33"/>
      <c r="F25" t="s">
        <v>147</v>
      </c>
      <c r="G25" t="s">
        <v>93</v>
      </c>
      <c r="H25">
        <f t="shared" si="0"/>
        <v>6</v>
      </c>
      <c r="I25" s="4">
        <v>3657500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>u</v>
      </c>
      <c r="D26" s="11" t="s">
        <v>438</v>
      </c>
      <c r="E26" s="33"/>
      <c r="F26" t="s">
        <v>131</v>
      </c>
      <c r="G26" t="s">
        <v>25</v>
      </c>
      <c r="H26">
        <f t="shared" si="0"/>
        <v>1</v>
      </c>
      <c r="I26" s="4">
        <v>1450000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440</v>
      </c>
      <c r="E27" s="33"/>
      <c r="F27" t="s">
        <v>899</v>
      </c>
      <c r="G27" t="s">
        <v>25</v>
      </c>
      <c r="H27">
        <f t="shared" si="0"/>
        <v>5</v>
      </c>
      <c r="I27" s="4">
        <v>2986130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773</v>
      </c>
      <c r="E28" s="33"/>
      <c r="F28" t="s">
        <v>407</v>
      </c>
      <c r="G28" t="s">
        <v>93</v>
      </c>
      <c r="H28">
        <f t="shared" si="0"/>
        <v>4</v>
      </c>
      <c r="I28" s="4">
        <v>2637000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/>
      <c r="I34" s="4"/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/>
      <c r="I35" s="4"/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/>
      <c r="I36" s="4"/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ref="E37:E43" si="2">IF(H37=1,"t","")</f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325" priority="14" operator="containsText" text="FAIL">
      <formula>NOT(ISERROR(SEARCH("FAIL",I9)))</formula>
    </cfRule>
  </conditionalFormatting>
  <conditionalFormatting sqref="I9">
    <cfRule type="containsText" dxfId="1324" priority="13" operator="containsText" text="GOOD">
      <formula>NOT(ISERROR(SEARCH("GOOD",I9)))</formula>
    </cfRule>
  </conditionalFormatting>
  <conditionalFormatting sqref="F11">
    <cfRule type="containsText" dxfId="1323" priority="12" operator="containsText" text="FAIL">
      <formula>NOT(ISERROR(SEARCH("FAIL",F11)))</formula>
    </cfRule>
  </conditionalFormatting>
  <conditionalFormatting sqref="F11">
    <cfRule type="containsText" dxfId="1322" priority="11" operator="containsText" text="GOOD">
      <formula>NOT(ISERROR(SEARCH("GOOD",F11)))</formula>
    </cfRule>
  </conditionalFormatting>
  <conditionalFormatting sqref="D25">
    <cfRule type="expression" dxfId="1321" priority="10" stopIfTrue="1">
      <formula>IF($H$25=1,0)</formula>
    </cfRule>
  </conditionalFormatting>
  <conditionalFormatting sqref="D23:D25 D29:D43">
    <cfRule type="expression" dxfId="1320" priority="9">
      <formula>H23=1</formula>
    </cfRule>
  </conditionalFormatting>
  <conditionalFormatting sqref="C23:C26 C29:C43">
    <cfRule type="expression" dxfId="1319" priority="8">
      <formula>H23=1</formula>
    </cfRule>
  </conditionalFormatting>
  <conditionalFormatting sqref="E23:E26 E29:E43">
    <cfRule type="expression" dxfId="1318" priority="7">
      <formula>H23=1</formula>
    </cfRule>
  </conditionalFormatting>
  <conditionalFormatting sqref="F11">
    <cfRule type="containsText" dxfId="1317" priority="6" operator="containsText" text="FAIL">
      <formula>NOT(ISERROR(SEARCH("FAIL",F11)))</formula>
    </cfRule>
  </conditionalFormatting>
  <conditionalFormatting sqref="F11">
    <cfRule type="containsText" dxfId="1316" priority="5" operator="containsText" text="GOOD">
      <formula>NOT(ISERROR(SEARCH("GOOD",F11)))</formula>
    </cfRule>
  </conditionalFormatting>
  <conditionalFormatting sqref="D27:D28">
    <cfRule type="expression" dxfId="1315" priority="4">
      <formula>H27=1</formula>
    </cfRule>
  </conditionalFormatting>
  <conditionalFormatting sqref="C27:C28">
    <cfRule type="expression" dxfId="1314" priority="3">
      <formula>H27=1</formula>
    </cfRule>
  </conditionalFormatting>
  <conditionalFormatting sqref="E27:E28">
    <cfRule type="expression" dxfId="1313" priority="2">
      <formula>H27=1</formula>
    </cfRule>
  </conditionalFormatting>
  <conditionalFormatting sqref="D26">
    <cfRule type="expression" dxfId="1312" priority="1">
      <formula>H26=1</formula>
    </cfRule>
  </conditionalFormatting>
  <pageMargins left="0.7" right="0.7" top="0.75" bottom="0.75" header="0.3" footer="0.3"/>
  <pageSetup scale="68"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2:O47"/>
  <sheetViews>
    <sheetView topLeftCell="A3" zoomScaleNormal="100" workbookViewId="0">
      <selection activeCell="L9" sqref="L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880</v>
      </c>
      <c r="I4" s="2" t="s">
        <v>4</v>
      </c>
      <c r="J4" t="s">
        <v>616</v>
      </c>
    </row>
    <row r="5" spans="1:11" x14ac:dyDescent="0.25">
      <c r="D5" s="2" t="s">
        <v>1</v>
      </c>
      <c r="F5" t="s">
        <v>881</v>
      </c>
    </row>
    <row r="6" spans="1:11" x14ac:dyDescent="0.25">
      <c r="D6" s="2" t="s">
        <v>2</v>
      </c>
      <c r="F6" s="6">
        <v>42768</v>
      </c>
      <c r="H6" s="11"/>
    </row>
    <row r="7" spans="1:11" x14ac:dyDescent="0.25">
      <c r="D7" s="2" t="s">
        <v>3</v>
      </c>
      <c r="F7" s="5">
        <v>4800000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3901193</v>
      </c>
      <c r="H8" s="11"/>
    </row>
    <row r="9" spans="1:11" x14ac:dyDescent="0.25">
      <c r="D9" s="2" t="s">
        <v>67</v>
      </c>
      <c r="F9" s="4">
        <f>+F8-F7</f>
        <v>-898807</v>
      </c>
      <c r="G9" s="16">
        <f>+F9/F7</f>
        <v>-0.18725145833333334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-244696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5044696</v>
      </c>
      <c r="G12" s="14"/>
      <c r="H12" s="11">
        <f>COUNT(I23:I43)</f>
        <v>14</v>
      </c>
      <c r="I12" s="1" t="s">
        <v>31</v>
      </c>
      <c r="J12" s="4">
        <f>+F8*0.9</f>
        <v>3511073.7</v>
      </c>
      <c r="K12" s="1" t="s">
        <v>69</v>
      </c>
    </row>
    <row r="13" spans="1:11" x14ac:dyDescent="0.25">
      <c r="D13" s="2" t="s">
        <v>29</v>
      </c>
      <c r="F13" s="4">
        <f>MAX(I23:I43)-MIN(I23:I43)</f>
        <v>2348807</v>
      </c>
      <c r="G13" s="269">
        <f>MEDIAN(I23:I43)</f>
        <v>5006800</v>
      </c>
      <c r="H13" s="270"/>
      <c r="I13" s="1" t="s">
        <v>30</v>
      </c>
      <c r="J13" s="4">
        <f>+F12*1.1</f>
        <v>5549165.6000000006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882</v>
      </c>
      <c r="E23" s="33"/>
      <c r="F23" t="s">
        <v>95</v>
      </c>
      <c r="G23" t="s">
        <v>93</v>
      </c>
      <c r="H23">
        <f>RANK(I23,I$23:I$43,1)</f>
        <v>2</v>
      </c>
      <c r="I23" s="4">
        <v>3980000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883</v>
      </c>
      <c r="E24" s="33"/>
      <c r="F24" t="s">
        <v>884</v>
      </c>
      <c r="G24" t="s">
        <v>93</v>
      </c>
      <c r="H24">
        <f t="shared" ref="H24:H36" si="0">RANK(I24,I$23:I$43,1)</f>
        <v>1</v>
      </c>
      <c r="I24" s="4">
        <v>3901193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885</v>
      </c>
      <c r="E25" s="33"/>
      <c r="F25" t="s">
        <v>95</v>
      </c>
      <c r="G25" t="s">
        <v>93</v>
      </c>
      <c r="H25">
        <f t="shared" si="0"/>
        <v>5</v>
      </c>
      <c r="I25" s="4">
        <v>4437000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11" t="s">
        <v>502</v>
      </c>
      <c r="E26" s="33"/>
      <c r="F26" t="s">
        <v>95</v>
      </c>
      <c r="G26" t="s">
        <v>93</v>
      </c>
      <c r="H26">
        <f t="shared" si="0"/>
        <v>7</v>
      </c>
      <c r="I26" s="4">
        <v>4769000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886</v>
      </c>
      <c r="E27" s="33"/>
      <c r="F27" t="s">
        <v>161</v>
      </c>
      <c r="G27" t="s">
        <v>93</v>
      </c>
      <c r="H27">
        <f t="shared" si="0"/>
        <v>3</v>
      </c>
      <c r="I27" s="4">
        <v>4358000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887</v>
      </c>
      <c r="E28" s="33"/>
      <c r="F28" t="s">
        <v>147</v>
      </c>
      <c r="G28" t="s">
        <v>93</v>
      </c>
      <c r="H28">
        <f t="shared" si="0"/>
        <v>11</v>
      </c>
      <c r="I28" s="4">
        <v>5750000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 t="s">
        <v>888</v>
      </c>
      <c r="E29" s="33"/>
      <c r="F29" t="s">
        <v>167</v>
      </c>
      <c r="G29" t="s">
        <v>93</v>
      </c>
      <c r="H29">
        <f t="shared" si="0"/>
        <v>4</v>
      </c>
      <c r="I29" s="4">
        <v>4389000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 t="s">
        <v>889</v>
      </c>
      <c r="E30" s="33"/>
      <c r="F30" t="s">
        <v>95</v>
      </c>
      <c r="G30" t="s">
        <v>93</v>
      </c>
      <c r="H30">
        <f t="shared" si="0"/>
        <v>12</v>
      </c>
      <c r="I30" s="4">
        <v>5893000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 t="s">
        <v>890</v>
      </c>
      <c r="E31" s="33"/>
      <c r="F31" t="s">
        <v>891</v>
      </c>
      <c r="G31" t="s">
        <v>25</v>
      </c>
      <c r="H31">
        <f t="shared" si="0"/>
        <v>10</v>
      </c>
      <c r="I31" s="4">
        <v>5511223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 t="s">
        <v>892</v>
      </c>
      <c r="E32" s="33"/>
      <c r="F32" t="s">
        <v>95</v>
      </c>
      <c r="G32" t="s">
        <v>93</v>
      </c>
      <c r="H32">
        <f t="shared" si="0"/>
        <v>6</v>
      </c>
      <c r="I32" s="4">
        <v>4683114</v>
      </c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 t="s">
        <v>893</v>
      </c>
      <c r="E33" s="33"/>
      <c r="F33" t="s">
        <v>195</v>
      </c>
      <c r="G33" t="s">
        <v>93</v>
      </c>
      <c r="H33">
        <f t="shared" si="0"/>
        <v>9</v>
      </c>
      <c r="I33" s="4">
        <v>5473887</v>
      </c>
      <c r="M33" s="21"/>
      <c r="N33" s="21"/>
      <c r="O33" s="21"/>
    </row>
    <row r="34" spans="3:15" x14ac:dyDescent="0.25">
      <c r="C34" s="33" t="str">
        <f t="shared" si="1"/>
        <v/>
      </c>
      <c r="D34" s="11" t="s">
        <v>894</v>
      </c>
      <c r="E34" s="33" t="str">
        <f t="shared" ref="E34:E43" si="2">IF(H34=1,"t","")</f>
        <v/>
      </c>
      <c r="F34" t="s">
        <v>161</v>
      </c>
      <c r="G34" t="s">
        <v>93</v>
      </c>
      <c r="H34">
        <f t="shared" si="0"/>
        <v>8</v>
      </c>
      <c r="I34" s="4">
        <v>5244600</v>
      </c>
      <c r="M34" s="21"/>
      <c r="N34" s="21"/>
      <c r="O34" s="21"/>
    </row>
    <row r="35" spans="3:15" x14ac:dyDescent="0.25">
      <c r="C35" s="33" t="str">
        <f t="shared" si="1"/>
        <v/>
      </c>
      <c r="D35" s="11" t="s">
        <v>895</v>
      </c>
      <c r="E35" s="33" t="str">
        <f t="shared" si="2"/>
        <v/>
      </c>
      <c r="F35" t="s">
        <v>95</v>
      </c>
      <c r="G35" t="s">
        <v>93</v>
      </c>
      <c r="H35">
        <f t="shared" si="0"/>
        <v>13</v>
      </c>
      <c r="I35" s="4">
        <v>5985727</v>
      </c>
      <c r="M35" s="21"/>
      <c r="N35" s="21"/>
      <c r="O35" s="21"/>
    </row>
    <row r="36" spans="3:15" x14ac:dyDescent="0.25">
      <c r="C36" s="33" t="str">
        <f t="shared" si="1"/>
        <v/>
      </c>
      <c r="D36" s="11" t="s">
        <v>896</v>
      </c>
      <c r="E36" s="33" t="str">
        <f t="shared" si="2"/>
        <v/>
      </c>
      <c r="F36" t="s">
        <v>897</v>
      </c>
      <c r="G36" t="s">
        <v>321</v>
      </c>
      <c r="H36">
        <f t="shared" si="0"/>
        <v>14</v>
      </c>
      <c r="I36" s="4">
        <v>6250000</v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311" priority="13" operator="containsText" text="FAIL">
      <formula>NOT(ISERROR(SEARCH("FAIL",I9)))</formula>
    </cfRule>
  </conditionalFormatting>
  <conditionalFormatting sqref="I9">
    <cfRule type="containsText" dxfId="1310" priority="12" operator="containsText" text="GOOD">
      <formula>NOT(ISERROR(SEARCH("GOOD",I9)))</formula>
    </cfRule>
  </conditionalFormatting>
  <conditionalFormatting sqref="F11">
    <cfRule type="containsText" dxfId="1309" priority="11" operator="containsText" text="FAIL">
      <formula>NOT(ISERROR(SEARCH("FAIL",F11)))</formula>
    </cfRule>
  </conditionalFormatting>
  <conditionalFormatting sqref="F11">
    <cfRule type="containsText" dxfId="1308" priority="10" operator="containsText" text="GOOD">
      <formula>NOT(ISERROR(SEARCH("GOOD",F11)))</formula>
    </cfRule>
  </conditionalFormatting>
  <conditionalFormatting sqref="D25">
    <cfRule type="expression" dxfId="1307" priority="9" stopIfTrue="1">
      <formula>IF($H$25=1,0)</formula>
    </cfRule>
  </conditionalFormatting>
  <conditionalFormatting sqref="D23:D26 D29:D43">
    <cfRule type="expression" dxfId="1306" priority="8">
      <formula>H23=1</formula>
    </cfRule>
  </conditionalFormatting>
  <conditionalFormatting sqref="C23:C26 C29:C43">
    <cfRule type="expression" dxfId="1305" priority="7">
      <formula>H23=1</formula>
    </cfRule>
  </conditionalFormatting>
  <conditionalFormatting sqref="E23:E26 E29:E43">
    <cfRule type="expression" dxfId="1304" priority="6">
      <formula>H23=1</formula>
    </cfRule>
  </conditionalFormatting>
  <conditionalFormatting sqref="F11">
    <cfRule type="containsText" dxfId="1303" priority="5" operator="containsText" text="FAIL">
      <formula>NOT(ISERROR(SEARCH("FAIL",F11)))</formula>
    </cfRule>
  </conditionalFormatting>
  <conditionalFormatting sqref="F11">
    <cfRule type="containsText" dxfId="1302" priority="4" operator="containsText" text="GOOD">
      <formula>NOT(ISERROR(SEARCH("GOOD",F11)))</formula>
    </cfRule>
  </conditionalFormatting>
  <conditionalFormatting sqref="D27:D28">
    <cfRule type="expression" dxfId="1301" priority="3">
      <formula>H27=1</formula>
    </cfRule>
  </conditionalFormatting>
  <conditionalFormatting sqref="C27:C28">
    <cfRule type="expression" dxfId="1300" priority="2">
      <formula>H27=1</formula>
    </cfRule>
  </conditionalFormatting>
  <conditionalFormatting sqref="E27:E28">
    <cfRule type="expression" dxfId="1299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tabColor rgb="FFFF0000"/>
  </sheetPr>
  <dimension ref="A2:O47"/>
  <sheetViews>
    <sheetView topLeftCell="A7" zoomScaleNormal="100" workbookViewId="0">
      <selection activeCell="D30" sqref="D30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878</v>
      </c>
      <c r="I4" s="2" t="s">
        <v>4</v>
      </c>
      <c r="J4" t="s">
        <v>816</v>
      </c>
    </row>
    <row r="5" spans="1:11" x14ac:dyDescent="0.25">
      <c r="D5" s="2" t="s">
        <v>1</v>
      </c>
      <c r="F5" t="s">
        <v>879</v>
      </c>
    </row>
    <row r="6" spans="1:11" x14ac:dyDescent="0.25">
      <c r="D6" s="2" t="s">
        <v>2</v>
      </c>
      <c r="F6" s="6">
        <v>42766</v>
      </c>
      <c r="H6" s="11"/>
    </row>
    <row r="7" spans="1:11" x14ac:dyDescent="0.25">
      <c r="D7" s="2" t="s">
        <v>3</v>
      </c>
      <c r="F7" s="5">
        <v>2130000</v>
      </c>
      <c r="G7" s="2" t="s">
        <v>693</v>
      </c>
      <c r="H7" s="11"/>
    </row>
    <row r="8" spans="1:11" x14ac:dyDescent="0.25">
      <c r="D8" s="2" t="s">
        <v>18</v>
      </c>
      <c r="F8" s="5">
        <f>MIN(I23:I43)</f>
        <v>2552210</v>
      </c>
      <c r="H8" s="11"/>
    </row>
    <row r="9" spans="1:11" x14ac:dyDescent="0.25">
      <c r="D9" s="2" t="s">
        <v>67</v>
      </c>
      <c r="F9" s="4">
        <f>+F8-F7</f>
        <v>422210</v>
      </c>
      <c r="G9" s="16">
        <f>+F9/F7</f>
        <v>0.19822065727699531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-717295.66666666651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2847295.6666666665</v>
      </c>
      <c r="G12" s="14"/>
      <c r="H12" s="11">
        <f>COUNT(I23:I43)</f>
        <v>6</v>
      </c>
      <c r="I12" s="1" t="s">
        <v>31</v>
      </c>
      <c r="J12" s="4">
        <f>+F8*0.9</f>
        <v>2296989</v>
      </c>
      <c r="K12" s="1" t="s">
        <v>69</v>
      </c>
    </row>
    <row r="13" spans="1:11" x14ac:dyDescent="0.25">
      <c r="D13" s="2" t="s">
        <v>29</v>
      </c>
      <c r="F13" s="4">
        <f>MAX(I23:I43)-MIN(I23:I43)</f>
        <v>928240</v>
      </c>
      <c r="G13" s="269">
        <f>MEDIAN(I23:I43)</f>
        <v>2738130.5</v>
      </c>
      <c r="H13" s="270"/>
      <c r="I13" s="1" t="s">
        <v>30</v>
      </c>
      <c r="J13" s="4">
        <f>+F12*1.1</f>
        <v>3132025.2333333334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470</v>
      </c>
      <c r="E23" s="33"/>
      <c r="F23" t="s">
        <v>113</v>
      </c>
      <c r="G23" t="s">
        <v>25</v>
      </c>
      <c r="H23">
        <f t="shared" ref="H23:H28" si="0">RANK(I23,I$23:I$43,1)</f>
        <v>2</v>
      </c>
      <c r="I23" s="4">
        <v>2583315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676</v>
      </c>
      <c r="E24" s="33"/>
      <c r="F24" t="s">
        <v>85</v>
      </c>
      <c r="G24" t="s">
        <v>25</v>
      </c>
      <c r="H24">
        <f t="shared" si="0"/>
        <v>6</v>
      </c>
      <c r="I24" s="4">
        <v>3480450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733</v>
      </c>
      <c r="E25" s="33"/>
      <c r="F25" t="s">
        <v>120</v>
      </c>
      <c r="G25" t="s">
        <v>25</v>
      </c>
      <c r="H25">
        <f t="shared" si="0"/>
        <v>4</v>
      </c>
      <c r="I25" s="4">
        <v>2769111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>u</v>
      </c>
      <c r="D26" s="11" t="s">
        <v>631</v>
      </c>
      <c r="E26" s="33"/>
      <c r="F26" t="s">
        <v>131</v>
      </c>
      <c r="G26" t="s">
        <v>25</v>
      </c>
      <c r="H26">
        <f t="shared" si="0"/>
        <v>1</v>
      </c>
      <c r="I26" s="4">
        <v>2552210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347</v>
      </c>
      <c r="E27" s="33"/>
      <c r="F27" t="s">
        <v>147</v>
      </c>
      <c r="G27" t="s">
        <v>93</v>
      </c>
      <c r="H27">
        <f t="shared" si="0"/>
        <v>3</v>
      </c>
      <c r="I27" s="4">
        <v>2707150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814</v>
      </c>
      <c r="E28" s="33"/>
      <c r="F28" t="s">
        <v>376</v>
      </c>
      <c r="G28" t="s">
        <v>93</v>
      </c>
      <c r="H28">
        <f t="shared" si="0"/>
        <v>5</v>
      </c>
      <c r="I28" s="4">
        <v>2991538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ref="E34:E43" si="2">IF(H34=1,"t","")</f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298" priority="13" operator="containsText" text="FAIL">
      <formula>NOT(ISERROR(SEARCH("FAIL",I9)))</formula>
    </cfRule>
  </conditionalFormatting>
  <conditionalFormatting sqref="I9">
    <cfRule type="containsText" dxfId="1297" priority="12" operator="containsText" text="GOOD">
      <formula>NOT(ISERROR(SEARCH("GOOD",I9)))</formula>
    </cfRule>
  </conditionalFormatting>
  <conditionalFormatting sqref="F11">
    <cfRule type="containsText" dxfId="1296" priority="11" operator="containsText" text="FAIL">
      <formula>NOT(ISERROR(SEARCH("FAIL",F11)))</formula>
    </cfRule>
  </conditionalFormatting>
  <conditionalFormatting sqref="F11">
    <cfRule type="containsText" dxfId="1295" priority="10" operator="containsText" text="GOOD">
      <formula>NOT(ISERROR(SEARCH("GOOD",F11)))</formula>
    </cfRule>
  </conditionalFormatting>
  <conditionalFormatting sqref="D25">
    <cfRule type="expression" dxfId="1294" priority="9" stopIfTrue="1">
      <formula>IF($H$25=1,0)</formula>
    </cfRule>
  </conditionalFormatting>
  <conditionalFormatting sqref="D23:D26 D29:D43">
    <cfRule type="expression" dxfId="1293" priority="8">
      <formula>H23=1</formula>
    </cfRule>
  </conditionalFormatting>
  <conditionalFormatting sqref="C23:C26 C29:C43">
    <cfRule type="expression" dxfId="1292" priority="7">
      <formula>H23=1</formula>
    </cfRule>
  </conditionalFormatting>
  <conditionalFormatting sqref="E23:E26 E29:E43">
    <cfRule type="expression" dxfId="1291" priority="6">
      <formula>H23=1</formula>
    </cfRule>
  </conditionalFormatting>
  <conditionalFormatting sqref="F11">
    <cfRule type="containsText" dxfId="1290" priority="5" operator="containsText" text="FAIL">
      <formula>NOT(ISERROR(SEARCH("FAIL",F11)))</formula>
    </cfRule>
  </conditionalFormatting>
  <conditionalFormatting sqref="F11">
    <cfRule type="containsText" dxfId="1289" priority="4" operator="containsText" text="GOOD">
      <formula>NOT(ISERROR(SEARCH("GOOD",F11)))</formula>
    </cfRule>
  </conditionalFormatting>
  <conditionalFormatting sqref="D27:D28">
    <cfRule type="expression" dxfId="1288" priority="3">
      <formula>H27=1</formula>
    </cfRule>
  </conditionalFormatting>
  <conditionalFormatting sqref="C27:C28">
    <cfRule type="expression" dxfId="1287" priority="2">
      <formula>H27=1</formula>
    </cfRule>
  </conditionalFormatting>
  <conditionalFormatting sqref="E27:E28">
    <cfRule type="expression" dxfId="1286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2:O47"/>
  <sheetViews>
    <sheetView zoomScaleNormal="100" workbookViewId="0">
      <selection activeCell="L7" sqref="L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876</v>
      </c>
      <c r="I4" s="2" t="s">
        <v>4</v>
      </c>
      <c r="J4" t="s">
        <v>447</v>
      </c>
    </row>
    <row r="5" spans="1:11" x14ac:dyDescent="0.25">
      <c r="D5" s="2" t="s">
        <v>1</v>
      </c>
      <c r="F5" t="s">
        <v>877</v>
      </c>
    </row>
    <row r="6" spans="1:11" x14ac:dyDescent="0.25">
      <c r="D6" s="2" t="s">
        <v>2</v>
      </c>
      <c r="F6" s="6">
        <v>42765</v>
      </c>
      <c r="H6" s="11"/>
    </row>
    <row r="7" spans="1:11" x14ac:dyDescent="0.25">
      <c r="D7" s="2" t="s">
        <v>3</v>
      </c>
      <c r="F7" s="5">
        <v>6500000</v>
      </c>
      <c r="G7" s="2" t="s">
        <v>756</v>
      </c>
      <c r="H7" s="11"/>
    </row>
    <row r="8" spans="1:11" x14ac:dyDescent="0.25">
      <c r="D8" s="2" t="s">
        <v>18</v>
      </c>
      <c r="F8" s="5">
        <f>MIN(I23:I43)</f>
        <v>5987000</v>
      </c>
      <c r="H8" s="11"/>
    </row>
    <row r="9" spans="1:11" x14ac:dyDescent="0.25">
      <c r="D9" s="2" t="s">
        <v>67</v>
      </c>
      <c r="F9" s="4">
        <f>+F8-F7</f>
        <v>-513000</v>
      </c>
      <c r="G9" s="16">
        <f>+F9/F7</f>
        <v>-7.8923076923076929E-2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1" x14ac:dyDescent="0.25">
      <c r="D10" s="2" t="s">
        <v>68</v>
      </c>
      <c r="F10" s="4">
        <f>+F7-F12</f>
        <v>-676261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7176261</v>
      </c>
      <c r="G12" s="14"/>
      <c r="H12" s="11">
        <f>COUNT(I23:I43)</f>
        <v>5</v>
      </c>
      <c r="I12" s="1" t="s">
        <v>31</v>
      </c>
      <c r="J12" s="4">
        <f>+F8*0.9</f>
        <v>5388300</v>
      </c>
      <c r="K12" s="1" t="s">
        <v>69</v>
      </c>
    </row>
    <row r="13" spans="1:11" x14ac:dyDescent="0.25">
      <c r="D13" s="2" t="s">
        <v>29</v>
      </c>
      <c r="F13" s="4">
        <f>MAX(I23:I43)-MIN(I23:I43)</f>
        <v>2409881</v>
      </c>
      <c r="G13" s="269">
        <f>MEDIAN(I23:I43)</f>
        <v>6984474</v>
      </c>
      <c r="H13" s="270"/>
      <c r="I13" s="1" t="s">
        <v>30</v>
      </c>
      <c r="J13" s="4">
        <f>+F12*1.1</f>
        <v>7893887.1000000006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491</v>
      </c>
      <c r="E23" s="33"/>
      <c r="F23" t="s">
        <v>203</v>
      </c>
      <c r="G23" t="s">
        <v>204</v>
      </c>
      <c r="H23">
        <f>RANK(I23,I$23:I$43,1)</f>
        <v>3</v>
      </c>
      <c r="I23" s="4">
        <v>6984474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676</v>
      </c>
      <c r="E24" s="33"/>
      <c r="F24" t="s">
        <v>85</v>
      </c>
      <c r="G24" t="s">
        <v>25</v>
      </c>
      <c r="H24">
        <f>RANK(I24,I$23:I$43,1)</f>
        <v>5</v>
      </c>
      <c r="I24" s="4">
        <v>8396881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606</v>
      </c>
      <c r="E25" s="33"/>
      <c r="F25" t="s">
        <v>100</v>
      </c>
      <c r="G25" t="s">
        <v>93</v>
      </c>
      <c r="H25">
        <f>RANK(I25,I$23:I$43,1)</f>
        <v>2</v>
      </c>
      <c r="I25" s="4">
        <v>6682950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>u</v>
      </c>
      <c r="D26" s="11" t="s">
        <v>502</v>
      </c>
      <c r="E26" s="33"/>
      <c r="F26" t="s">
        <v>95</v>
      </c>
      <c r="G26" t="s">
        <v>93</v>
      </c>
      <c r="H26">
        <f>RANK(I26,I$23:I$43,1)</f>
        <v>1</v>
      </c>
      <c r="I26" s="4">
        <v>5987000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 t="s">
        <v>681</v>
      </c>
      <c r="E27" s="33"/>
      <c r="F27" t="s">
        <v>199</v>
      </c>
      <c r="G27" t="s">
        <v>93</v>
      </c>
      <c r="H27">
        <f>RANK(I27,I$23:I$43,1)</f>
        <v>4</v>
      </c>
      <c r="I27" s="4">
        <v>7830000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285" priority="13" operator="containsText" text="FAIL">
      <formula>NOT(ISERROR(SEARCH("FAIL",I9)))</formula>
    </cfRule>
  </conditionalFormatting>
  <conditionalFormatting sqref="I9">
    <cfRule type="containsText" dxfId="1284" priority="12" operator="containsText" text="GOOD">
      <formula>NOT(ISERROR(SEARCH("GOOD",I9)))</formula>
    </cfRule>
  </conditionalFormatting>
  <conditionalFormatting sqref="F11">
    <cfRule type="containsText" dxfId="1283" priority="11" operator="containsText" text="FAIL">
      <formula>NOT(ISERROR(SEARCH("FAIL",F11)))</formula>
    </cfRule>
  </conditionalFormatting>
  <conditionalFormatting sqref="F11">
    <cfRule type="containsText" dxfId="1282" priority="10" operator="containsText" text="GOOD">
      <formula>NOT(ISERROR(SEARCH("GOOD",F11)))</formula>
    </cfRule>
  </conditionalFormatting>
  <conditionalFormatting sqref="D25">
    <cfRule type="expression" dxfId="1281" priority="9" stopIfTrue="1">
      <formula>IF($H$25=1,0)</formula>
    </cfRule>
  </conditionalFormatting>
  <conditionalFormatting sqref="D23:D26 D29:D43">
    <cfRule type="expression" dxfId="1280" priority="8">
      <formula>H23=1</formula>
    </cfRule>
  </conditionalFormatting>
  <conditionalFormatting sqref="C23:C26 C29:C43">
    <cfRule type="expression" dxfId="1279" priority="7">
      <formula>H23=1</formula>
    </cfRule>
  </conditionalFormatting>
  <conditionalFormatting sqref="E23:E26 E29:E43">
    <cfRule type="expression" dxfId="1278" priority="6">
      <formula>H23=1</formula>
    </cfRule>
  </conditionalFormatting>
  <conditionalFormatting sqref="F11">
    <cfRule type="containsText" dxfId="1277" priority="5" operator="containsText" text="FAIL">
      <formula>NOT(ISERROR(SEARCH("FAIL",F11)))</formula>
    </cfRule>
  </conditionalFormatting>
  <conditionalFormatting sqref="F11">
    <cfRule type="containsText" dxfId="1276" priority="4" operator="containsText" text="GOOD">
      <formula>NOT(ISERROR(SEARCH("GOOD",F11)))</formula>
    </cfRule>
  </conditionalFormatting>
  <conditionalFormatting sqref="D27:D28">
    <cfRule type="expression" dxfId="1275" priority="3">
      <formula>H27=1</formula>
    </cfRule>
  </conditionalFormatting>
  <conditionalFormatting sqref="C27:C28">
    <cfRule type="expression" dxfId="1274" priority="2">
      <formula>H27=1</formula>
    </cfRule>
  </conditionalFormatting>
  <conditionalFormatting sqref="E27:E28">
    <cfRule type="expression" dxfId="1273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2:O47"/>
  <sheetViews>
    <sheetView workbookViewId="0">
      <selection activeCell="M24" sqref="M2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868</v>
      </c>
      <c r="I4" s="2" t="s">
        <v>4</v>
      </c>
      <c r="J4" t="s">
        <v>784</v>
      </c>
    </row>
    <row r="5" spans="1:11" x14ac:dyDescent="0.25">
      <c r="D5" s="2" t="s">
        <v>1</v>
      </c>
      <c r="F5" t="s">
        <v>869</v>
      </c>
    </row>
    <row r="6" spans="1:11" x14ac:dyDescent="0.25">
      <c r="D6" s="2" t="s">
        <v>2</v>
      </c>
      <c r="F6" s="6">
        <v>42761</v>
      </c>
      <c r="H6" s="11"/>
    </row>
    <row r="7" spans="1:11" x14ac:dyDescent="0.25">
      <c r="D7" s="2" t="s">
        <v>3</v>
      </c>
      <c r="F7" s="5">
        <f>+I7+J7</f>
        <v>5100000</v>
      </c>
      <c r="G7" s="2" t="s">
        <v>34</v>
      </c>
      <c r="H7" s="11"/>
      <c r="I7" s="19">
        <v>324000</v>
      </c>
      <c r="J7" s="19">
        <v>4776000</v>
      </c>
    </row>
    <row r="8" spans="1:11" x14ac:dyDescent="0.25">
      <c r="D8" s="2" t="s">
        <v>18</v>
      </c>
      <c r="F8" s="5">
        <f>MIN(K23:K43)</f>
        <v>4640176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-459824</v>
      </c>
      <c r="G9" s="16">
        <f>+F9/F7</f>
        <v>-9.0161568627450978E-2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1" x14ac:dyDescent="0.25">
      <c r="D10" s="2" t="s">
        <v>68</v>
      </c>
      <c r="F10" s="4">
        <f>+F7-F12</f>
        <v>-566320.85714285728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5666320.8571428573</v>
      </c>
      <c r="G12" s="14"/>
      <c r="H12" s="11">
        <f>COUNT(K23:K43)</f>
        <v>7</v>
      </c>
      <c r="I12" s="1" t="s">
        <v>31</v>
      </c>
      <c r="J12" s="4">
        <f>+F8*0.9</f>
        <v>4176158.4</v>
      </c>
      <c r="K12" s="1" t="s">
        <v>69</v>
      </c>
    </row>
    <row r="13" spans="1:11" x14ac:dyDescent="0.25">
      <c r="D13" s="2" t="s">
        <v>29</v>
      </c>
      <c r="F13" s="4">
        <f>MAX(K23:K43)-MIN(K23:K43)</f>
        <v>4599824</v>
      </c>
      <c r="G13" s="269">
        <f>MEDIAN(K23:K43)</f>
        <v>5287400</v>
      </c>
      <c r="H13" s="270"/>
      <c r="I13" s="1" t="s">
        <v>30</v>
      </c>
      <c r="J13" s="4">
        <f>+F12*1.1</f>
        <v>6232952.9428571435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0.17288135593220338</v>
      </c>
    </row>
    <row r="18" spans="3:15" x14ac:dyDescent="0.25">
      <c r="F18" s="4">
        <f>+F7</f>
        <v>5100000</v>
      </c>
      <c r="G18" s="1" t="s">
        <v>12</v>
      </c>
      <c r="H18" s="11"/>
      <c r="I18" t="s">
        <v>16</v>
      </c>
      <c r="J18" s="7">
        <f>+F8/F18</f>
        <v>0.90983843137254905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0.15467253333333333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450</v>
      </c>
      <c r="E23" s="33"/>
      <c r="F23" t="s">
        <v>451</v>
      </c>
      <c r="G23" t="s">
        <v>93</v>
      </c>
      <c r="H23">
        <f>RANK(K23,K$23:K$43,1)</f>
        <v>2</v>
      </c>
      <c r="I23" s="4">
        <v>452400</v>
      </c>
      <c r="J23" s="4">
        <v>4250000</v>
      </c>
      <c r="K23" s="4">
        <f>+J23+I23</f>
        <v>4702400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502</v>
      </c>
      <c r="E24" s="33"/>
      <c r="F24" t="s">
        <v>95</v>
      </c>
      <c r="G24" t="s">
        <v>93</v>
      </c>
      <c r="H24">
        <f t="shared" ref="H24:H29" si="0">RANK(K24,K$23:K$43,1)</f>
        <v>4</v>
      </c>
      <c r="I24" s="4">
        <v>263100</v>
      </c>
      <c r="J24" s="4">
        <v>5024300</v>
      </c>
      <c r="K24" s="4">
        <f t="shared" ref="K24:K29" si="1">+J24+I24</f>
        <v>5287400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870</v>
      </c>
      <c r="E25" s="33"/>
      <c r="F25" t="s">
        <v>871</v>
      </c>
      <c r="G25" t="s">
        <v>93</v>
      </c>
      <c r="H25">
        <f t="shared" si="0"/>
        <v>6</v>
      </c>
      <c r="I25" s="4">
        <v>538200</v>
      </c>
      <c r="J25" s="4">
        <v>4991043</v>
      </c>
      <c r="K25" s="4">
        <f t="shared" si="1"/>
        <v>5529243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>u</v>
      </c>
      <c r="D26" s="11" t="s">
        <v>491</v>
      </c>
      <c r="E26" s="33"/>
      <c r="F26" t="s">
        <v>203</v>
      </c>
      <c r="G26" t="s">
        <v>204</v>
      </c>
      <c r="H26">
        <f t="shared" si="0"/>
        <v>1</v>
      </c>
      <c r="I26" s="4">
        <v>322800</v>
      </c>
      <c r="J26" s="4">
        <v>4317376</v>
      </c>
      <c r="K26" s="4">
        <f t="shared" si="1"/>
        <v>4640176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11" t="s">
        <v>872</v>
      </c>
      <c r="E27" s="33"/>
      <c r="F27" t="s">
        <v>873</v>
      </c>
      <c r="G27" t="s">
        <v>93</v>
      </c>
      <c r="H27">
        <f t="shared" si="0"/>
        <v>7</v>
      </c>
      <c r="I27" s="4">
        <v>540000</v>
      </c>
      <c r="J27" s="4">
        <v>8700000</v>
      </c>
      <c r="K27" s="4">
        <f t="shared" si="1"/>
        <v>9240000</v>
      </c>
      <c r="L27" s="4"/>
      <c r="M27" s="22"/>
      <c r="N27" s="22"/>
      <c r="O27" s="22"/>
    </row>
    <row r="28" spans="3:15" x14ac:dyDescent="0.25">
      <c r="C28" s="33" t="str">
        <f t="shared" si="2"/>
        <v/>
      </c>
      <c r="D28" s="11" t="s">
        <v>874</v>
      </c>
      <c r="E28" s="33"/>
      <c r="F28" t="s">
        <v>532</v>
      </c>
      <c r="G28" t="s">
        <v>93</v>
      </c>
      <c r="H28">
        <f t="shared" si="0"/>
        <v>3</v>
      </c>
      <c r="I28" s="4">
        <v>269160</v>
      </c>
      <c r="J28" s="4">
        <v>4528367</v>
      </c>
      <c r="K28" s="4">
        <f t="shared" si="1"/>
        <v>4797527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11" t="s">
        <v>875</v>
      </c>
      <c r="E29" s="33"/>
      <c r="F29" t="s">
        <v>100</v>
      </c>
      <c r="G29" t="s">
        <v>93</v>
      </c>
      <c r="H29">
        <f t="shared" si="0"/>
        <v>5</v>
      </c>
      <c r="I29" s="4">
        <v>245500</v>
      </c>
      <c r="J29" s="4">
        <v>5222000</v>
      </c>
      <c r="K29" s="4">
        <f t="shared" si="1"/>
        <v>5467500</v>
      </c>
      <c r="L29" s="4"/>
      <c r="M29" s="22"/>
      <c r="N29" s="22"/>
      <c r="O29" s="22"/>
    </row>
    <row r="30" spans="3:15" x14ac:dyDescent="0.25">
      <c r="C30" s="33"/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/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/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/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 t="str">
        <f t="shared" ref="E34:E43" si="3">IF(H34=1,"t","")</f>
        <v/>
      </c>
      <c r="K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 t="str">
        <f t="shared" si="3"/>
        <v/>
      </c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 t="str">
        <f t="shared" si="3"/>
        <v/>
      </c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272" priority="19" operator="containsText" text="FAIL">
      <formula>NOT(ISERROR(SEARCH("FAIL",I9)))</formula>
    </cfRule>
  </conditionalFormatting>
  <conditionalFormatting sqref="I9">
    <cfRule type="containsText" dxfId="1271" priority="18" operator="containsText" text="GOOD">
      <formula>NOT(ISERROR(SEARCH("GOOD",I9)))</formula>
    </cfRule>
  </conditionalFormatting>
  <conditionalFormatting sqref="I9">
    <cfRule type="containsText" dxfId="1270" priority="17" operator="containsText" text="FAIL">
      <formula>NOT(ISERROR(SEARCH("FAIL",I9)))</formula>
    </cfRule>
  </conditionalFormatting>
  <conditionalFormatting sqref="I9">
    <cfRule type="containsText" dxfId="1269" priority="16" operator="containsText" text="GOOD">
      <formula>NOT(ISERROR(SEARCH("GOOD",I9)))</formula>
    </cfRule>
  </conditionalFormatting>
  <conditionalFormatting sqref="I9">
    <cfRule type="containsText" dxfId="1268" priority="15" operator="containsText" text="FAIL">
      <formula>NOT(ISERROR(SEARCH("FAIL",I9)))</formula>
    </cfRule>
  </conditionalFormatting>
  <conditionalFormatting sqref="I9">
    <cfRule type="containsText" dxfId="1267" priority="14" operator="containsText" text="GOOD">
      <formula>NOT(ISERROR(SEARCH("GOOD",I9)))</formula>
    </cfRule>
  </conditionalFormatting>
  <conditionalFormatting sqref="F11">
    <cfRule type="containsText" dxfId="1266" priority="13" operator="containsText" text="FAIL">
      <formula>NOT(ISERROR(SEARCH("FAIL",F11)))</formula>
    </cfRule>
  </conditionalFormatting>
  <conditionalFormatting sqref="F11">
    <cfRule type="containsText" dxfId="1265" priority="12" operator="containsText" text="GOOD">
      <formula>NOT(ISERROR(SEARCH("GOOD",F11)))</formula>
    </cfRule>
  </conditionalFormatting>
  <conditionalFormatting sqref="I9">
    <cfRule type="containsText" dxfId="1264" priority="11" operator="containsText" text="FAIL">
      <formula>NOT(ISERROR(SEARCH("FAIL",I9)))</formula>
    </cfRule>
  </conditionalFormatting>
  <conditionalFormatting sqref="I9">
    <cfRule type="containsText" dxfId="1263" priority="10" operator="containsText" text="GOOD">
      <formula>NOT(ISERROR(SEARCH("GOOD",I9)))</formula>
    </cfRule>
  </conditionalFormatting>
  <conditionalFormatting sqref="F11">
    <cfRule type="containsText" dxfId="1262" priority="9" operator="containsText" text="FAIL">
      <formula>NOT(ISERROR(SEARCH("FAIL",F11)))</formula>
    </cfRule>
  </conditionalFormatting>
  <conditionalFormatting sqref="F11">
    <cfRule type="containsText" dxfId="1261" priority="8" operator="containsText" text="GOOD">
      <formula>NOT(ISERROR(SEARCH("GOOD",F11)))</formula>
    </cfRule>
  </conditionalFormatting>
  <conditionalFormatting sqref="D25">
    <cfRule type="expression" dxfId="1260" priority="7" stopIfTrue="1">
      <formula>IF($H$25=1,0)</formula>
    </cfRule>
  </conditionalFormatting>
  <conditionalFormatting sqref="D23:D43">
    <cfRule type="expression" dxfId="1259" priority="6">
      <formula>H23=1</formula>
    </cfRule>
  </conditionalFormatting>
  <conditionalFormatting sqref="C23:C43">
    <cfRule type="expression" dxfId="1258" priority="5">
      <formula>H23=1</formula>
    </cfRule>
  </conditionalFormatting>
  <conditionalFormatting sqref="E23:E43">
    <cfRule type="expression" dxfId="1257" priority="4">
      <formula>H23=1</formula>
    </cfRule>
  </conditionalFormatting>
  <conditionalFormatting sqref="E23:E43">
    <cfRule type="expression" dxfId="1256" priority="3">
      <formula>H23=1</formula>
    </cfRule>
  </conditionalFormatting>
  <conditionalFormatting sqref="F11">
    <cfRule type="containsText" dxfId="1255" priority="2" operator="containsText" text="FAIL">
      <formula>NOT(ISERROR(SEARCH("FAIL",F11)))</formula>
    </cfRule>
  </conditionalFormatting>
  <conditionalFormatting sqref="F11">
    <cfRule type="containsText" dxfId="1254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2:O47"/>
  <sheetViews>
    <sheetView zoomScaleNormal="100" workbookViewId="0">
      <selection activeCell="F28" sqref="F28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4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4" ht="18.75" x14ac:dyDescent="0.3">
      <c r="C3" s="3" t="s">
        <v>26</v>
      </c>
      <c r="J3" s="8" t="s">
        <v>48</v>
      </c>
    </row>
    <row r="4" spans="1:14" x14ac:dyDescent="0.25">
      <c r="C4" s="1"/>
      <c r="D4" s="2" t="s">
        <v>0</v>
      </c>
      <c r="E4" s="1"/>
      <c r="F4" t="s">
        <v>862</v>
      </c>
      <c r="I4" s="2" t="s">
        <v>4</v>
      </c>
      <c r="J4" t="s">
        <v>616</v>
      </c>
    </row>
    <row r="5" spans="1:14" x14ac:dyDescent="0.25">
      <c r="D5" s="2" t="s">
        <v>1</v>
      </c>
      <c r="F5" t="s">
        <v>863</v>
      </c>
    </row>
    <row r="6" spans="1:14" x14ac:dyDescent="0.25">
      <c r="D6" s="2" t="s">
        <v>2</v>
      </c>
      <c r="F6" s="6">
        <v>42759</v>
      </c>
      <c r="H6" s="11"/>
    </row>
    <row r="7" spans="1:14" x14ac:dyDescent="0.25">
      <c r="D7" s="2" t="s">
        <v>3</v>
      </c>
      <c r="F7" s="5">
        <f>+I7+J7+L7</f>
        <v>69800000</v>
      </c>
      <c r="G7" s="2" t="s">
        <v>190</v>
      </c>
      <c r="H7" s="11"/>
      <c r="I7" s="19">
        <v>14441827</v>
      </c>
      <c r="J7" s="19">
        <v>54758173</v>
      </c>
      <c r="K7" s="19">
        <v>0</v>
      </c>
      <c r="L7" s="19">
        <v>600000</v>
      </c>
    </row>
    <row r="8" spans="1:14" x14ac:dyDescent="0.25">
      <c r="D8" s="2" t="s">
        <v>18</v>
      </c>
      <c r="F8" s="5">
        <f>MIN(L23:L43)</f>
        <v>67107000</v>
      </c>
      <c r="H8" s="11"/>
      <c r="I8" s="18" t="s">
        <v>43</v>
      </c>
      <c r="J8" s="18" t="s">
        <v>44</v>
      </c>
      <c r="K8" s="18" t="s">
        <v>49</v>
      </c>
      <c r="L8" s="18" t="s">
        <v>794</v>
      </c>
    </row>
    <row r="9" spans="1:14" x14ac:dyDescent="0.25">
      <c r="D9" s="2" t="s">
        <v>19</v>
      </c>
      <c r="F9" s="4">
        <f>+F8-F7</f>
        <v>-2693000</v>
      </c>
      <c r="G9" s="16">
        <f>+F9/F7</f>
        <v>-3.8581661891117482E-2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4" x14ac:dyDescent="0.25">
      <c r="D10" s="2" t="s">
        <v>68</v>
      </c>
      <c r="F10" s="4">
        <f>+F7-F12</f>
        <v>-4780198.4444444478</v>
      </c>
      <c r="H10" s="11"/>
      <c r="K10" s="31"/>
      <c r="N10" t="e">
        <f>LOOKUP(1,D23:D43)</f>
        <v>#N/A</v>
      </c>
    </row>
    <row r="11" spans="1:14" x14ac:dyDescent="0.25">
      <c r="A11" s="30"/>
      <c r="D11" s="2" t="s">
        <v>71</v>
      </c>
      <c r="F11" s="11" t="str">
        <f>(IF(F7&lt;J12,"FAIL",IF(F7&gt;J13,"FAIL","GOOD")))</f>
        <v>GOOD</v>
      </c>
      <c r="H11" s="11"/>
      <c r="L11" s="31"/>
      <c r="N11" t="e">
        <f>MATCH(1,D23:H43,0)</f>
        <v>#N/A</v>
      </c>
    </row>
    <row r="12" spans="1:14" x14ac:dyDescent="0.25">
      <c r="D12" s="2" t="s">
        <v>28</v>
      </c>
      <c r="F12" s="4">
        <f>SUM(L23:L43)/H12</f>
        <v>74580198.444444448</v>
      </c>
      <c r="G12" s="14"/>
      <c r="H12" s="11">
        <f>COUNT(L23:L43)</f>
        <v>9</v>
      </c>
      <c r="I12" s="1" t="s">
        <v>31</v>
      </c>
      <c r="J12" s="4">
        <f>+F8*0.9</f>
        <v>60396300</v>
      </c>
      <c r="K12" s="1" t="s">
        <v>69</v>
      </c>
      <c r="N12" t="str">
        <f>INDEX(D23:D43,MATCH(1,H23:H43,0))</f>
        <v>D'Annunzio &amp; Sons</v>
      </c>
    </row>
    <row r="13" spans="1:14" x14ac:dyDescent="0.25">
      <c r="D13" s="2" t="s">
        <v>29</v>
      </c>
      <c r="F13" s="4">
        <f>MAX(L23:L43)-MIN(L23:L43)</f>
        <v>17110896</v>
      </c>
      <c r="G13" s="269">
        <f>MEDIAN(L23:L43)</f>
        <v>74264560</v>
      </c>
      <c r="H13" s="270"/>
      <c r="I13" s="1" t="s">
        <v>30</v>
      </c>
      <c r="J13" s="4">
        <f>+F12*1.1</f>
        <v>82038218.288888901</v>
      </c>
      <c r="K13" s="1" t="s">
        <v>70</v>
      </c>
    </row>
    <row r="14" spans="1:14" x14ac:dyDescent="0.25">
      <c r="H14" s="11"/>
    </row>
    <row r="15" spans="1:14" x14ac:dyDescent="0.25">
      <c r="D15" s="2" t="s">
        <v>8</v>
      </c>
      <c r="F15" s="4">
        <v>5000000</v>
      </c>
      <c r="G15" s="1" t="s">
        <v>9</v>
      </c>
      <c r="H15" s="11"/>
      <c r="I15" t="s">
        <v>15</v>
      </c>
      <c r="J15" s="7">
        <f>+F16/F15</f>
        <v>1.2</v>
      </c>
    </row>
    <row r="16" spans="1:14" x14ac:dyDescent="0.25">
      <c r="F16" s="4">
        <v>6000000</v>
      </c>
      <c r="G16" s="1" t="s">
        <v>10</v>
      </c>
      <c r="H16" s="11"/>
      <c r="I16" t="s">
        <v>14</v>
      </c>
      <c r="J16" s="7">
        <f>+F17/F16</f>
        <v>1.0833333333333333</v>
      </c>
    </row>
    <row r="17" spans="3:15" x14ac:dyDescent="0.25">
      <c r="F17" s="4">
        <v>6500000</v>
      </c>
      <c r="G17" s="1" t="s">
        <v>11</v>
      </c>
      <c r="H17" s="11"/>
      <c r="I17" t="s">
        <v>13</v>
      </c>
      <c r="J17" s="7">
        <f>+F18/F17</f>
        <v>10.738461538461538</v>
      </c>
    </row>
    <row r="18" spans="3:15" x14ac:dyDescent="0.25">
      <c r="F18" s="4">
        <f>+F7</f>
        <v>69800000</v>
      </c>
      <c r="G18" s="1" t="s">
        <v>12</v>
      </c>
      <c r="H18" s="11"/>
      <c r="I18" t="s">
        <v>16</v>
      </c>
      <c r="J18" s="7">
        <f>+F8/F18</f>
        <v>0.96141833810888255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13.4214</v>
      </c>
    </row>
    <row r="20" spans="3:15" x14ac:dyDescent="0.25">
      <c r="H20" s="1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0" t="s">
        <v>39</v>
      </c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562</v>
      </c>
      <c r="E23" s="33"/>
      <c r="F23" t="s">
        <v>563</v>
      </c>
      <c r="G23" t="s">
        <v>25</v>
      </c>
      <c r="H23">
        <f>RANK(L23,L$23:L$43,1)</f>
        <v>8</v>
      </c>
      <c r="I23" s="4">
        <v>17580917</v>
      </c>
      <c r="J23" s="4">
        <v>60304577</v>
      </c>
      <c r="K23" s="4">
        <v>624938</v>
      </c>
      <c r="L23" s="4">
        <f>+I23+J23+K23</f>
        <v>78510432</v>
      </c>
      <c r="M23" s="22"/>
      <c r="N23" s="22"/>
      <c r="O23" s="22"/>
    </row>
    <row r="24" spans="3:15" x14ac:dyDescent="0.25">
      <c r="C24" s="33" t="str">
        <f>IF(H24=1,"u","")</f>
        <v/>
      </c>
      <c r="D24" s="11" t="s">
        <v>485</v>
      </c>
      <c r="E24" s="33"/>
      <c r="F24" t="s">
        <v>486</v>
      </c>
      <c r="G24" t="s">
        <v>25</v>
      </c>
      <c r="H24">
        <f t="shared" ref="H24:H31" si="0">RANK(L24,L$23:L$43,1)</f>
        <v>6</v>
      </c>
      <c r="I24" s="4">
        <v>17586340</v>
      </c>
      <c r="J24" s="4">
        <v>56748386</v>
      </c>
      <c r="K24" s="4">
        <v>225000</v>
      </c>
      <c r="L24" s="4">
        <f t="shared" ref="L24:L31" si="1">+I24+J24+K24</f>
        <v>74559726</v>
      </c>
      <c r="M24" s="22"/>
      <c r="N24" s="22"/>
      <c r="O24" s="22"/>
    </row>
    <row r="25" spans="3:15" x14ac:dyDescent="0.25">
      <c r="C25" s="33" t="str">
        <f>IF(H25=1,"u","")</f>
        <v/>
      </c>
      <c r="D25" s="11" t="s">
        <v>554</v>
      </c>
      <c r="E25" s="33"/>
      <c r="F25" t="s">
        <v>397</v>
      </c>
      <c r="G25" t="s">
        <v>25</v>
      </c>
      <c r="H25">
        <f t="shared" si="0"/>
        <v>2</v>
      </c>
      <c r="I25" s="4">
        <v>14550000</v>
      </c>
      <c r="J25" s="4">
        <v>52860474</v>
      </c>
      <c r="K25" s="4">
        <v>126000</v>
      </c>
      <c r="L25" s="4">
        <f t="shared" si="1"/>
        <v>67536474</v>
      </c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11" t="s">
        <v>505</v>
      </c>
      <c r="E26" s="33"/>
      <c r="F26" t="s">
        <v>289</v>
      </c>
      <c r="G26" t="s">
        <v>93</v>
      </c>
      <c r="H26">
        <f t="shared" si="0"/>
        <v>4</v>
      </c>
      <c r="I26" s="4">
        <v>16610225</v>
      </c>
      <c r="J26" s="4">
        <v>56661126</v>
      </c>
      <c r="K26" s="4">
        <v>540000</v>
      </c>
      <c r="L26" s="4">
        <f t="shared" si="1"/>
        <v>73811351</v>
      </c>
      <c r="M26" s="22"/>
      <c r="N26" s="22"/>
      <c r="O26" s="22"/>
    </row>
    <row r="27" spans="3:15" x14ac:dyDescent="0.25">
      <c r="C27" s="33" t="str">
        <f t="shared" si="2"/>
        <v>u</v>
      </c>
      <c r="D27" s="11" t="s">
        <v>679</v>
      </c>
      <c r="E27" s="33"/>
      <c r="F27" t="s">
        <v>193</v>
      </c>
      <c r="G27" t="s">
        <v>25</v>
      </c>
      <c r="H27">
        <f t="shared" si="0"/>
        <v>1</v>
      </c>
      <c r="I27" s="4">
        <v>15923000</v>
      </c>
      <c r="J27" s="4">
        <v>50824000</v>
      </c>
      <c r="K27" s="4">
        <v>360000</v>
      </c>
      <c r="L27" s="4">
        <f t="shared" si="1"/>
        <v>67107000</v>
      </c>
      <c r="M27" s="22"/>
      <c r="N27" s="22"/>
      <c r="O27" s="22"/>
    </row>
    <row r="28" spans="3:15" x14ac:dyDescent="0.25">
      <c r="C28" s="33" t="str">
        <f t="shared" si="2"/>
        <v/>
      </c>
      <c r="D28" s="11" t="s">
        <v>864</v>
      </c>
      <c r="E28" s="33"/>
      <c r="F28" t="s">
        <v>865</v>
      </c>
      <c r="G28" t="s">
        <v>25</v>
      </c>
      <c r="H28">
        <f t="shared" si="0"/>
        <v>9</v>
      </c>
      <c r="I28" s="4">
        <v>18891300</v>
      </c>
      <c r="J28" s="4">
        <v>64957596</v>
      </c>
      <c r="K28" s="4">
        <v>369000</v>
      </c>
      <c r="L28" s="4">
        <f t="shared" si="1"/>
        <v>84217896</v>
      </c>
      <c r="M28" s="22"/>
      <c r="N28" s="22"/>
      <c r="O28" s="22"/>
    </row>
    <row r="29" spans="3:15" x14ac:dyDescent="0.25">
      <c r="C29" s="33" t="str">
        <f t="shared" si="2"/>
        <v/>
      </c>
      <c r="D29" s="11" t="s">
        <v>866</v>
      </c>
      <c r="E29" s="33"/>
      <c r="F29" t="s">
        <v>393</v>
      </c>
      <c r="G29" t="s">
        <v>25</v>
      </c>
      <c r="H29">
        <f t="shared" si="0"/>
        <v>3</v>
      </c>
      <c r="I29" s="4">
        <v>13283830</v>
      </c>
      <c r="J29" s="4">
        <v>59253466</v>
      </c>
      <c r="K29" s="4">
        <v>388800</v>
      </c>
      <c r="L29" s="4">
        <f t="shared" si="1"/>
        <v>72926096</v>
      </c>
      <c r="M29" s="22"/>
      <c r="N29" s="22"/>
      <c r="O29" s="22"/>
    </row>
    <row r="30" spans="3:15" x14ac:dyDescent="0.25">
      <c r="C30" s="33" t="str">
        <f t="shared" si="2"/>
        <v/>
      </c>
      <c r="D30" s="11" t="s">
        <v>867</v>
      </c>
      <c r="E30" s="33" t="str">
        <f t="shared" ref="E30:E43" si="3">IF(H30=1,"t","")</f>
        <v/>
      </c>
      <c r="F30" t="s">
        <v>145</v>
      </c>
      <c r="G30" t="s">
        <v>25</v>
      </c>
      <c r="H30">
        <f t="shared" si="0"/>
        <v>7</v>
      </c>
      <c r="I30" s="4">
        <v>16792252</v>
      </c>
      <c r="J30" s="4">
        <v>61266999</v>
      </c>
      <c r="K30" s="4">
        <v>229000</v>
      </c>
      <c r="L30" s="4">
        <f t="shared" si="1"/>
        <v>78288251</v>
      </c>
      <c r="M30" s="22"/>
      <c r="N30" s="22"/>
      <c r="O30" s="22"/>
    </row>
    <row r="31" spans="3:15" x14ac:dyDescent="0.25">
      <c r="C31" s="33" t="str">
        <f t="shared" si="2"/>
        <v/>
      </c>
      <c r="D31" s="11" t="s">
        <v>514</v>
      </c>
      <c r="E31" s="33" t="str">
        <f t="shared" si="3"/>
        <v/>
      </c>
      <c r="F31" t="s">
        <v>131</v>
      </c>
      <c r="G31" t="s">
        <v>25</v>
      </c>
      <c r="H31">
        <f t="shared" si="0"/>
        <v>5</v>
      </c>
      <c r="I31" s="4">
        <v>16990560</v>
      </c>
      <c r="J31" s="4">
        <v>56950000</v>
      </c>
      <c r="K31" s="4">
        <v>324000</v>
      </c>
      <c r="L31" s="4">
        <f t="shared" si="1"/>
        <v>74264560</v>
      </c>
      <c r="M31" s="22"/>
      <c r="N31" s="22"/>
      <c r="O31" s="22"/>
    </row>
    <row r="32" spans="3:15" x14ac:dyDescent="0.25">
      <c r="C32" s="33" t="str">
        <f t="shared" si="2"/>
        <v/>
      </c>
      <c r="D32" s="11"/>
      <c r="E32" s="33" t="str">
        <f t="shared" si="3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/>
      <c r="E33" s="33" t="str">
        <f t="shared" si="3"/>
        <v/>
      </c>
      <c r="I33" s="4"/>
      <c r="J33" s="4"/>
      <c r="K33" s="7"/>
      <c r="L33" s="4"/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 t="str">
        <f t="shared" si="3"/>
        <v/>
      </c>
      <c r="K34" s="7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 t="str">
        <f t="shared" si="3"/>
        <v/>
      </c>
      <c r="K35" s="7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 t="str">
        <f t="shared" si="3"/>
        <v/>
      </c>
      <c r="K36" s="7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7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7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7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7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7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7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7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  <c r="M47" s="21"/>
      <c r="N47" s="21"/>
      <c r="O47" s="21"/>
    </row>
  </sheetData>
  <mergeCells count="1">
    <mergeCell ref="G13:H13"/>
  </mergeCells>
  <conditionalFormatting sqref="I9 F11">
    <cfRule type="containsText" dxfId="1253" priority="8" operator="containsText" text="FAIL">
      <formula>NOT(ISERROR(SEARCH("FAIL",F9)))</formula>
    </cfRule>
  </conditionalFormatting>
  <conditionalFormatting sqref="I9 F11">
    <cfRule type="containsText" dxfId="1252" priority="7" operator="containsText" text="GOOD">
      <formula>NOT(ISERROR(SEARCH("GOOD",F9)))</formula>
    </cfRule>
  </conditionalFormatting>
  <conditionalFormatting sqref="I9">
    <cfRule type="containsText" dxfId="1251" priority="6" operator="containsText" text="FAIL">
      <formula>NOT(ISERROR(SEARCH("FAIL",I9)))</formula>
    </cfRule>
  </conditionalFormatting>
  <conditionalFormatting sqref="I9">
    <cfRule type="containsText" dxfId="1250" priority="5" operator="containsText" text="GOOD">
      <formula>NOT(ISERROR(SEARCH("GOOD",I9)))</formula>
    </cfRule>
  </conditionalFormatting>
  <conditionalFormatting sqref="D25">
    <cfRule type="expression" dxfId="1249" priority="4" stopIfTrue="1">
      <formula>IF($H$25=1,0)</formula>
    </cfRule>
  </conditionalFormatting>
  <conditionalFormatting sqref="D23:D43">
    <cfRule type="expression" dxfId="1248" priority="3">
      <formula>H23=1</formula>
    </cfRule>
  </conditionalFormatting>
  <conditionalFormatting sqref="C23:C43">
    <cfRule type="expression" dxfId="1247" priority="2">
      <formula>H23=1</formula>
    </cfRule>
  </conditionalFormatting>
  <conditionalFormatting sqref="E23:E43">
    <cfRule type="expression" dxfId="1246" priority="1">
      <formula>H23=1</formula>
    </cfRule>
  </conditionalFormatting>
  <pageMargins left="0.7" right="0.7" top="0.75" bottom="0.75" header="0.3" footer="0.3"/>
  <pageSetup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2:O47"/>
  <sheetViews>
    <sheetView zoomScaleNormal="100" workbookViewId="0">
      <selection activeCell="J7" sqref="J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857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858</v>
      </c>
    </row>
    <row r="6" spans="1:11" x14ac:dyDescent="0.25">
      <c r="D6" s="2" t="s">
        <v>2</v>
      </c>
      <c r="F6" s="6">
        <v>42753</v>
      </c>
      <c r="H6" s="11"/>
    </row>
    <row r="7" spans="1:11" x14ac:dyDescent="0.25">
      <c r="D7" s="2" t="s">
        <v>3</v>
      </c>
      <c r="F7" s="5">
        <v>1410000</v>
      </c>
      <c r="G7" s="2" t="s">
        <v>693</v>
      </c>
      <c r="H7" s="11"/>
    </row>
    <row r="8" spans="1:11" x14ac:dyDescent="0.25">
      <c r="D8" s="2" t="s">
        <v>18</v>
      </c>
      <c r="F8" s="5">
        <f>MIN(I23:I43)</f>
        <v>1399756</v>
      </c>
      <c r="H8" s="11"/>
    </row>
    <row r="9" spans="1:11" x14ac:dyDescent="0.25">
      <c r="D9" s="2" t="s">
        <v>67</v>
      </c>
      <c r="F9" s="4">
        <f>+F8-F7</f>
        <v>-10244</v>
      </c>
      <c r="G9" s="16">
        <f>+F9/F7</f>
        <v>-7.2652482269503545E-3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1" x14ac:dyDescent="0.25">
      <c r="D10" s="2" t="s">
        <v>68</v>
      </c>
      <c r="F10" s="4">
        <f>+F7-F12</f>
        <v>-804692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2214692</v>
      </c>
      <c r="G12" s="14"/>
      <c r="H12" s="11">
        <f>COUNT(I23:I43)</f>
        <v>3</v>
      </c>
      <c r="I12" s="1" t="s">
        <v>31</v>
      </c>
      <c r="J12" s="4">
        <f>+F8*0.9</f>
        <v>1259780.4000000001</v>
      </c>
      <c r="K12" s="1" t="s">
        <v>69</v>
      </c>
    </row>
    <row r="13" spans="1:11" x14ac:dyDescent="0.25">
      <c r="D13" s="2" t="s">
        <v>29</v>
      </c>
      <c r="F13" s="4">
        <f>MAX(I23:I43)-MIN(I23:I43)</f>
        <v>1450844</v>
      </c>
      <c r="G13" s="269">
        <f>MEDIAN(I23:I43)</f>
        <v>2393720</v>
      </c>
      <c r="H13" s="270"/>
      <c r="I13" s="1" t="s">
        <v>30</v>
      </c>
      <c r="J13" s="4">
        <f>+F12*1.1</f>
        <v>2436161.2000000002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859</v>
      </c>
      <c r="E23" s="33"/>
      <c r="F23" t="s">
        <v>861</v>
      </c>
      <c r="G23" t="s">
        <v>25</v>
      </c>
      <c r="H23">
        <f>RANK(I23,I$23:I$43,1)</f>
        <v>2</v>
      </c>
      <c r="I23" s="4">
        <v>2393720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605</v>
      </c>
      <c r="E24" s="33"/>
      <c r="F24" t="s">
        <v>120</v>
      </c>
      <c r="G24" t="s">
        <v>25</v>
      </c>
      <c r="H24">
        <f>RANK(I24,I$23:I$43,1)</f>
        <v>1</v>
      </c>
      <c r="I24" s="4">
        <v>1399756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860</v>
      </c>
      <c r="E25" s="33"/>
      <c r="F25" t="s">
        <v>709</v>
      </c>
      <c r="G25" t="s">
        <v>93</v>
      </c>
      <c r="H25">
        <f>RANK(I25,I$23:I$43,1)</f>
        <v>3</v>
      </c>
      <c r="I25" s="4">
        <v>2850600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245" priority="13" operator="containsText" text="FAIL">
      <formula>NOT(ISERROR(SEARCH("FAIL",I9)))</formula>
    </cfRule>
  </conditionalFormatting>
  <conditionalFormatting sqref="I9">
    <cfRule type="containsText" dxfId="1244" priority="12" operator="containsText" text="GOOD">
      <formula>NOT(ISERROR(SEARCH("GOOD",I9)))</formula>
    </cfRule>
  </conditionalFormatting>
  <conditionalFormatting sqref="F11">
    <cfRule type="containsText" dxfId="1243" priority="11" operator="containsText" text="FAIL">
      <formula>NOT(ISERROR(SEARCH("FAIL",F11)))</formula>
    </cfRule>
  </conditionalFormatting>
  <conditionalFormatting sqref="F11">
    <cfRule type="containsText" dxfId="1242" priority="10" operator="containsText" text="GOOD">
      <formula>NOT(ISERROR(SEARCH("GOOD",F11)))</formula>
    </cfRule>
  </conditionalFormatting>
  <conditionalFormatting sqref="D25">
    <cfRule type="expression" dxfId="1241" priority="9" stopIfTrue="1">
      <formula>IF($H$25=1,0)</formula>
    </cfRule>
  </conditionalFormatting>
  <conditionalFormatting sqref="D23:D26 D29:D43">
    <cfRule type="expression" dxfId="1240" priority="8">
      <formula>H23=1</formula>
    </cfRule>
  </conditionalFormatting>
  <conditionalFormatting sqref="C23:C26 C29:C43">
    <cfRule type="expression" dxfId="1239" priority="7">
      <formula>H23=1</formula>
    </cfRule>
  </conditionalFormatting>
  <conditionalFormatting sqref="E23:E26 E29:E43">
    <cfRule type="expression" dxfId="1238" priority="6">
      <formula>H23=1</formula>
    </cfRule>
  </conditionalFormatting>
  <conditionalFormatting sqref="F11">
    <cfRule type="containsText" dxfId="1237" priority="5" operator="containsText" text="FAIL">
      <formula>NOT(ISERROR(SEARCH("FAIL",F11)))</formula>
    </cfRule>
  </conditionalFormatting>
  <conditionalFormatting sqref="F11">
    <cfRule type="containsText" dxfId="1236" priority="4" operator="containsText" text="GOOD">
      <formula>NOT(ISERROR(SEARCH("GOOD",F11)))</formula>
    </cfRule>
  </conditionalFormatting>
  <conditionalFormatting sqref="D27:D28">
    <cfRule type="expression" dxfId="1235" priority="3">
      <formula>H27=1</formula>
    </cfRule>
  </conditionalFormatting>
  <conditionalFormatting sqref="C27:C28">
    <cfRule type="expression" dxfId="1234" priority="2">
      <formula>H27=1</formula>
    </cfRule>
  </conditionalFormatting>
  <conditionalFormatting sqref="E27:E28">
    <cfRule type="expression" dxfId="1233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2:O47"/>
  <sheetViews>
    <sheetView zoomScaleNormal="100" workbookViewId="0">
      <selection activeCell="J5" sqref="J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832</v>
      </c>
      <c r="I4" s="2" t="s">
        <v>4</v>
      </c>
      <c r="J4" t="s">
        <v>816</v>
      </c>
    </row>
    <row r="5" spans="1:11" x14ac:dyDescent="0.25">
      <c r="D5" s="2" t="s">
        <v>1</v>
      </c>
      <c r="F5" t="s">
        <v>833</v>
      </c>
    </row>
    <row r="6" spans="1:11" x14ac:dyDescent="0.25">
      <c r="D6" s="2" t="s">
        <v>2</v>
      </c>
      <c r="F6" s="6">
        <v>42752</v>
      </c>
      <c r="H6" s="11"/>
    </row>
    <row r="7" spans="1:11" x14ac:dyDescent="0.25">
      <c r="D7" s="2" t="s">
        <v>3</v>
      </c>
      <c r="F7" s="5">
        <v>4200000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3987114</v>
      </c>
      <c r="H8" s="11"/>
    </row>
    <row r="9" spans="1:11" x14ac:dyDescent="0.25">
      <c r="D9" s="2" t="s">
        <v>67</v>
      </c>
      <c r="F9" s="4">
        <f>+F8-F7</f>
        <v>-212886</v>
      </c>
      <c r="G9" s="16">
        <f>+F9/F7</f>
        <v>-5.0687142857142854E-2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1" x14ac:dyDescent="0.25">
      <c r="D10" s="2" t="s">
        <v>68</v>
      </c>
      <c r="F10" s="4">
        <f>+F7-F12</f>
        <v>36490.333333333489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4163509.6666666665</v>
      </c>
      <c r="G12" s="14"/>
      <c r="H12" s="11">
        <f>COUNT(I23:I43)</f>
        <v>3</v>
      </c>
      <c r="I12" s="1" t="s">
        <v>31</v>
      </c>
      <c r="J12" s="4">
        <f>+F8*0.9</f>
        <v>3588402.6</v>
      </c>
      <c r="K12" s="1" t="s">
        <v>69</v>
      </c>
    </row>
    <row r="13" spans="1:11" x14ac:dyDescent="0.25">
      <c r="D13" s="2" t="s">
        <v>29</v>
      </c>
      <c r="F13" s="4">
        <f>MAX(I23:I43)-MIN(I23:I43)</f>
        <v>298401</v>
      </c>
      <c r="G13" s="269">
        <f>MEDIAN(I23:I43)</f>
        <v>4217900</v>
      </c>
      <c r="H13" s="270"/>
      <c r="I13" s="1" t="s">
        <v>30</v>
      </c>
      <c r="J13" s="4">
        <f>+F12*1.1</f>
        <v>4579860.6333333338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556</v>
      </c>
      <c r="E23" s="33"/>
      <c r="F23" t="s">
        <v>201</v>
      </c>
      <c r="G23" t="s">
        <v>25</v>
      </c>
      <c r="H23">
        <f>RANK(I23,I$23:I$43,1)</f>
        <v>2</v>
      </c>
      <c r="I23" s="4">
        <v>4217900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834</v>
      </c>
      <c r="E24" s="33"/>
      <c r="F24" t="s">
        <v>835</v>
      </c>
      <c r="G24" t="s">
        <v>25</v>
      </c>
      <c r="H24">
        <f>RANK(I24,I$23:I$43,1)</f>
        <v>3</v>
      </c>
      <c r="I24" s="4">
        <v>4285515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836</v>
      </c>
      <c r="E25" s="33"/>
      <c r="F25" t="s">
        <v>486</v>
      </c>
      <c r="G25" t="s">
        <v>25</v>
      </c>
      <c r="H25">
        <f>RANK(I25,I$23:I$43,1)</f>
        <v>1</v>
      </c>
      <c r="I25" s="4">
        <v>3987114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232" priority="13" operator="containsText" text="FAIL">
      <formula>NOT(ISERROR(SEARCH("FAIL",I9)))</formula>
    </cfRule>
  </conditionalFormatting>
  <conditionalFormatting sqref="I9">
    <cfRule type="containsText" dxfId="1231" priority="12" operator="containsText" text="GOOD">
      <formula>NOT(ISERROR(SEARCH("GOOD",I9)))</formula>
    </cfRule>
  </conditionalFormatting>
  <conditionalFormatting sqref="F11">
    <cfRule type="containsText" dxfId="1230" priority="11" operator="containsText" text="FAIL">
      <formula>NOT(ISERROR(SEARCH("FAIL",F11)))</formula>
    </cfRule>
  </conditionalFormatting>
  <conditionalFormatting sqref="F11">
    <cfRule type="containsText" dxfId="1229" priority="10" operator="containsText" text="GOOD">
      <formula>NOT(ISERROR(SEARCH("GOOD",F11)))</formula>
    </cfRule>
  </conditionalFormatting>
  <conditionalFormatting sqref="D25">
    <cfRule type="expression" dxfId="1228" priority="9" stopIfTrue="1">
      <formula>IF($H$25=1,0)</formula>
    </cfRule>
  </conditionalFormatting>
  <conditionalFormatting sqref="D23:D26 D29:D43">
    <cfRule type="expression" dxfId="1227" priority="8">
      <formula>H23=1</formula>
    </cfRule>
  </conditionalFormatting>
  <conditionalFormatting sqref="C23:C26 C29:C43">
    <cfRule type="expression" dxfId="1226" priority="7">
      <formula>H23=1</formula>
    </cfRule>
  </conditionalFormatting>
  <conditionalFormatting sqref="E23:E26 E29:E43">
    <cfRule type="expression" dxfId="1225" priority="6">
      <formula>H23=1</formula>
    </cfRule>
  </conditionalFormatting>
  <conditionalFormatting sqref="F11">
    <cfRule type="containsText" dxfId="1224" priority="5" operator="containsText" text="FAIL">
      <formula>NOT(ISERROR(SEARCH("FAIL",F11)))</formula>
    </cfRule>
  </conditionalFormatting>
  <conditionalFormatting sqref="F11">
    <cfRule type="containsText" dxfId="1223" priority="4" operator="containsText" text="GOOD">
      <formula>NOT(ISERROR(SEARCH("GOOD",F11)))</formula>
    </cfRule>
  </conditionalFormatting>
  <conditionalFormatting sqref="D27:D28">
    <cfRule type="expression" dxfId="1222" priority="3">
      <formula>H27=1</formula>
    </cfRule>
  </conditionalFormatting>
  <conditionalFormatting sqref="C27:C28">
    <cfRule type="expression" dxfId="1221" priority="2">
      <formula>H27=1</formula>
    </cfRule>
  </conditionalFormatting>
  <conditionalFormatting sqref="E27:E28">
    <cfRule type="expression" dxfId="1220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2:O47"/>
  <sheetViews>
    <sheetView zoomScaleNormal="100" workbookViewId="0">
      <selection activeCell="L11" sqref="L11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4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4" ht="18.75" x14ac:dyDescent="0.3">
      <c r="C3" s="3" t="s">
        <v>26</v>
      </c>
      <c r="J3" s="8" t="s">
        <v>48</v>
      </c>
    </row>
    <row r="4" spans="1:14" x14ac:dyDescent="0.25">
      <c r="C4" s="1"/>
      <c r="D4" s="2" t="s">
        <v>0</v>
      </c>
      <c r="E4" s="1"/>
      <c r="F4" t="s">
        <v>830</v>
      </c>
      <c r="I4" s="2" t="s">
        <v>4</v>
      </c>
      <c r="J4" t="s">
        <v>616</v>
      </c>
    </row>
    <row r="5" spans="1:14" x14ac:dyDescent="0.25">
      <c r="D5" s="2" t="s">
        <v>1</v>
      </c>
      <c r="F5" t="s">
        <v>831</v>
      </c>
    </row>
    <row r="6" spans="1:14" x14ac:dyDescent="0.25">
      <c r="D6" s="2" t="s">
        <v>2</v>
      </c>
      <c r="F6" s="6">
        <v>42746</v>
      </c>
      <c r="H6" s="11"/>
    </row>
    <row r="7" spans="1:14" x14ac:dyDescent="0.25">
      <c r="D7" s="2" t="s">
        <v>3</v>
      </c>
      <c r="F7" s="5">
        <f>+K7+J7+I7+(L7*K7)</f>
        <v>12071025</v>
      </c>
      <c r="G7" s="2" t="s">
        <v>190</v>
      </c>
      <c r="H7" s="11"/>
      <c r="I7" s="19">
        <v>10250000</v>
      </c>
      <c r="J7" s="19">
        <v>0</v>
      </c>
      <c r="K7" s="19">
        <v>1583500</v>
      </c>
      <c r="L7" s="20">
        <v>0.15</v>
      </c>
    </row>
    <row r="8" spans="1:14" x14ac:dyDescent="0.25">
      <c r="D8" s="2" t="s">
        <v>18</v>
      </c>
      <c r="F8" s="5">
        <f>MIN(L23:L43)</f>
        <v>9977777</v>
      </c>
      <c r="H8" s="11"/>
      <c r="I8" s="18" t="s">
        <v>43</v>
      </c>
      <c r="J8" s="18" t="s">
        <v>44</v>
      </c>
      <c r="K8" s="18" t="s">
        <v>49</v>
      </c>
      <c r="L8" s="18" t="s">
        <v>50</v>
      </c>
    </row>
    <row r="9" spans="1:14" x14ac:dyDescent="0.25">
      <c r="D9" s="2" t="s">
        <v>19</v>
      </c>
      <c r="F9" s="4">
        <f>+F8-F7</f>
        <v>-2093248</v>
      </c>
      <c r="G9" s="16">
        <f>+F9/F7</f>
        <v>-0.17341095723022693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4" x14ac:dyDescent="0.25">
      <c r="D10" s="2" t="s">
        <v>68</v>
      </c>
      <c r="F10" s="4">
        <f>+F7-F12</f>
        <v>1709158</v>
      </c>
      <c r="H10" s="11"/>
      <c r="K10" s="31"/>
      <c r="N10" t="e">
        <f>LOOKUP(1,D23:D43)</f>
        <v>#N/A</v>
      </c>
    </row>
    <row r="11" spans="1:14" x14ac:dyDescent="0.25">
      <c r="A11" s="30"/>
      <c r="D11" s="2" t="s">
        <v>71</v>
      </c>
      <c r="F11" s="11" t="str">
        <f>(IF(F7&lt;J12,"FAIL",IF(F7&gt;J13,"FAIL","GOOD")))</f>
        <v>FAIL</v>
      </c>
      <c r="H11" s="11"/>
      <c r="L11" s="31"/>
      <c r="N11" t="e">
        <f>MATCH(1,D23:H43,0)</f>
        <v>#N/A</v>
      </c>
    </row>
    <row r="12" spans="1:14" x14ac:dyDescent="0.25">
      <c r="D12" s="2" t="s">
        <v>28</v>
      </c>
      <c r="F12" s="4">
        <f>SUM(L23:L43)/H12</f>
        <v>10361867</v>
      </c>
      <c r="G12" s="14"/>
      <c r="H12" s="11">
        <f>COUNT(L23:L43)</f>
        <v>3</v>
      </c>
      <c r="I12" s="1" t="s">
        <v>31</v>
      </c>
      <c r="J12" s="4">
        <f>+F8*0.9</f>
        <v>8979999.3000000007</v>
      </c>
      <c r="K12" s="1" t="s">
        <v>69</v>
      </c>
      <c r="N12" t="str">
        <f>INDEX(D23:D43,MATCH(1,H23:H43,0))</f>
        <v>Intercounty Paving</v>
      </c>
    </row>
    <row r="13" spans="1:14" x14ac:dyDescent="0.25">
      <c r="D13" s="2" t="s">
        <v>29</v>
      </c>
      <c r="F13" s="4">
        <f>MAX(L23:L43)-MIN(L23:L43)</f>
        <v>693124</v>
      </c>
      <c r="G13" s="269">
        <f>MEDIAN(L23:L43)</f>
        <v>10436923</v>
      </c>
      <c r="H13" s="270"/>
      <c r="I13" s="1" t="s">
        <v>30</v>
      </c>
      <c r="J13" s="4">
        <f>+F12*1.1</f>
        <v>11398053.700000001</v>
      </c>
      <c r="K13" s="1" t="s">
        <v>70</v>
      </c>
    </row>
    <row r="14" spans="1:14" x14ac:dyDescent="0.25">
      <c r="H14" s="11"/>
    </row>
    <row r="15" spans="1:14" x14ac:dyDescent="0.25">
      <c r="D15" s="2" t="s">
        <v>8</v>
      </c>
      <c r="F15" s="4">
        <v>5000000</v>
      </c>
      <c r="G15" s="1" t="s">
        <v>9</v>
      </c>
      <c r="H15" s="11"/>
      <c r="I15" t="s">
        <v>15</v>
      </c>
      <c r="J15" s="7">
        <f>+F16/F15</f>
        <v>1.2</v>
      </c>
    </row>
    <row r="16" spans="1:14" x14ac:dyDescent="0.25">
      <c r="F16" s="4">
        <v>6000000</v>
      </c>
      <c r="G16" s="1" t="s">
        <v>10</v>
      </c>
      <c r="H16" s="11"/>
      <c r="I16" t="s">
        <v>14</v>
      </c>
      <c r="J16" s="7">
        <f>+F17/F16</f>
        <v>1.0833333333333333</v>
      </c>
    </row>
    <row r="17" spans="3:15" x14ac:dyDescent="0.25">
      <c r="F17" s="4">
        <v>6500000</v>
      </c>
      <c r="G17" s="1" t="s">
        <v>11</v>
      </c>
      <c r="H17" s="11"/>
      <c r="I17" t="s">
        <v>13</v>
      </c>
      <c r="J17" s="7">
        <f>+F18/F17</f>
        <v>1.8570807692307691</v>
      </c>
    </row>
    <row r="18" spans="3:15" x14ac:dyDescent="0.25">
      <c r="F18" s="4">
        <f>+F7</f>
        <v>12071025</v>
      </c>
      <c r="G18" s="1" t="s">
        <v>12</v>
      </c>
      <c r="H18" s="11"/>
      <c r="I18" t="s">
        <v>16</v>
      </c>
      <c r="J18" s="7">
        <f>+F8/F18</f>
        <v>0.82658904276977307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1.9955554</v>
      </c>
    </row>
    <row r="20" spans="3:15" x14ac:dyDescent="0.25">
      <c r="H20" s="1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42</v>
      </c>
      <c r="L21" s="10" t="s">
        <v>39</v>
      </c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665</v>
      </c>
      <c r="E23" s="33"/>
      <c r="F23" t="s">
        <v>413</v>
      </c>
      <c r="G23" t="s">
        <v>93</v>
      </c>
      <c r="H23">
        <f>RANK(L23,L$23:L$43,1)</f>
        <v>2</v>
      </c>
      <c r="I23" s="4">
        <v>8615898</v>
      </c>
      <c r="J23" s="4">
        <v>0</v>
      </c>
      <c r="K23" s="7">
        <v>0.15</v>
      </c>
      <c r="L23" s="4">
        <f>+I23+J23+(K23*K$7)+$K$7</f>
        <v>10436923</v>
      </c>
      <c r="M23" s="22"/>
      <c r="N23" s="22"/>
      <c r="O23" s="22"/>
    </row>
    <row r="24" spans="3:15" x14ac:dyDescent="0.25">
      <c r="C24" s="33" t="str">
        <f>IF(H24=1,"u","")</f>
        <v/>
      </c>
      <c r="D24" s="11" t="s">
        <v>745</v>
      </c>
      <c r="E24" s="33"/>
      <c r="F24" t="s">
        <v>159</v>
      </c>
      <c r="G24" t="s">
        <v>93</v>
      </c>
      <c r="H24">
        <f>RANK(L24,L$23:L$43,1)</f>
        <v>3</v>
      </c>
      <c r="I24" s="4">
        <v>8849876</v>
      </c>
      <c r="J24" s="4">
        <v>0</v>
      </c>
      <c r="K24" s="7">
        <v>0.15</v>
      </c>
      <c r="L24" s="4">
        <f>+I24+J24+(K24*K$7)+$K$7</f>
        <v>10670901</v>
      </c>
      <c r="M24" s="22"/>
      <c r="N24" s="22"/>
      <c r="O24" s="22"/>
    </row>
    <row r="25" spans="3:15" x14ac:dyDescent="0.25">
      <c r="C25" s="33" t="str">
        <f>IF(H25=1,"u","")</f>
        <v>u</v>
      </c>
      <c r="D25" s="11" t="s">
        <v>540</v>
      </c>
      <c r="E25" s="33"/>
      <c r="F25" t="s">
        <v>195</v>
      </c>
      <c r="G25" t="s">
        <v>93</v>
      </c>
      <c r="H25">
        <f>RANK(L25,L$23:L$43,1)</f>
        <v>1</v>
      </c>
      <c r="I25" s="4">
        <v>8267597</v>
      </c>
      <c r="J25" s="4">
        <v>0</v>
      </c>
      <c r="K25" s="7">
        <v>0.08</v>
      </c>
      <c r="L25" s="4">
        <f>+I25+J25+(K25*K$7)+$K$7</f>
        <v>9977777</v>
      </c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7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7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7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7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ref="E30:E43" si="1">IF(H30=1,"t","")</f>
        <v/>
      </c>
      <c r="I30" s="4"/>
      <c r="J30" s="4"/>
      <c r="K30" s="7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7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7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I33" s="4"/>
      <c r="J33" s="4"/>
      <c r="K33" s="7"/>
      <c r="L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K34" s="7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K35" s="7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K36" s="7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K37" s="7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K38" s="7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K39" s="7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K40" s="7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K41" s="7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K42" s="7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K43" s="7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  <c r="M47" s="21"/>
      <c r="N47" s="21"/>
      <c r="O47" s="21"/>
    </row>
  </sheetData>
  <mergeCells count="1">
    <mergeCell ref="G13:H13"/>
  </mergeCells>
  <conditionalFormatting sqref="I9 F11">
    <cfRule type="containsText" dxfId="1219" priority="11" operator="containsText" text="FAIL">
      <formula>NOT(ISERROR(SEARCH("FAIL",F9)))</formula>
    </cfRule>
  </conditionalFormatting>
  <conditionalFormatting sqref="I9 F11">
    <cfRule type="containsText" dxfId="1218" priority="10" operator="containsText" text="GOOD">
      <formula>NOT(ISERROR(SEARCH("GOOD",F9)))</formula>
    </cfRule>
  </conditionalFormatting>
  <conditionalFormatting sqref="I9">
    <cfRule type="containsText" dxfId="1217" priority="9" operator="containsText" text="FAIL">
      <formula>NOT(ISERROR(SEARCH("FAIL",I9)))</formula>
    </cfRule>
  </conditionalFormatting>
  <conditionalFormatting sqref="I9">
    <cfRule type="containsText" dxfId="1216" priority="8" operator="containsText" text="GOOD">
      <formula>NOT(ISERROR(SEARCH("GOOD",I9)))</formula>
    </cfRule>
  </conditionalFormatting>
  <conditionalFormatting sqref="D23:D24 D26:D43">
    <cfRule type="expression" dxfId="1215" priority="6">
      <formula>H23=1</formula>
    </cfRule>
  </conditionalFormatting>
  <conditionalFormatting sqref="C23:C24 C26:C43">
    <cfRule type="expression" dxfId="1214" priority="5">
      <formula>H23=1</formula>
    </cfRule>
  </conditionalFormatting>
  <conditionalFormatting sqref="E23:E24 E26:E43">
    <cfRule type="expression" dxfId="1213" priority="4">
      <formula>H23=1</formula>
    </cfRule>
  </conditionalFormatting>
  <conditionalFormatting sqref="D25">
    <cfRule type="expression" dxfId="1212" priority="3">
      <formula>H25=1</formula>
    </cfRule>
  </conditionalFormatting>
  <conditionalFormatting sqref="C25">
    <cfRule type="expression" dxfId="1211" priority="2">
      <formula>H25=1</formula>
    </cfRule>
  </conditionalFormatting>
  <conditionalFormatting sqref="E25">
    <cfRule type="expression" dxfId="1210" priority="1">
      <formula>H25=1</formula>
    </cfRule>
  </conditionalFormatting>
  <pageMargins left="0.7" right="0.7" top="0.75" bottom="0.75" header="0.3" footer="0.3"/>
  <pageSetup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2:O47"/>
  <sheetViews>
    <sheetView zoomScaleNormal="100" workbookViewId="0">
      <selection activeCell="E24" sqref="E24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4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4" ht="18.75" x14ac:dyDescent="0.3">
      <c r="C3" s="3" t="s">
        <v>26</v>
      </c>
      <c r="J3" s="8" t="s">
        <v>48</v>
      </c>
    </row>
    <row r="4" spans="1:14" x14ac:dyDescent="0.25">
      <c r="C4" s="1"/>
      <c r="D4" s="2" t="s">
        <v>0</v>
      </c>
      <c r="E4" s="1"/>
      <c r="F4" t="s">
        <v>828</v>
      </c>
      <c r="I4" s="2" t="s">
        <v>4</v>
      </c>
      <c r="J4" t="s">
        <v>616</v>
      </c>
    </row>
    <row r="5" spans="1:14" x14ac:dyDescent="0.25">
      <c r="D5" s="2" t="s">
        <v>1</v>
      </c>
      <c r="F5" t="s">
        <v>829</v>
      </c>
    </row>
    <row r="6" spans="1:14" x14ac:dyDescent="0.25">
      <c r="D6" s="2" t="s">
        <v>2</v>
      </c>
      <c r="F6" s="6">
        <v>42739</v>
      </c>
      <c r="H6" s="11"/>
    </row>
    <row r="7" spans="1:14" x14ac:dyDescent="0.25">
      <c r="D7" s="2" t="s">
        <v>3</v>
      </c>
      <c r="F7" s="5">
        <f>+K7+J7+I7+(L7*K7)</f>
        <v>28695000</v>
      </c>
      <c r="G7" s="2" t="s">
        <v>190</v>
      </c>
      <c r="H7" s="11"/>
      <c r="I7" s="19">
        <v>9296313</v>
      </c>
      <c r="J7" s="19">
        <v>16703687</v>
      </c>
      <c r="K7" s="19">
        <v>2450000</v>
      </c>
      <c r="L7" s="20">
        <v>0.1</v>
      </c>
    </row>
    <row r="8" spans="1:14" x14ac:dyDescent="0.25">
      <c r="D8" s="2" t="s">
        <v>18</v>
      </c>
      <c r="F8" s="5">
        <f>MIN(L23:L43)</f>
        <v>31768035</v>
      </c>
      <c r="H8" s="11"/>
      <c r="I8" s="18" t="s">
        <v>43</v>
      </c>
      <c r="J8" s="18" t="s">
        <v>44</v>
      </c>
      <c r="K8" s="18" t="s">
        <v>49</v>
      </c>
      <c r="L8" s="18" t="s">
        <v>50</v>
      </c>
    </row>
    <row r="9" spans="1:14" x14ac:dyDescent="0.25">
      <c r="D9" s="2" t="s">
        <v>19</v>
      </c>
      <c r="F9" s="4">
        <f>+F8-F7</f>
        <v>3073035</v>
      </c>
      <c r="G9" s="16">
        <f>+F9/F7</f>
        <v>0.10709304756926294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4" x14ac:dyDescent="0.25">
      <c r="D10" s="2" t="s">
        <v>68</v>
      </c>
      <c r="F10" s="4">
        <f>+F7-F12</f>
        <v>-4604542.5</v>
      </c>
      <c r="H10" s="11"/>
      <c r="K10" s="31"/>
      <c r="N10" t="e">
        <f>LOOKUP(1,D23:D43)</f>
        <v>#N/A</v>
      </c>
    </row>
    <row r="11" spans="1:14" x14ac:dyDescent="0.25">
      <c r="A11" s="30"/>
      <c r="D11" s="2" t="s">
        <v>71</v>
      </c>
      <c r="F11" s="11" t="str">
        <f>(IF(F7&lt;J12,"FAIL",IF(F7&gt;J13,"FAIL","GOOD")))</f>
        <v>GOOD</v>
      </c>
      <c r="H11" s="11"/>
      <c r="L11" s="31"/>
      <c r="N11" t="e">
        <f>MATCH(1,D23:H43,0)</f>
        <v>#N/A</v>
      </c>
    </row>
    <row r="12" spans="1:14" x14ac:dyDescent="0.25">
      <c r="D12" s="2" t="s">
        <v>28</v>
      </c>
      <c r="F12" s="4">
        <f>SUM(L23:L43)/H12</f>
        <v>33299542.5</v>
      </c>
      <c r="G12" s="14"/>
      <c r="H12" s="11">
        <f>COUNT(L23:L43)</f>
        <v>2</v>
      </c>
      <c r="I12" s="1" t="s">
        <v>31</v>
      </c>
      <c r="J12" s="4">
        <f>+F8*0.9</f>
        <v>28591231.5</v>
      </c>
      <c r="K12" s="1" t="s">
        <v>69</v>
      </c>
      <c r="N12" t="str">
        <f>INDEX(D23:D43,MATCH(1,H23:H43,0))</f>
        <v>Grace Industries</v>
      </c>
    </row>
    <row r="13" spans="1:14" x14ac:dyDescent="0.25">
      <c r="D13" s="2" t="s">
        <v>29</v>
      </c>
      <c r="F13" s="4">
        <f>MAX(L23:L43)-MIN(L23:L43)</f>
        <v>3063015</v>
      </c>
      <c r="G13" s="269">
        <f>MEDIAN(L23:L43)</f>
        <v>33299542.5</v>
      </c>
      <c r="H13" s="270"/>
      <c r="I13" s="1" t="s">
        <v>30</v>
      </c>
      <c r="J13" s="4">
        <f>+F12*1.1</f>
        <v>36629496.75</v>
      </c>
      <c r="K13" s="1" t="s">
        <v>70</v>
      </c>
    </row>
    <row r="14" spans="1:14" x14ac:dyDescent="0.25">
      <c r="H14" s="11"/>
    </row>
    <row r="15" spans="1:14" x14ac:dyDescent="0.25">
      <c r="D15" s="2" t="s">
        <v>8</v>
      </c>
      <c r="F15" s="4">
        <v>5000000</v>
      </c>
      <c r="G15" s="1" t="s">
        <v>9</v>
      </c>
      <c r="H15" s="11"/>
      <c r="I15" t="s">
        <v>15</v>
      </c>
      <c r="J15" s="7">
        <f>+F16/F15</f>
        <v>1.2</v>
      </c>
    </row>
    <row r="16" spans="1:14" x14ac:dyDescent="0.25">
      <c r="F16" s="4">
        <v>6000000</v>
      </c>
      <c r="G16" s="1" t="s">
        <v>10</v>
      </c>
      <c r="H16" s="11"/>
      <c r="I16" t="s">
        <v>14</v>
      </c>
      <c r="J16" s="7">
        <f>+F17/F16</f>
        <v>1.0833333333333333</v>
      </c>
    </row>
    <row r="17" spans="3:15" x14ac:dyDescent="0.25">
      <c r="F17" s="4">
        <v>6500000</v>
      </c>
      <c r="G17" s="1" t="s">
        <v>11</v>
      </c>
      <c r="H17" s="11"/>
      <c r="I17" t="s">
        <v>13</v>
      </c>
      <c r="J17" s="7">
        <f>+F18/F17</f>
        <v>4.4146153846153844</v>
      </c>
    </row>
    <row r="18" spans="3:15" x14ac:dyDescent="0.25">
      <c r="F18" s="4">
        <f>+F7</f>
        <v>28695000</v>
      </c>
      <c r="G18" s="1" t="s">
        <v>12</v>
      </c>
      <c r="H18" s="11"/>
      <c r="I18" t="s">
        <v>16</v>
      </c>
      <c r="J18" s="7">
        <f>+F8/F18</f>
        <v>1.1070930475692629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6.3536070000000002</v>
      </c>
    </row>
    <row r="20" spans="3:15" x14ac:dyDescent="0.25">
      <c r="H20" s="1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42</v>
      </c>
      <c r="L21" s="10" t="s">
        <v>39</v>
      </c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665</v>
      </c>
      <c r="E23" s="33"/>
      <c r="F23" t="s">
        <v>413</v>
      </c>
      <c r="G23" t="s">
        <v>93</v>
      </c>
      <c r="H23">
        <f>RANK(L23,L$23:L$43,1)</f>
        <v>1</v>
      </c>
      <c r="I23" s="4">
        <v>8950535</v>
      </c>
      <c r="J23" s="4">
        <v>20000000</v>
      </c>
      <c r="K23" s="7">
        <v>0.15</v>
      </c>
      <c r="L23" s="4">
        <f>+I23+J23+(K23*K$7)+$K$7</f>
        <v>31768035</v>
      </c>
      <c r="M23" s="22"/>
      <c r="N23" s="22"/>
      <c r="O23" s="22"/>
    </row>
    <row r="24" spans="3:15" x14ac:dyDescent="0.25">
      <c r="C24" s="33" t="str">
        <f>IF(H24=1,"u","")</f>
        <v/>
      </c>
      <c r="D24" s="11" t="s">
        <v>745</v>
      </c>
      <c r="E24" s="33"/>
      <c r="F24" t="s">
        <v>159</v>
      </c>
      <c r="G24" t="s">
        <v>93</v>
      </c>
      <c r="H24">
        <f>RANK(L24,L$23:L$43,1)</f>
        <v>2</v>
      </c>
      <c r="I24" s="4">
        <v>22050000</v>
      </c>
      <c r="J24" s="4">
        <v>9963550</v>
      </c>
      <c r="K24" s="7">
        <v>0.15</v>
      </c>
      <c r="L24" s="4">
        <f>+I24+J24+(K24*K$7)+$K$7</f>
        <v>34831050</v>
      </c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7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7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7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7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7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ref="E30:E43" si="1">IF(H30=1,"t","")</f>
        <v/>
      </c>
      <c r="I30" s="4"/>
      <c r="J30" s="4"/>
      <c r="K30" s="7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7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7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I33" s="4"/>
      <c r="J33" s="4"/>
      <c r="K33" s="7"/>
      <c r="L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K34" s="7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K35" s="7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K36" s="7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K37" s="7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K38" s="7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K39" s="7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K40" s="7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K41" s="7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K42" s="7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K43" s="7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  <c r="M47" s="21"/>
      <c r="N47" s="21"/>
      <c r="O47" s="21"/>
    </row>
  </sheetData>
  <mergeCells count="1">
    <mergeCell ref="G13:H13"/>
  </mergeCells>
  <conditionalFormatting sqref="I9 F11">
    <cfRule type="containsText" dxfId="1209" priority="8" operator="containsText" text="FAIL">
      <formula>NOT(ISERROR(SEARCH("FAIL",F9)))</formula>
    </cfRule>
  </conditionalFormatting>
  <conditionalFormatting sqref="I9 F11">
    <cfRule type="containsText" dxfId="1208" priority="7" operator="containsText" text="GOOD">
      <formula>NOT(ISERROR(SEARCH("GOOD",F9)))</formula>
    </cfRule>
  </conditionalFormatting>
  <conditionalFormatting sqref="I9">
    <cfRule type="containsText" dxfId="1207" priority="6" operator="containsText" text="FAIL">
      <formula>NOT(ISERROR(SEARCH("FAIL",I9)))</formula>
    </cfRule>
  </conditionalFormatting>
  <conditionalFormatting sqref="I9">
    <cfRule type="containsText" dxfId="1206" priority="5" operator="containsText" text="GOOD">
      <formula>NOT(ISERROR(SEARCH("GOOD",I9)))</formula>
    </cfRule>
  </conditionalFormatting>
  <conditionalFormatting sqref="D25">
    <cfRule type="expression" dxfId="1205" priority="4" stopIfTrue="1">
      <formula>IF($H$25=1,0)</formula>
    </cfRule>
  </conditionalFormatting>
  <conditionalFormatting sqref="D23:D43">
    <cfRule type="expression" dxfId="1204" priority="3">
      <formula>H23=1</formula>
    </cfRule>
  </conditionalFormatting>
  <conditionalFormatting sqref="C23:C43">
    <cfRule type="expression" dxfId="1203" priority="2">
      <formula>H23=1</formula>
    </cfRule>
  </conditionalFormatting>
  <conditionalFormatting sqref="E23:E43">
    <cfRule type="expression" dxfId="1202" priority="1">
      <formula>H23=1</formula>
    </cfRule>
  </conditionalFormatting>
  <pageMargins left="0.7" right="0.7" top="0.75" bottom="0.75" header="0.3" footer="0.3"/>
  <pageSetup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2:O47"/>
  <sheetViews>
    <sheetView zoomScaleNormal="100" workbookViewId="0">
      <selection activeCell="I25" sqref="I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825</v>
      </c>
      <c r="I4" s="2" t="s">
        <v>4</v>
      </c>
      <c r="J4" t="s">
        <v>447</v>
      </c>
    </row>
    <row r="5" spans="1:11" x14ac:dyDescent="0.25">
      <c r="D5" s="2" t="s">
        <v>1</v>
      </c>
      <c r="F5" t="s">
        <v>826</v>
      </c>
    </row>
    <row r="6" spans="1:11" x14ac:dyDescent="0.25">
      <c r="D6" s="2" t="s">
        <v>2</v>
      </c>
      <c r="F6" s="6">
        <v>42731</v>
      </c>
      <c r="H6" s="11"/>
    </row>
    <row r="7" spans="1:11" x14ac:dyDescent="0.25">
      <c r="D7" s="2" t="s">
        <v>3</v>
      </c>
      <c r="F7" s="5">
        <v>18500000</v>
      </c>
      <c r="G7" s="2" t="s">
        <v>190</v>
      </c>
      <c r="H7" s="11"/>
    </row>
    <row r="8" spans="1:11" x14ac:dyDescent="0.25">
      <c r="D8" s="2" t="s">
        <v>18</v>
      </c>
      <c r="F8" s="5">
        <f>MIN(I23:I43)</f>
        <v>15978000</v>
      </c>
      <c r="H8" s="11"/>
    </row>
    <row r="9" spans="1:11" x14ac:dyDescent="0.25">
      <c r="D9" s="2" t="s">
        <v>67</v>
      </c>
      <c r="F9" s="4">
        <f>+F8-F7</f>
        <v>-2522000</v>
      </c>
      <c r="G9" s="16">
        <f>+F9/F7</f>
        <v>-0.13632432432432431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773500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17726500</v>
      </c>
      <c r="G12" s="14"/>
      <c r="H12" s="11">
        <f>COUNT(I23:I43)</f>
        <v>2</v>
      </c>
      <c r="I12" s="1" t="s">
        <v>31</v>
      </c>
      <c r="J12" s="4">
        <f>+F8*0.9</f>
        <v>14380200</v>
      </c>
      <c r="K12" s="1" t="s">
        <v>69</v>
      </c>
    </row>
    <row r="13" spans="1:11" x14ac:dyDescent="0.25">
      <c r="D13" s="2" t="s">
        <v>29</v>
      </c>
      <c r="F13" s="4">
        <f>MAX(I23:I43)-MIN(I23:I43)</f>
        <v>3497000</v>
      </c>
      <c r="G13" s="269">
        <f>MEDIAN(I23:I43)</f>
        <v>17726500</v>
      </c>
      <c r="H13" s="270"/>
      <c r="I13" s="1" t="s">
        <v>30</v>
      </c>
      <c r="J13" s="4">
        <f>+F12*1.1</f>
        <v>19499150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487</v>
      </c>
      <c r="E23" s="33"/>
      <c r="F23" t="s">
        <v>113</v>
      </c>
      <c r="G23" t="s">
        <v>25</v>
      </c>
      <c r="H23">
        <f>RANK(I23,I$23:I$43,1)</f>
        <v>1</v>
      </c>
      <c r="I23" s="4">
        <v>15978000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601</v>
      </c>
      <c r="E24" s="33"/>
      <c r="F24" t="s">
        <v>201</v>
      </c>
      <c r="G24" t="s">
        <v>25</v>
      </c>
      <c r="H24">
        <f>RANK(I24,I$23:I$43,1)</f>
        <v>2</v>
      </c>
      <c r="I24" s="4">
        <v>19475000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201" priority="13" operator="containsText" text="FAIL">
      <formula>NOT(ISERROR(SEARCH("FAIL",I9)))</formula>
    </cfRule>
  </conditionalFormatting>
  <conditionalFormatting sqref="I9">
    <cfRule type="containsText" dxfId="1200" priority="12" operator="containsText" text="GOOD">
      <formula>NOT(ISERROR(SEARCH("GOOD",I9)))</formula>
    </cfRule>
  </conditionalFormatting>
  <conditionalFormatting sqref="F11">
    <cfRule type="containsText" dxfId="1199" priority="11" operator="containsText" text="FAIL">
      <formula>NOT(ISERROR(SEARCH("FAIL",F11)))</formula>
    </cfRule>
  </conditionalFormatting>
  <conditionalFormatting sqref="F11">
    <cfRule type="containsText" dxfId="1198" priority="10" operator="containsText" text="GOOD">
      <formula>NOT(ISERROR(SEARCH("GOOD",F11)))</formula>
    </cfRule>
  </conditionalFormatting>
  <conditionalFormatting sqref="D25">
    <cfRule type="expression" dxfId="1197" priority="9" stopIfTrue="1">
      <formula>IF($H$25=1,0)</formula>
    </cfRule>
  </conditionalFormatting>
  <conditionalFormatting sqref="D23:D26 D29:D43">
    <cfRule type="expression" dxfId="1196" priority="8">
      <formula>H23=1</formula>
    </cfRule>
  </conditionalFormatting>
  <conditionalFormatting sqref="C23:C26 C29:C43">
    <cfRule type="expression" dxfId="1195" priority="7">
      <formula>H23=1</formula>
    </cfRule>
  </conditionalFormatting>
  <conditionalFormatting sqref="E23:E26 E29:E43">
    <cfRule type="expression" dxfId="1194" priority="6">
      <formula>H23=1</formula>
    </cfRule>
  </conditionalFormatting>
  <conditionalFormatting sqref="F11">
    <cfRule type="containsText" dxfId="1193" priority="5" operator="containsText" text="FAIL">
      <formula>NOT(ISERROR(SEARCH("FAIL",F11)))</formula>
    </cfRule>
  </conditionalFormatting>
  <conditionalFormatting sqref="F11">
    <cfRule type="containsText" dxfId="1192" priority="4" operator="containsText" text="GOOD">
      <formula>NOT(ISERROR(SEARCH("GOOD",F11)))</formula>
    </cfRule>
  </conditionalFormatting>
  <conditionalFormatting sqref="D27:D28">
    <cfRule type="expression" dxfId="1191" priority="3">
      <formula>H27=1</formula>
    </cfRule>
  </conditionalFormatting>
  <conditionalFormatting sqref="C27:C28">
    <cfRule type="expression" dxfId="1190" priority="2">
      <formula>H27=1</formula>
    </cfRule>
  </conditionalFormatting>
  <conditionalFormatting sqref="E27:E28">
    <cfRule type="expression" dxfId="1189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2:O47"/>
  <sheetViews>
    <sheetView workbookViewId="0">
      <selection activeCell="M13" sqref="M1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821</v>
      </c>
      <c r="I4" s="2" t="s">
        <v>4</v>
      </c>
      <c r="J4" t="s">
        <v>616</v>
      </c>
    </row>
    <row r="5" spans="1:11" x14ac:dyDescent="0.25">
      <c r="D5" s="2" t="s">
        <v>1</v>
      </c>
      <c r="F5" t="s">
        <v>822</v>
      </c>
    </row>
    <row r="6" spans="1:11" x14ac:dyDescent="0.25">
      <c r="D6" s="2" t="s">
        <v>2</v>
      </c>
      <c r="F6" s="6">
        <v>42725</v>
      </c>
      <c r="H6" s="11"/>
    </row>
    <row r="7" spans="1:11" x14ac:dyDescent="0.25">
      <c r="D7" s="2" t="s">
        <v>3</v>
      </c>
      <c r="F7" s="5">
        <f>+I7+J7</f>
        <v>600000</v>
      </c>
      <c r="G7" s="2" t="s">
        <v>693</v>
      </c>
      <c r="H7" s="11"/>
      <c r="I7" s="19">
        <v>170000</v>
      </c>
      <c r="J7" s="19">
        <v>430000</v>
      </c>
    </row>
    <row r="8" spans="1:11" x14ac:dyDescent="0.25">
      <c r="D8" s="2" t="s">
        <v>18</v>
      </c>
      <c r="F8" s="5">
        <f>MIN(K23:K43)</f>
        <v>421111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-178889</v>
      </c>
      <c r="G9" s="16">
        <f>+F9/F7</f>
        <v>-0.29814833333333335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-62973.5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662973.5</v>
      </c>
      <c r="G12" s="14"/>
      <c r="H12" s="11">
        <f>COUNT(K23:K43)</f>
        <v>8</v>
      </c>
      <c r="I12" s="1" t="s">
        <v>31</v>
      </c>
      <c r="J12" s="4">
        <f>+F8*0.9</f>
        <v>378999.9</v>
      </c>
      <c r="K12" s="1" t="s">
        <v>69</v>
      </c>
    </row>
    <row r="13" spans="1:11" x14ac:dyDescent="0.25">
      <c r="D13" s="2" t="s">
        <v>29</v>
      </c>
      <c r="F13" s="4">
        <f>MAX(K23:K43)-MIN(K23:K43)</f>
        <v>508244</v>
      </c>
      <c r="G13" s="269">
        <f>MEDIAN(K23:K43)</f>
        <v>661122.5</v>
      </c>
      <c r="H13" s="270"/>
      <c r="I13" s="1" t="s">
        <v>30</v>
      </c>
      <c r="J13" s="4">
        <f>+F12*1.1</f>
        <v>729270.85000000009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2.0338983050847456E-2</v>
      </c>
    </row>
    <row r="18" spans="3:15" x14ac:dyDescent="0.25">
      <c r="F18" s="4">
        <f>+F7</f>
        <v>600000</v>
      </c>
      <c r="G18" s="1" t="s">
        <v>12</v>
      </c>
      <c r="H18" s="11"/>
      <c r="I18" t="s">
        <v>16</v>
      </c>
      <c r="J18" s="7">
        <f>+F8/F18</f>
        <v>0.70185166666666665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1.4037033333333334E-2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 t="shared" ref="C23:C43" si="0">IF(H23=1,"u","")</f>
        <v/>
      </c>
      <c r="D23" s="11" t="s">
        <v>489</v>
      </c>
      <c r="E23" s="33"/>
      <c r="F23" t="s">
        <v>490</v>
      </c>
      <c r="G23" t="s">
        <v>25</v>
      </c>
      <c r="H23">
        <f>RANK(K23,K$23:K$43,1)</f>
        <v>6</v>
      </c>
      <c r="I23" s="4">
        <v>150900</v>
      </c>
      <c r="J23" s="4">
        <v>626877</v>
      </c>
      <c r="K23" s="4">
        <f>+J23+I23</f>
        <v>777777</v>
      </c>
      <c r="L23" s="4"/>
      <c r="M23" s="22"/>
      <c r="N23" s="22"/>
      <c r="O23" s="22"/>
    </row>
    <row r="24" spans="3:15" x14ac:dyDescent="0.25">
      <c r="C24" s="33" t="str">
        <f t="shared" si="0"/>
        <v/>
      </c>
      <c r="D24" s="11" t="s">
        <v>347</v>
      </c>
      <c r="E24" s="33"/>
      <c r="F24" t="s">
        <v>147</v>
      </c>
      <c r="G24" t="s">
        <v>93</v>
      </c>
      <c r="H24">
        <f t="shared" ref="H24:H30" si="1">RANK(K24,K$23:K$43,1)</f>
        <v>2</v>
      </c>
      <c r="I24" s="4">
        <v>130500</v>
      </c>
      <c r="J24" s="4">
        <v>333200</v>
      </c>
      <c r="K24" s="4">
        <f t="shared" ref="K24:K30" si="2">+J24+I24</f>
        <v>463700</v>
      </c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823</v>
      </c>
      <c r="E25" s="33"/>
      <c r="F25" t="s">
        <v>181</v>
      </c>
      <c r="G25" t="s">
        <v>93</v>
      </c>
      <c r="H25">
        <f t="shared" si="1"/>
        <v>8</v>
      </c>
      <c r="I25" s="4">
        <v>338375</v>
      </c>
      <c r="J25" s="4">
        <v>590980</v>
      </c>
      <c r="K25" s="4">
        <f t="shared" si="2"/>
        <v>929355</v>
      </c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 t="s">
        <v>824</v>
      </c>
      <c r="E26" s="33"/>
      <c r="F26" t="s">
        <v>186</v>
      </c>
      <c r="G26" t="s">
        <v>25</v>
      </c>
      <c r="H26">
        <f t="shared" si="1"/>
        <v>7</v>
      </c>
      <c r="I26" s="4">
        <v>180500</v>
      </c>
      <c r="J26" s="4">
        <v>714500</v>
      </c>
      <c r="K26" s="4">
        <f t="shared" si="2"/>
        <v>895000</v>
      </c>
      <c r="L26" s="4"/>
      <c r="M26" s="22"/>
      <c r="N26" s="22"/>
      <c r="O26" s="22"/>
    </row>
    <row r="27" spans="3:15" x14ac:dyDescent="0.25">
      <c r="C27" s="33" t="str">
        <f t="shared" si="0"/>
        <v>u</v>
      </c>
      <c r="D27" s="11" t="s">
        <v>733</v>
      </c>
      <c r="E27" s="33"/>
      <c r="F27" t="s">
        <v>120</v>
      </c>
      <c r="G27" t="s">
        <v>25</v>
      </c>
      <c r="H27">
        <f t="shared" si="1"/>
        <v>1</v>
      </c>
      <c r="I27" s="4">
        <v>94600</v>
      </c>
      <c r="J27" s="4">
        <v>326511</v>
      </c>
      <c r="K27" s="4">
        <f t="shared" si="2"/>
        <v>421111</v>
      </c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 t="s">
        <v>814</v>
      </c>
      <c r="E28" s="33"/>
      <c r="F28" t="s">
        <v>376</v>
      </c>
      <c r="G28" t="s">
        <v>93</v>
      </c>
      <c r="H28">
        <f t="shared" si="1"/>
        <v>3</v>
      </c>
      <c r="I28" s="4">
        <v>117100</v>
      </c>
      <c r="J28" s="4">
        <v>377500</v>
      </c>
      <c r="K28" s="4">
        <f t="shared" si="2"/>
        <v>494600</v>
      </c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 t="s">
        <v>631</v>
      </c>
      <c r="E29" s="33"/>
      <c r="F29" t="s">
        <v>131</v>
      </c>
      <c r="G29" t="s">
        <v>25</v>
      </c>
      <c r="H29">
        <f t="shared" si="1"/>
        <v>5</v>
      </c>
      <c r="I29" s="4">
        <v>166600</v>
      </c>
      <c r="J29" s="4">
        <v>513400</v>
      </c>
      <c r="K29" s="4">
        <f t="shared" si="2"/>
        <v>680000</v>
      </c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 t="s">
        <v>676</v>
      </c>
      <c r="E30" s="33"/>
      <c r="F30" t="s">
        <v>85</v>
      </c>
      <c r="G30" t="s">
        <v>25</v>
      </c>
      <c r="H30">
        <f t="shared" si="1"/>
        <v>4</v>
      </c>
      <c r="I30" s="4">
        <v>133000</v>
      </c>
      <c r="J30" s="4">
        <v>509245</v>
      </c>
      <c r="K30" s="4">
        <f t="shared" si="2"/>
        <v>642245</v>
      </c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3">IF(H36=1,"t","")</f>
        <v/>
      </c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188" priority="25" operator="containsText" text="FAIL">
      <formula>NOT(ISERROR(SEARCH("FAIL",I9)))</formula>
    </cfRule>
  </conditionalFormatting>
  <conditionalFormatting sqref="I9">
    <cfRule type="containsText" dxfId="1187" priority="24" operator="containsText" text="GOOD">
      <formula>NOT(ISERROR(SEARCH("GOOD",I9)))</formula>
    </cfRule>
  </conditionalFormatting>
  <conditionalFormatting sqref="I9">
    <cfRule type="containsText" dxfId="1186" priority="23" operator="containsText" text="FAIL">
      <formula>NOT(ISERROR(SEARCH("FAIL",I9)))</formula>
    </cfRule>
  </conditionalFormatting>
  <conditionalFormatting sqref="I9">
    <cfRule type="containsText" dxfId="1185" priority="22" operator="containsText" text="GOOD">
      <formula>NOT(ISERROR(SEARCH("GOOD",I9)))</formula>
    </cfRule>
  </conditionalFormatting>
  <conditionalFormatting sqref="I9">
    <cfRule type="containsText" dxfId="1184" priority="21" operator="containsText" text="FAIL">
      <formula>NOT(ISERROR(SEARCH("FAIL",I9)))</formula>
    </cfRule>
  </conditionalFormatting>
  <conditionalFormatting sqref="I9">
    <cfRule type="containsText" dxfId="1183" priority="20" operator="containsText" text="GOOD">
      <formula>NOT(ISERROR(SEARCH("GOOD",I9)))</formula>
    </cfRule>
  </conditionalFormatting>
  <conditionalFormatting sqref="F11">
    <cfRule type="containsText" dxfId="1182" priority="19" operator="containsText" text="FAIL">
      <formula>NOT(ISERROR(SEARCH("FAIL",F11)))</formula>
    </cfRule>
  </conditionalFormatting>
  <conditionalFormatting sqref="F11">
    <cfRule type="containsText" dxfId="1181" priority="18" operator="containsText" text="GOOD">
      <formula>NOT(ISERROR(SEARCH("GOOD",F11)))</formula>
    </cfRule>
  </conditionalFormatting>
  <conditionalFormatting sqref="I9">
    <cfRule type="containsText" dxfId="1180" priority="17" operator="containsText" text="FAIL">
      <formula>NOT(ISERROR(SEARCH("FAIL",I9)))</formula>
    </cfRule>
  </conditionalFormatting>
  <conditionalFormatting sqref="I9">
    <cfRule type="containsText" dxfId="1179" priority="16" operator="containsText" text="GOOD">
      <formula>NOT(ISERROR(SEARCH("GOOD",I9)))</formula>
    </cfRule>
  </conditionalFormatting>
  <conditionalFormatting sqref="F11">
    <cfRule type="containsText" dxfId="1178" priority="15" operator="containsText" text="FAIL">
      <formula>NOT(ISERROR(SEARCH("FAIL",F11)))</formula>
    </cfRule>
  </conditionalFormatting>
  <conditionalFormatting sqref="F11">
    <cfRule type="containsText" dxfId="1177" priority="14" operator="containsText" text="GOOD">
      <formula>NOT(ISERROR(SEARCH("GOOD",F11)))</formula>
    </cfRule>
  </conditionalFormatting>
  <conditionalFormatting sqref="D25">
    <cfRule type="expression" dxfId="1176" priority="13" stopIfTrue="1">
      <formula>IF($H$25=1,0)</formula>
    </cfRule>
  </conditionalFormatting>
  <conditionalFormatting sqref="D23:D29 D36:D43 D32:D33">
    <cfRule type="expression" dxfId="1175" priority="12">
      <formula>H23=1</formula>
    </cfRule>
  </conditionalFormatting>
  <conditionalFormatting sqref="C23:C43">
    <cfRule type="expression" dxfId="1174" priority="11">
      <formula>H23=1</formula>
    </cfRule>
  </conditionalFormatting>
  <conditionalFormatting sqref="E23:E29 E36:E43 E32:E33">
    <cfRule type="expression" dxfId="1173" priority="10">
      <formula>H23=1</formula>
    </cfRule>
  </conditionalFormatting>
  <conditionalFormatting sqref="E23:E29 E36:E43 E32:E33">
    <cfRule type="expression" dxfId="1172" priority="9">
      <formula>H23=1</formula>
    </cfRule>
  </conditionalFormatting>
  <conditionalFormatting sqref="F11">
    <cfRule type="containsText" dxfId="1171" priority="8" operator="containsText" text="FAIL">
      <formula>NOT(ISERROR(SEARCH("FAIL",F11)))</formula>
    </cfRule>
  </conditionalFormatting>
  <conditionalFormatting sqref="F11">
    <cfRule type="containsText" dxfId="1170" priority="7" operator="containsText" text="GOOD">
      <formula>NOT(ISERROR(SEARCH("GOOD",F11)))</formula>
    </cfRule>
  </conditionalFormatting>
  <conditionalFormatting sqref="D34:D35">
    <cfRule type="expression" dxfId="1169" priority="6">
      <formula>H34=1</formula>
    </cfRule>
  </conditionalFormatting>
  <conditionalFormatting sqref="E34:E35">
    <cfRule type="expression" dxfId="1168" priority="5">
      <formula>H34=1</formula>
    </cfRule>
  </conditionalFormatting>
  <conditionalFormatting sqref="E34:E35">
    <cfRule type="expression" dxfId="1167" priority="4">
      <formula>H34=1</formula>
    </cfRule>
  </conditionalFormatting>
  <conditionalFormatting sqref="D30:D31">
    <cfRule type="expression" dxfId="1166" priority="3">
      <formula>H30=1</formula>
    </cfRule>
  </conditionalFormatting>
  <conditionalFormatting sqref="E30:E31">
    <cfRule type="expression" dxfId="1165" priority="2">
      <formula>H30=1</formula>
    </cfRule>
  </conditionalFormatting>
  <conditionalFormatting sqref="E30:E31">
    <cfRule type="expression" dxfId="1164" priority="1">
      <formula>H30=1</formula>
    </cfRule>
  </conditionalFormatting>
  <pageMargins left="0.7" right="0.7" top="0.75" bottom="0.75" header="0.3" footer="0.3"/>
  <pageSetup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tabColor rgb="FFFF0000"/>
  </sheetPr>
  <dimension ref="A2:O47"/>
  <sheetViews>
    <sheetView zoomScaleNormal="100" workbookViewId="0">
      <selection activeCell="M28" sqref="M2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817</v>
      </c>
      <c r="I4" s="2" t="s">
        <v>4</v>
      </c>
      <c r="J4" t="s">
        <v>447</v>
      </c>
    </row>
    <row r="5" spans="1:11" x14ac:dyDescent="0.25">
      <c r="D5" s="2" t="s">
        <v>1</v>
      </c>
      <c r="F5" t="s">
        <v>818</v>
      </c>
    </row>
    <row r="6" spans="1:11" x14ac:dyDescent="0.25">
      <c r="D6" s="2" t="s">
        <v>2</v>
      </c>
      <c r="F6" s="6">
        <v>42719</v>
      </c>
      <c r="H6" s="11"/>
    </row>
    <row r="7" spans="1:11" x14ac:dyDescent="0.25">
      <c r="D7" s="2" t="s">
        <v>3</v>
      </c>
      <c r="F7" s="5">
        <v>2212000</v>
      </c>
      <c r="G7" s="2" t="s">
        <v>756</v>
      </c>
      <c r="H7" s="11"/>
    </row>
    <row r="8" spans="1:11" x14ac:dyDescent="0.25">
      <c r="D8" s="2" t="s">
        <v>18</v>
      </c>
      <c r="F8" s="5">
        <f>MIN(I23:I43)</f>
        <v>3028000</v>
      </c>
      <c r="H8" s="11"/>
    </row>
    <row r="9" spans="1:11" x14ac:dyDescent="0.25">
      <c r="D9" s="2" t="s">
        <v>67</v>
      </c>
      <c r="F9" s="4">
        <f>+F8-F7</f>
        <v>816000</v>
      </c>
      <c r="G9" s="16">
        <f>+F9/F7</f>
        <v>0.36889692585895117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-816000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3028000</v>
      </c>
      <c r="G12" s="14"/>
      <c r="H12" s="11">
        <f>COUNT(I23:I43)</f>
        <v>1</v>
      </c>
      <c r="I12" s="1" t="s">
        <v>31</v>
      </c>
      <c r="J12" s="4">
        <f>+F8*0.9</f>
        <v>2725200</v>
      </c>
      <c r="K12" s="1" t="s">
        <v>69</v>
      </c>
    </row>
    <row r="13" spans="1:11" x14ac:dyDescent="0.25">
      <c r="D13" s="2" t="s">
        <v>29</v>
      </c>
      <c r="F13" s="4">
        <f>MAX(I23:I43)-MIN(I23:I43)</f>
        <v>0</v>
      </c>
      <c r="G13" s="269">
        <f>MEDIAN(I23:I43)</f>
        <v>3028000</v>
      </c>
      <c r="H13" s="270"/>
      <c r="I13" s="1" t="s">
        <v>30</v>
      </c>
      <c r="J13" s="4">
        <f>+F12*1.1</f>
        <v>3330800.0000000005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601</v>
      </c>
      <c r="E23" s="33"/>
      <c r="F23" t="s">
        <v>201</v>
      </c>
      <c r="G23" t="s">
        <v>25</v>
      </c>
      <c r="H23">
        <f>RANK(I23,I$23:I$43,1)</f>
        <v>1</v>
      </c>
      <c r="I23" s="4">
        <v>3028000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/>
      <c r="E24" s="33"/>
      <c r="I24" s="4"/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163" priority="13" operator="containsText" text="FAIL">
      <formula>NOT(ISERROR(SEARCH("FAIL",I9)))</formula>
    </cfRule>
  </conditionalFormatting>
  <conditionalFormatting sqref="I9">
    <cfRule type="containsText" dxfId="1162" priority="12" operator="containsText" text="GOOD">
      <formula>NOT(ISERROR(SEARCH("GOOD",I9)))</formula>
    </cfRule>
  </conditionalFormatting>
  <conditionalFormatting sqref="F11">
    <cfRule type="containsText" dxfId="1161" priority="11" operator="containsText" text="FAIL">
      <formula>NOT(ISERROR(SEARCH("FAIL",F11)))</formula>
    </cfRule>
  </conditionalFormatting>
  <conditionalFormatting sqref="F11">
    <cfRule type="containsText" dxfId="1160" priority="10" operator="containsText" text="GOOD">
      <formula>NOT(ISERROR(SEARCH("GOOD",F11)))</formula>
    </cfRule>
  </conditionalFormatting>
  <conditionalFormatting sqref="D25">
    <cfRule type="expression" dxfId="1159" priority="9" stopIfTrue="1">
      <formula>IF($H$25=1,0)</formula>
    </cfRule>
  </conditionalFormatting>
  <conditionalFormatting sqref="D23:D26 D29:D43">
    <cfRule type="expression" dxfId="1158" priority="8">
      <formula>H23=1</formula>
    </cfRule>
  </conditionalFormatting>
  <conditionalFormatting sqref="C23:C26 C29:C43">
    <cfRule type="expression" dxfId="1157" priority="7">
      <formula>H23=1</formula>
    </cfRule>
  </conditionalFormatting>
  <conditionalFormatting sqref="E23:E26 E29:E43">
    <cfRule type="expression" dxfId="1156" priority="6">
      <formula>H23=1</formula>
    </cfRule>
  </conditionalFormatting>
  <conditionalFormatting sqref="F11">
    <cfRule type="containsText" dxfId="1155" priority="5" operator="containsText" text="FAIL">
      <formula>NOT(ISERROR(SEARCH("FAIL",F11)))</formula>
    </cfRule>
  </conditionalFormatting>
  <conditionalFormatting sqref="F11">
    <cfRule type="containsText" dxfId="1154" priority="4" operator="containsText" text="GOOD">
      <formula>NOT(ISERROR(SEARCH("GOOD",F11)))</formula>
    </cfRule>
  </conditionalFormatting>
  <conditionalFormatting sqref="D27:D28">
    <cfRule type="expression" dxfId="1153" priority="3">
      <formula>H27=1</formula>
    </cfRule>
  </conditionalFormatting>
  <conditionalFormatting sqref="C27:C28">
    <cfRule type="expression" dxfId="1152" priority="2">
      <formula>H27=1</formula>
    </cfRule>
  </conditionalFormatting>
  <conditionalFormatting sqref="E27:E28">
    <cfRule type="expression" dxfId="1151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2:O47"/>
  <sheetViews>
    <sheetView workbookViewId="0">
      <selection activeCell="H27" sqref="H2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812</v>
      </c>
      <c r="I4" s="2" t="s">
        <v>4</v>
      </c>
      <c r="J4" t="s">
        <v>816</v>
      </c>
    </row>
    <row r="5" spans="1:11" x14ac:dyDescent="0.25">
      <c r="D5" s="2" t="s">
        <v>1</v>
      </c>
      <c r="F5" t="s">
        <v>813</v>
      </c>
    </row>
    <row r="6" spans="1:11" x14ac:dyDescent="0.25">
      <c r="D6" s="2" t="s">
        <v>2</v>
      </c>
      <c r="F6" s="6">
        <v>42719</v>
      </c>
      <c r="H6" s="11"/>
    </row>
    <row r="7" spans="1:11" x14ac:dyDescent="0.25">
      <c r="D7" s="2" t="s">
        <v>3</v>
      </c>
      <c r="F7" s="5">
        <f>+I7+J7</f>
        <v>1460000</v>
      </c>
      <c r="G7" s="2" t="s">
        <v>693</v>
      </c>
      <c r="H7" s="11"/>
      <c r="I7" s="19">
        <v>820000</v>
      </c>
      <c r="J7" s="19">
        <v>640000</v>
      </c>
    </row>
    <row r="8" spans="1:11" x14ac:dyDescent="0.25">
      <c r="D8" s="2" t="s">
        <v>18</v>
      </c>
      <c r="F8" s="5">
        <f>MIN(K23:K43)</f>
        <v>1457020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-2980</v>
      </c>
      <c r="G9" s="16">
        <f>+F9/F7</f>
        <v>-2.0410958904109591E-3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1" x14ac:dyDescent="0.25">
      <c r="D10" s="2" t="s">
        <v>68</v>
      </c>
      <c r="F10" s="4">
        <f>+F7-F12</f>
        <v>-149377.28571428568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1609377.2857142857</v>
      </c>
      <c r="G12" s="14"/>
      <c r="H12" s="11">
        <f>COUNT(K23:K43)</f>
        <v>7</v>
      </c>
      <c r="I12" s="1" t="s">
        <v>31</v>
      </c>
      <c r="J12" s="4">
        <f>+F8*0.9</f>
        <v>1311318</v>
      </c>
      <c r="K12" s="1" t="s">
        <v>69</v>
      </c>
    </row>
    <row r="13" spans="1:11" x14ac:dyDescent="0.25">
      <c r="D13" s="2" t="s">
        <v>29</v>
      </c>
      <c r="F13" s="4">
        <f>MAX(K23:K43)-MIN(K23:K43)</f>
        <v>373507</v>
      </c>
      <c r="G13" s="269">
        <f>MEDIAN(K23:K43)</f>
        <v>1551000</v>
      </c>
      <c r="H13" s="270"/>
      <c r="I13" s="1" t="s">
        <v>30</v>
      </c>
      <c r="J13" s="4">
        <f>+F12*1.1</f>
        <v>1770315.0142857144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4.949152542372881E-2</v>
      </c>
    </row>
    <row r="18" spans="3:15" x14ac:dyDescent="0.25">
      <c r="F18" s="4">
        <f>+F7</f>
        <v>1460000</v>
      </c>
      <c r="G18" s="1" t="s">
        <v>12</v>
      </c>
      <c r="H18" s="11"/>
      <c r="I18" t="s">
        <v>16</v>
      </c>
      <c r="J18" s="7">
        <f>+F8/F18</f>
        <v>0.9979589041095891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4.856733333333333E-2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 t="shared" ref="C23:C43" si="0">IF(H23=1,"u","")</f>
        <v/>
      </c>
      <c r="D23" s="11" t="s">
        <v>814</v>
      </c>
      <c r="E23" s="33"/>
      <c r="F23" t="s">
        <v>376</v>
      </c>
      <c r="G23" t="s">
        <v>93</v>
      </c>
      <c r="H23">
        <f>RANK(K23,K$23:K$43,1)</f>
        <v>6</v>
      </c>
      <c r="I23" s="4">
        <v>737750</v>
      </c>
      <c r="J23" s="4">
        <v>1012250</v>
      </c>
      <c r="K23" s="4">
        <f>+J23+I23</f>
        <v>1750000</v>
      </c>
      <c r="L23" s="4"/>
      <c r="M23" s="22"/>
      <c r="N23" s="22"/>
      <c r="O23" s="22"/>
    </row>
    <row r="24" spans="3:15" x14ac:dyDescent="0.25">
      <c r="C24" s="33" t="str">
        <f t="shared" si="0"/>
        <v/>
      </c>
      <c r="D24" s="11" t="s">
        <v>815</v>
      </c>
      <c r="E24" s="33"/>
      <c r="F24" t="s">
        <v>113</v>
      </c>
      <c r="G24" t="s">
        <v>25</v>
      </c>
      <c r="H24">
        <f t="shared" ref="H24:H29" si="1">RANK(K24,K$23:K$43,1)</f>
        <v>2</v>
      </c>
      <c r="I24" s="4">
        <v>837660</v>
      </c>
      <c r="J24" s="4">
        <v>623873</v>
      </c>
      <c r="K24" s="4">
        <f t="shared" ref="K24:K29" si="2">+J24+I24</f>
        <v>1461533</v>
      </c>
      <c r="L24" s="4"/>
      <c r="M24" s="22"/>
      <c r="N24" s="22"/>
      <c r="O24" s="22"/>
    </row>
    <row r="25" spans="3:15" x14ac:dyDescent="0.25">
      <c r="C25" s="33" t="str">
        <f t="shared" si="0"/>
        <v/>
      </c>
      <c r="D25" s="11" t="s">
        <v>431</v>
      </c>
      <c r="E25" s="33"/>
      <c r="F25" t="s">
        <v>380</v>
      </c>
      <c r="G25" t="s">
        <v>93</v>
      </c>
      <c r="H25">
        <f t="shared" si="1"/>
        <v>5</v>
      </c>
      <c r="I25" s="4">
        <v>1054450</v>
      </c>
      <c r="J25" s="4">
        <v>650000</v>
      </c>
      <c r="K25" s="4">
        <f t="shared" si="2"/>
        <v>1704450</v>
      </c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 t="s">
        <v>676</v>
      </c>
      <c r="E26" s="33"/>
      <c r="F26" t="s">
        <v>85</v>
      </c>
      <c r="G26" t="s">
        <v>25</v>
      </c>
      <c r="H26">
        <f t="shared" si="1"/>
        <v>7</v>
      </c>
      <c r="I26" s="4">
        <v>943250</v>
      </c>
      <c r="J26" s="4">
        <v>887277</v>
      </c>
      <c r="K26" s="4">
        <f t="shared" si="2"/>
        <v>1830527</v>
      </c>
      <c r="L26" s="4"/>
      <c r="M26" s="22"/>
      <c r="N26" s="22"/>
      <c r="O26" s="22"/>
    </row>
    <row r="27" spans="3:15" x14ac:dyDescent="0.25">
      <c r="C27" s="33" t="str">
        <f t="shared" si="0"/>
        <v>u</v>
      </c>
      <c r="D27" s="11" t="s">
        <v>347</v>
      </c>
      <c r="E27" s="33"/>
      <c r="F27" t="s">
        <v>147</v>
      </c>
      <c r="G27" t="s">
        <v>93</v>
      </c>
      <c r="H27">
        <f t="shared" si="1"/>
        <v>1</v>
      </c>
      <c r="I27" s="4">
        <v>838900</v>
      </c>
      <c r="J27" s="4">
        <v>618120</v>
      </c>
      <c r="K27" s="4">
        <f t="shared" si="2"/>
        <v>1457020</v>
      </c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 t="s">
        <v>631</v>
      </c>
      <c r="E28" s="33"/>
      <c r="F28" t="s">
        <v>131</v>
      </c>
      <c r="G28" t="s">
        <v>25</v>
      </c>
      <c r="H28">
        <f t="shared" si="1"/>
        <v>4</v>
      </c>
      <c r="I28" s="4">
        <v>883750</v>
      </c>
      <c r="J28" s="4">
        <v>667250</v>
      </c>
      <c r="K28" s="4">
        <f t="shared" si="2"/>
        <v>1551000</v>
      </c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 t="s">
        <v>733</v>
      </c>
      <c r="E29" s="33"/>
      <c r="F29" t="s">
        <v>120</v>
      </c>
      <c r="G29" t="s">
        <v>25</v>
      </c>
      <c r="H29">
        <f t="shared" si="1"/>
        <v>3</v>
      </c>
      <c r="I29" s="4">
        <v>633775</v>
      </c>
      <c r="J29" s="4">
        <v>877336</v>
      </c>
      <c r="K29" s="4">
        <f t="shared" si="2"/>
        <v>1511111</v>
      </c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3">IF(H36=1,"t","")</f>
        <v/>
      </c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150" priority="25" operator="containsText" text="FAIL">
      <formula>NOT(ISERROR(SEARCH("FAIL",I9)))</formula>
    </cfRule>
  </conditionalFormatting>
  <conditionalFormatting sqref="I9">
    <cfRule type="containsText" dxfId="1149" priority="24" operator="containsText" text="GOOD">
      <formula>NOT(ISERROR(SEARCH("GOOD",I9)))</formula>
    </cfRule>
  </conditionalFormatting>
  <conditionalFormatting sqref="I9">
    <cfRule type="containsText" dxfId="1148" priority="23" operator="containsText" text="FAIL">
      <formula>NOT(ISERROR(SEARCH("FAIL",I9)))</formula>
    </cfRule>
  </conditionalFormatting>
  <conditionalFormatting sqref="I9">
    <cfRule type="containsText" dxfId="1147" priority="22" operator="containsText" text="GOOD">
      <formula>NOT(ISERROR(SEARCH("GOOD",I9)))</formula>
    </cfRule>
  </conditionalFormatting>
  <conditionalFormatting sqref="I9">
    <cfRule type="containsText" dxfId="1146" priority="21" operator="containsText" text="FAIL">
      <formula>NOT(ISERROR(SEARCH("FAIL",I9)))</formula>
    </cfRule>
  </conditionalFormatting>
  <conditionalFormatting sqref="I9">
    <cfRule type="containsText" dxfId="1145" priority="20" operator="containsText" text="GOOD">
      <formula>NOT(ISERROR(SEARCH("GOOD",I9)))</formula>
    </cfRule>
  </conditionalFormatting>
  <conditionalFormatting sqref="F11">
    <cfRule type="containsText" dxfId="1144" priority="19" operator="containsText" text="FAIL">
      <formula>NOT(ISERROR(SEARCH("FAIL",F11)))</formula>
    </cfRule>
  </conditionalFormatting>
  <conditionalFormatting sqref="F11">
    <cfRule type="containsText" dxfId="1143" priority="18" operator="containsText" text="GOOD">
      <formula>NOT(ISERROR(SEARCH("GOOD",F11)))</formula>
    </cfRule>
  </conditionalFormatting>
  <conditionalFormatting sqref="I9">
    <cfRule type="containsText" dxfId="1142" priority="17" operator="containsText" text="FAIL">
      <formula>NOT(ISERROR(SEARCH("FAIL",I9)))</formula>
    </cfRule>
  </conditionalFormatting>
  <conditionalFormatting sqref="I9">
    <cfRule type="containsText" dxfId="1141" priority="16" operator="containsText" text="GOOD">
      <formula>NOT(ISERROR(SEARCH("GOOD",I9)))</formula>
    </cfRule>
  </conditionalFormatting>
  <conditionalFormatting sqref="F11">
    <cfRule type="containsText" dxfId="1140" priority="15" operator="containsText" text="FAIL">
      <formula>NOT(ISERROR(SEARCH("FAIL",F11)))</formula>
    </cfRule>
  </conditionalFormatting>
  <conditionalFormatting sqref="F11">
    <cfRule type="containsText" dxfId="1139" priority="14" operator="containsText" text="GOOD">
      <formula>NOT(ISERROR(SEARCH("GOOD",F11)))</formula>
    </cfRule>
  </conditionalFormatting>
  <conditionalFormatting sqref="D25">
    <cfRule type="expression" dxfId="1138" priority="13" stopIfTrue="1">
      <formula>IF($H$25=1,0)</formula>
    </cfRule>
  </conditionalFormatting>
  <conditionalFormatting sqref="D23:D29 D36:D43 D32:D33">
    <cfRule type="expression" dxfId="1137" priority="12">
      <formula>H23=1</formula>
    </cfRule>
  </conditionalFormatting>
  <conditionalFormatting sqref="C23:C43">
    <cfRule type="expression" dxfId="1136" priority="11">
      <formula>H23=1</formula>
    </cfRule>
  </conditionalFormatting>
  <conditionalFormatting sqref="E23:E29 E36:E43 E32:E33">
    <cfRule type="expression" dxfId="1135" priority="10">
      <formula>H23=1</formula>
    </cfRule>
  </conditionalFormatting>
  <conditionalFormatting sqref="E23:E29 E36:E43 E32:E33">
    <cfRule type="expression" dxfId="1134" priority="9">
      <formula>H23=1</formula>
    </cfRule>
  </conditionalFormatting>
  <conditionalFormatting sqref="F11">
    <cfRule type="containsText" dxfId="1133" priority="8" operator="containsText" text="FAIL">
      <formula>NOT(ISERROR(SEARCH("FAIL",F11)))</formula>
    </cfRule>
  </conditionalFormatting>
  <conditionalFormatting sqref="F11">
    <cfRule type="containsText" dxfId="1132" priority="7" operator="containsText" text="GOOD">
      <formula>NOT(ISERROR(SEARCH("GOOD",F11)))</formula>
    </cfRule>
  </conditionalFormatting>
  <conditionalFormatting sqref="D34:D35">
    <cfRule type="expression" dxfId="1131" priority="6">
      <formula>H34=1</formula>
    </cfRule>
  </conditionalFormatting>
  <conditionalFormatting sqref="E34:E35">
    <cfRule type="expression" dxfId="1130" priority="5">
      <formula>H34=1</formula>
    </cfRule>
  </conditionalFormatting>
  <conditionalFormatting sqref="E34:E35">
    <cfRule type="expression" dxfId="1129" priority="4">
      <formula>H34=1</formula>
    </cfRule>
  </conditionalFormatting>
  <conditionalFormatting sqref="D30:D31">
    <cfRule type="expression" dxfId="1128" priority="3">
      <formula>H30=1</formula>
    </cfRule>
  </conditionalFormatting>
  <conditionalFormatting sqref="E30:E31">
    <cfRule type="expression" dxfId="1127" priority="2">
      <formula>H30=1</formula>
    </cfRule>
  </conditionalFormatting>
  <conditionalFormatting sqref="E30:E31">
    <cfRule type="expression" dxfId="1126" priority="1">
      <formula>H30=1</formula>
    </cfRule>
  </conditionalFormatting>
  <pageMargins left="0.7" right="0.7" top="0.75" bottom="0.75" header="0.3" footer="0.3"/>
  <pageSetup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2:O47"/>
  <sheetViews>
    <sheetView workbookViewId="0">
      <selection activeCell="J8" sqref="J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809</v>
      </c>
      <c r="I4" s="2" t="s">
        <v>4</v>
      </c>
      <c r="J4" t="s">
        <v>442</v>
      </c>
    </row>
    <row r="5" spans="1:11" x14ac:dyDescent="0.25">
      <c r="D5" s="2" t="s">
        <v>1</v>
      </c>
      <c r="F5" t="s">
        <v>810</v>
      </c>
    </row>
    <row r="6" spans="1:11" x14ac:dyDescent="0.25">
      <c r="D6" s="2" t="s">
        <v>2</v>
      </c>
      <c r="F6" s="6">
        <v>42718</v>
      </c>
      <c r="H6" s="11"/>
    </row>
    <row r="7" spans="1:11" x14ac:dyDescent="0.25">
      <c r="D7" s="2" t="s">
        <v>3</v>
      </c>
      <c r="F7" s="5">
        <f>+I7+J7</f>
        <v>61900000</v>
      </c>
      <c r="G7" s="2" t="s">
        <v>34</v>
      </c>
      <c r="H7" s="11"/>
      <c r="I7" s="19">
        <v>8550000</v>
      </c>
      <c r="J7" s="19">
        <f>55850000-2500000</f>
        <v>53350000</v>
      </c>
    </row>
    <row r="8" spans="1:11" x14ac:dyDescent="0.25">
      <c r="D8" s="2" t="s">
        <v>18</v>
      </c>
      <c r="F8" s="5">
        <f>MIN(K23:K43)</f>
        <v>47681062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-14218938</v>
      </c>
      <c r="G9" s="16">
        <f>+F9/F7</f>
        <v>-0.22970820678513731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3743013.7142857164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58156986.285714284</v>
      </c>
      <c r="G12" s="14"/>
      <c r="H12" s="11">
        <f>COUNT(K23:K43)</f>
        <v>7</v>
      </c>
      <c r="I12" s="1" t="s">
        <v>31</v>
      </c>
      <c r="J12" s="4">
        <f>+F8*0.9</f>
        <v>42912955.800000004</v>
      </c>
      <c r="K12" s="1" t="s">
        <v>69</v>
      </c>
    </row>
    <row r="13" spans="1:11" x14ac:dyDescent="0.25">
      <c r="D13" s="2" t="s">
        <v>29</v>
      </c>
      <c r="F13" s="4">
        <f>MAX(K23:K43)-MIN(K23:K43)</f>
        <v>20418938</v>
      </c>
      <c r="G13" s="269">
        <f>MEDIAN(K23:K43)</f>
        <v>58174003</v>
      </c>
      <c r="H13" s="270"/>
      <c r="I13" s="1" t="s">
        <v>30</v>
      </c>
      <c r="J13" s="4">
        <f>+F12*1.1</f>
        <v>63972684.914285719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2.0983050847457627</v>
      </c>
    </row>
    <row r="18" spans="3:15" x14ac:dyDescent="0.25">
      <c r="F18" s="4">
        <f>+F7</f>
        <v>61900000</v>
      </c>
      <c r="G18" s="1" t="s">
        <v>12</v>
      </c>
      <c r="H18" s="11"/>
      <c r="I18" t="s">
        <v>16</v>
      </c>
      <c r="J18" s="7">
        <f>+F8/F18</f>
        <v>0.77029179321486263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1.5893687333333333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 t="shared" ref="C23:C36" si="0">IF(H23=1,"u","")</f>
        <v/>
      </c>
      <c r="D23" s="11" t="s">
        <v>533</v>
      </c>
      <c r="E23" s="33"/>
      <c r="F23" t="s">
        <v>92</v>
      </c>
      <c r="G23" t="s">
        <v>93</v>
      </c>
      <c r="H23">
        <f>RANK(K23,K$23:K$43,1)</f>
        <v>7</v>
      </c>
      <c r="I23" s="4">
        <v>7745467</v>
      </c>
      <c r="J23" s="4">
        <v>60354533</v>
      </c>
      <c r="K23" s="4">
        <f>+J23+I23</f>
        <v>68100000</v>
      </c>
      <c r="L23" s="4"/>
      <c r="M23" s="22"/>
      <c r="N23" s="22"/>
      <c r="O23" s="22"/>
    </row>
    <row r="24" spans="3:15" x14ac:dyDescent="0.25">
      <c r="C24" s="33" t="str">
        <f t="shared" si="0"/>
        <v/>
      </c>
      <c r="D24" s="11" t="s">
        <v>491</v>
      </c>
      <c r="E24" s="33"/>
      <c r="F24" t="s">
        <v>203</v>
      </c>
      <c r="G24" t="s">
        <v>204</v>
      </c>
      <c r="H24">
        <f t="shared" ref="H24:H29" si="1">RANK(K24,K$23:K$43,1)</f>
        <v>4</v>
      </c>
      <c r="I24" s="4">
        <v>4845240</v>
      </c>
      <c r="J24" s="4">
        <v>53328763</v>
      </c>
      <c r="K24" s="4">
        <f t="shared" ref="K24:K29" si="2">+J24+I24</f>
        <v>58174003</v>
      </c>
      <c r="L24" s="4"/>
      <c r="M24" s="22"/>
      <c r="N24" s="22"/>
      <c r="O24" s="22"/>
    </row>
    <row r="25" spans="3:15" x14ac:dyDescent="0.25">
      <c r="C25" s="33" t="str">
        <f t="shared" si="0"/>
        <v>u</v>
      </c>
      <c r="D25" s="11" t="s">
        <v>485</v>
      </c>
      <c r="E25" s="33"/>
      <c r="F25" t="s">
        <v>486</v>
      </c>
      <c r="G25" t="s">
        <v>25</v>
      </c>
      <c r="H25">
        <f t="shared" si="1"/>
        <v>1</v>
      </c>
      <c r="I25" s="4">
        <v>4797025</v>
      </c>
      <c r="J25" s="4">
        <v>42884037</v>
      </c>
      <c r="K25" s="4">
        <f t="shared" si="2"/>
        <v>47681062</v>
      </c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 t="s">
        <v>811</v>
      </c>
      <c r="E26" s="33"/>
      <c r="F26" t="s">
        <v>393</v>
      </c>
      <c r="G26" t="s">
        <v>25</v>
      </c>
      <c r="H26">
        <f t="shared" si="1"/>
        <v>6</v>
      </c>
      <c r="I26" s="4">
        <v>6741675</v>
      </c>
      <c r="J26" s="4">
        <v>60566305</v>
      </c>
      <c r="K26" s="4">
        <f t="shared" si="2"/>
        <v>67307980</v>
      </c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 t="s">
        <v>556</v>
      </c>
      <c r="E27" s="33"/>
      <c r="F27" t="s">
        <v>201</v>
      </c>
      <c r="G27" t="s">
        <v>25</v>
      </c>
      <c r="H27">
        <f t="shared" si="1"/>
        <v>2</v>
      </c>
      <c r="I27" s="4">
        <v>5297615</v>
      </c>
      <c r="J27" s="4">
        <v>47652385</v>
      </c>
      <c r="K27" s="4">
        <f t="shared" si="2"/>
        <v>52950000</v>
      </c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 t="s">
        <v>440</v>
      </c>
      <c r="E28" s="33"/>
      <c r="F28" t="s">
        <v>193</v>
      </c>
      <c r="G28" t="s">
        <v>25</v>
      </c>
      <c r="H28">
        <f t="shared" si="1"/>
        <v>5</v>
      </c>
      <c r="I28" s="4">
        <v>5437918</v>
      </c>
      <c r="J28" s="4">
        <v>54450941</v>
      </c>
      <c r="K28" s="4">
        <f t="shared" si="2"/>
        <v>59888859</v>
      </c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 t="s">
        <v>679</v>
      </c>
      <c r="E29" s="33"/>
      <c r="F29" t="s">
        <v>193</v>
      </c>
      <c r="G29" t="s">
        <v>25</v>
      </c>
      <c r="H29">
        <f t="shared" si="1"/>
        <v>3</v>
      </c>
      <c r="I29" s="4">
        <v>5606050</v>
      </c>
      <c r="J29" s="4">
        <v>47390950</v>
      </c>
      <c r="K29" s="4">
        <f t="shared" si="2"/>
        <v>52997000</v>
      </c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ref="E36:E43" si="3">IF(H36=1,"t","")</f>
        <v/>
      </c>
      <c r="K36" s="4"/>
      <c r="M36" s="21"/>
      <c r="N36" s="21"/>
      <c r="O36" s="21"/>
    </row>
    <row r="37" spans="3:15" x14ac:dyDescent="0.25">
      <c r="C37" s="33" t="str">
        <f t="shared" ref="C37:C43" si="4">IF(H37=1,"u","")</f>
        <v/>
      </c>
      <c r="D37" s="11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4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4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4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4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4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4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125" priority="27" operator="containsText" text="FAIL">
      <formula>NOT(ISERROR(SEARCH("FAIL",I9)))</formula>
    </cfRule>
  </conditionalFormatting>
  <conditionalFormatting sqref="I9">
    <cfRule type="containsText" dxfId="1124" priority="26" operator="containsText" text="GOOD">
      <formula>NOT(ISERROR(SEARCH("GOOD",I9)))</formula>
    </cfRule>
  </conditionalFormatting>
  <conditionalFormatting sqref="I9">
    <cfRule type="containsText" dxfId="1123" priority="25" operator="containsText" text="FAIL">
      <formula>NOT(ISERROR(SEARCH("FAIL",I9)))</formula>
    </cfRule>
  </conditionalFormatting>
  <conditionalFormatting sqref="I9">
    <cfRule type="containsText" dxfId="1122" priority="24" operator="containsText" text="GOOD">
      <formula>NOT(ISERROR(SEARCH("GOOD",I9)))</formula>
    </cfRule>
  </conditionalFormatting>
  <conditionalFormatting sqref="I9">
    <cfRule type="containsText" dxfId="1121" priority="23" operator="containsText" text="FAIL">
      <formula>NOT(ISERROR(SEARCH("FAIL",I9)))</formula>
    </cfRule>
  </conditionalFormatting>
  <conditionalFormatting sqref="I9">
    <cfRule type="containsText" dxfId="1120" priority="22" operator="containsText" text="GOOD">
      <formula>NOT(ISERROR(SEARCH("GOOD",I9)))</formula>
    </cfRule>
  </conditionalFormatting>
  <conditionalFormatting sqref="F11">
    <cfRule type="containsText" dxfId="1119" priority="21" operator="containsText" text="FAIL">
      <formula>NOT(ISERROR(SEARCH("FAIL",F11)))</formula>
    </cfRule>
  </conditionalFormatting>
  <conditionalFormatting sqref="F11">
    <cfRule type="containsText" dxfId="1118" priority="20" operator="containsText" text="GOOD">
      <formula>NOT(ISERROR(SEARCH("GOOD",F11)))</formula>
    </cfRule>
  </conditionalFormatting>
  <conditionalFormatting sqref="I9">
    <cfRule type="containsText" dxfId="1117" priority="19" operator="containsText" text="FAIL">
      <formula>NOT(ISERROR(SEARCH("FAIL",I9)))</formula>
    </cfRule>
  </conditionalFormatting>
  <conditionalFormatting sqref="I9">
    <cfRule type="containsText" dxfId="1116" priority="18" operator="containsText" text="GOOD">
      <formula>NOT(ISERROR(SEARCH("GOOD",I9)))</formula>
    </cfRule>
  </conditionalFormatting>
  <conditionalFormatting sqref="F11">
    <cfRule type="containsText" dxfId="1115" priority="17" operator="containsText" text="FAIL">
      <formula>NOT(ISERROR(SEARCH("FAIL",F11)))</formula>
    </cfRule>
  </conditionalFormatting>
  <conditionalFormatting sqref="F11">
    <cfRule type="containsText" dxfId="1114" priority="16" operator="containsText" text="GOOD">
      <formula>NOT(ISERROR(SEARCH("GOOD",F11)))</formula>
    </cfRule>
  </conditionalFormatting>
  <conditionalFormatting sqref="D25">
    <cfRule type="expression" dxfId="1113" priority="15" stopIfTrue="1">
      <formula>IF($H$25=1,0)</formula>
    </cfRule>
  </conditionalFormatting>
  <conditionalFormatting sqref="D23:D29 D36:D43 D32:D33">
    <cfRule type="expression" dxfId="1112" priority="14">
      <formula>H23=1</formula>
    </cfRule>
  </conditionalFormatting>
  <conditionalFormatting sqref="C23:C43">
    <cfRule type="expression" dxfId="1111" priority="13">
      <formula>H23=1</formula>
    </cfRule>
  </conditionalFormatting>
  <conditionalFormatting sqref="E23:E29 E36:E43 E32:E33">
    <cfRule type="expression" dxfId="1110" priority="12">
      <formula>H23=1</formula>
    </cfRule>
  </conditionalFormatting>
  <conditionalFormatting sqref="E23:E29 E36:E43 E32:E33">
    <cfRule type="expression" dxfId="1109" priority="11">
      <formula>H23=1</formula>
    </cfRule>
  </conditionalFormatting>
  <conditionalFormatting sqref="F11">
    <cfRule type="containsText" dxfId="1108" priority="10" operator="containsText" text="FAIL">
      <formula>NOT(ISERROR(SEARCH("FAIL",F11)))</formula>
    </cfRule>
  </conditionalFormatting>
  <conditionalFormatting sqref="F11">
    <cfRule type="containsText" dxfId="1107" priority="9" operator="containsText" text="GOOD">
      <formula>NOT(ISERROR(SEARCH("GOOD",F11)))</formula>
    </cfRule>
  </conditionalFormatting>
  <conditionalFormatting sqref="D34:D35">
    <cfRule type="expression" dxfId="1106" priority="8">
      <formula>H34=1</formula>
    </cfRule>
  </conditionalFormatting>
  <conditionalFormatting sqref="E34:E35">
    <cfRule type="expression" dxfId="1105" priority="6">
      <formula>H34=1</formula>
    </cfRule>
  </conditionalFormatting>
  <conditionalFormatting sqref="E34:E35">
    <cfRule type="expression" dxfId="1104" priority="5">
      <formula>H34=1</formula>
    </cfRule>
  </conditionalFormatting>
  <conditionalFormatting sqref="D30:D31">
    <cfRule type="expression" dxfId="1103" priority="4">
      <formula>H30=1</formula>
    </cfRule>
  </conditionalFormatting>
  <conditionalFormatting sqref="E30:E31">
    <cfRule type="expression" dxfId="1102" priority="2">
      <formula>H30=1</formula>
    </cfRule>
  </conditionalFormatting>
  <conditionalFormatting sqref="E30:E31">
    <cfRule type="expression" dxfId="1101" priority="1">
      <formula>H30=1</formula>
    </cfRule>
  </conditionalFormatting>
  <pageMargins left="0.7" right="0.7" top="0.75" bottom="0.75" header="0.3" footer="0.3"/>
  <pageSetup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2:O47"/>
  <sheetViews>
    <sheetView zoomScaleNormal="100" workbookViewId="0">
      <selection activeCell="M27" sqref="M27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4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4" ht="18.75" x14ac:dyDescent="0.3">
      <c r="C3" s="3" t="s">
        <v>26</v>
      </c>
      <c r="J3" s="8" t="s">
        <v>48</v>
      </c>
    </row>
    <row r="4" spans="1:14" x14ac:dyDescent="0.25">
      <c r="C4" s="1"/>
      <c r="D4" s="2" t="s">
        <v>0</v>
      </c>
      <c r="E4" s="1"/>
      <c r="F4" t="s">
        <v>796</v>
      </c>
      <c r="I4" s="2" t="s">
        <v>4</v>
      </c>
      <c r="J4" t="s">
        <v>616</v>
      </c>
    </row>
    <row r="5" spans="1:14" x14ac:dyDescent="0.25">
      <c r="D5" s="2" t="s">
        <v>1</v>
      </c>
      <c r="F5" t="s">
        <v>797</v>
      </c>
    </row>
    <row r="6" spans="1:14" x14ac:dyDescent="0.25">
      <c r="D6" s="2" t="s">
        <v>2</v>
      </c>
      <c r="F6" s="6">
        <v>42712</v>
      </c>
      <c r="H6" s="11"/>
    </row>
    <row r="7" spans="1:14" x14ac:dyDescent="0.25">
      <c r="D7" s="2" t="s">
        <v>3</v>
      </c>
      <c r="F7" s="5">
        <f>+I7+J7+L7</f>
        <v>2170000</v>
      </c>
      <c r="G7" s="2" t="s">
        <v>34</v>
      </c>
      <c r="H7" s="11"/>
      <c r="I7" s="19">
        <v>707619</v>
      </c>
      <c r="J7" s="19">
        <v>1012381</v>
      </c>
      <c r="K7" s="19">
        <v>0</v>
      </c>
      <c r="L7" s="19">
        <v>450000</v>
      </c>
    </row>
    <row r="8" spans="1:14" x14ac:dyDescent="0.25">
      <c r="D8" s="2" t="s">
        <v>18</v>
      </c>
      <c r="F8" s="5">
        <f>MIN(L23:L43)</f>
        <v>1903225</v>
      </c>
      <c r="H8" s="11"/>
      <c r="I8" s="18" t="s">
        <v>43</v>
      </c>
      <c r="J8" s="18" t="s">
        <v>44</v>
      </c>
      <c r="K8" s="18" t="s">
        <v>49</v>
      </c>
      <c r="L8" s="18" t="s">
        <v>794</v>
      </c>
    </row>
    <row r="9" spans="1:14" x14ac:dyDescent="0.25">
      <c r="D9" s="2" t="s">
        <v>19</v>
      </c>
      <c r="F9" s="4">
        <f>+F8-F7</f>
        <v>-266775</v>
      </c>
      <c r="G9" s="16">
        <f>+F9/F7</f>
        <v>-0.12293778801843318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4" x14ac:dyDescent="0.25">
      <c r="D10" s="2" t="s">
        <v>68</v>
      </c>
      <c r="F10" s="4">
        <f>+F7-F12</f>
        <v>-434208.79999999981</v>
      </c>
      <c r="H10" s="11"/>
      <c r="K10" s="31"/>
      <c r="N10" t="e">
        <f>LOOKUP(1,D23:D43)</f>
        <v>#N/A</v>
      </c>
    </row>
    <row r="11" spans="1:14" x14ac:dyDescent="0.25">
      <c r="A11" s="30"/>
      <c r="D11" s="2" t="s">
        <v>71</v>
      </c>
      <c r="F11" s="11" t="str">
        <f>(IF(F7&lt;J12,"FAIL",IF(F7&gt;J13,"FAIL","GOOD")))</f>
        <v>GOOD</v>
      </c>
      <c r="H11" s="11"/>
      <c r="L11" s="31"/>
      <c r="N11" t="e">
        <f>MATCH(1,D23:H43,0)</f>
        <v>#N/A</v>
      </c>
    </row>
    <row r="12" spans="1:14" x14ac:dyDescent="0.25">
      <c r="D12" s="2" t="s">
        <v>28</v>
      </c>
      <c r="F12" s="4">
        <f>SUM(L23:L43)/H12</f>
        <v>2604208.7999999998</v>
      </c>
      <c r="G12" s="14"/>
      <c r="H12" s="11">
        <f>COUNT(L23:L43)</f>
        <v>5</v>
      </c>
      <c r="I12" s="1" t="s">
        <v>31</v>
      </c>
      <c r="J12" s="4">
        <f>+F8*0.9</f>
        <v>1712902.5</v>
      </c>
      <c r="K12" s="1" t="s">
        <v>69</v>
      </c>
      <c r="N12" t="str">
        <f>INDEX(D23:D43,MATCH(1,H23:H43,0))</f>
        <v>Grace Industries</v>
      </c>
    </row>
    <row r="13" spans="1:14" x14ac:dyDescent="0.25">
      <c r="D13" s="2" t="s">
        <v>29</v>
      </c>
      <c r="F13" s="4">
        <f>MAX(L23:L43)-MIN(L23:L43)</f>
        <v>1529741</v>
      </c>
      <c r="G13" s="269">
        <f>MEDIAN(L23:L43)</f>
        <v>2273183</v>
      </c>
      <c r="H13" s="270"/>
      <c r="I13" s="1" t="s">
        <v>30</v>
      </c>
      <c r="J13" s="4">
        <f>+F12*1.1</f>
        <v>2864629.68</v>
      </c>
      <c r="K13" s="1" t="s">
        <v>70</v>
      </c>
    </row>
    <row r="14" spans="1:14" x14ac:dyDescent="0.25">
      <c r="H14" s="11"/>
    </row>
    <row r="15" spans="1:14" x14ac:dyDescent="0.25">
      <c r="D15" s="2" t="s">
        <v>8</v>
      </c>
      <c r="F15" s="4">
        <v>5000000</v>
      </c>
      <c r="G15" s="1" t="s">
        <v>9</v>
      </c>
      <c r="H15" s="11"/>
      <c r="I15" t="s">
        <v>15</v>
      </c>
      <c r="J15" s="7">
        <f>+F16/F15</f>
        <v>1.2</v>
      </c>
    </row>
    <row r="16" spans="1:14" x14ac:dyDescent="0.25">
      <c r="F16" s="4">
        <v>6000000</v>
      </c>
      <c r="G16" s="1" t="s">
        <v>10</v>
      </c>
      <c r="H16" s="11"/>
      <c r="I16" t="s">
        <v>14</v>
      </c>
      <c r="J16" s="7">
        <f>+F17/F16</f>
        <v>1.0833333333333333</v>
      </c>
    </row>
    <row r="17" spans="3:15" x14ac:dyDescent="0.25">
      <c r="F17" s="4">
        <v>6500000</v>
      </c>
      <c r="G17" s="1" t="s">
        <v>11</v>
      </c>
      <c r="H17" s="11"/>
      <c r="I17" t="s">
        <v>13</v>
      </c>
      <c r="J17" s="7">
        <f>+F18/F17</f>
        <v>0.33384615384615385</v>
      </c>
    </row>
    <row r="18" spans="3:15" x14ac:dyDescent="0.25">
      <c r="F18" s="4">
        <f>+F7</f>
        <v>2170000</v>
      </c>
      <c r="G18" s="1" t="s">
        <v>12</v>
      </c>
      <c r="H18" s="11"/>
      <c r="I18" t="s">
        <v>16</v>
      </c>
      <c r="J18" s="7">
        <f>+F8/F18</f>
        <v>0.87706221198156686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0.38064500000000001</v>
      </c>
    </row>
    <row r="20" spans="3:15" x14ac:dyDescent="0.25">
      <c r="H20" s="1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795</v>
      </c>
      <c r="L21" s="10" t="s">
        <v>39</v>
      </c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798</v>
      </c>
      <c r="E23" s="33"/>
      <c r="F23" t="s">
        <v>264</v>
      </c>
      <c r="G23" t="s">
        <v>93</v>
      </c>
      <c r="H23">
        <f>RANK(L23,L$23:L$43,1)</f>
        <v>3</v>
      </c>
      <c r="I23" s="4">
        <v>601183</v>
      </c>
      <c r="J23" s="4">
        <v>1600000</v>
      </c>
      <c r="K23" s="4">
        <v>72000</v>
      </c>
      <c r="L23" s="4">
        <f>+I23+J23+K23</f>
        <v>2273183</v>
      </c>
      <c r="M23" s="22"/>
      <c r="N23" s="22"/>
      <c r="O23" s="22"/>
    </row>
    <row r="24" spans="3:15" x14ac:dyDescent="0.25">
      <c r="C24" s="33" t="str">
        <f>IF(H24=1,"u","")</f>
        <v/>
      </c>
      <c r="D24" s="11" t="s">
        <v>347</v>
      </c>
      <c r="E24" s="33"/>
      <c r="F24" t="s">
        <v>147</v>
      </c>
      <c r="G24" t="s">
        <v>93</v>
      </c>
      <c r="H24">
        <f>RANK(L24,L$23:L$43,1)</f>
        <v>2</v>
      </c>
      <c r="I24" s="4">
        <v>495610</v>
      </c>
      <c r="J24" s="4">
        <v>1444060</v>
      </c>
      <c r="K24" s="4">
        <v>240000</v>
      </c>
      <c r="L24" s="4">
        <f>+I24+J24+K24</f>
        <v>2179670</v>
      </c>
      <c r="M24" s="22"/>
      <c r="N24" s="22"/>
      <c r="O24" s="22"/>
    </row>
    <row r="25" spans="3:15" x14ac:dyDescent="0.25">
      <c r="C25" s="33" t="str">
        <f>IF(H25=1,"u","")</f>
        <v/>
      </c>
      <c r="D25" s="11" t="s">
        <v>799</v>
      </c>
      <c r="E25" s="33"/>
      <c r="F25" t="s">
        <v>391</v>
      </c>
      <c r="G25" t="s">
        <v>93</v>
      </c>
      <c r="H25">
        <f>RANK(L25,L$23:L$43,1)</f>
        <v>5</v>
      </c>
      <c r="I25" s="4">
        <v>1180695</v>
      </c>
      <c r="J25" s="4">
        <v>1712271</v>
      </c>
      <c r="K25" s="4">
        <v>540000</v>
      </c>
      <c r="L25" s="4">
        <f>+I25+J25+K25</f>
        <v>3432966</v>
      </c>
      <c r="M25" s="22"/>
      <c r="N25" s="22"/>
      <c r="O25" s="22"/>
    </row>
    <row r="26" spans="3:15" x14ac:dyDescent="0.25">
      <c r="C26" s="33" t="str">
        <f t="shared" ref="C26:C43" si="0">IF(H26=1,"u","")</f>
        <v>u</v>
      </c>
      <c r="D26" s="11" t="s">
        <v>665</v>
      </c>
      <c r="E26" s="33"/>
      <c r="F26" t="s">
        <v>413</v>
      </c>
      <c r="G26" t="s">
        <v>93</v>
      </c>
      <c r="H26">
        <f>RANK(L26,L$23:L$43,1)</f>
        <v>1</v>
      </c>
      <c r="I26" s="4">
        <v>911525</v>
      </c>
      <c r="J26" s="4">
        <v>763700</v>
      </c>
      <c r="K26" s="4">
        <v>228000</v>
      </c>
      <c r="L26" s="4">
        <f>+I26+J26+K26</f>
        <v>1903225</v>
      </c>
      <c r="M26" s="22"/>
      <c r="N26" s="22"/>
      <c r="O26" s="22"/>
    </row>
    <row r="27" spans="3:15" x14ac:dyDescent="0.25">
      <c r="C27" s="33" t="str">
        <f t="shared" si="0"/>
        <v/>
      </c>
      <c r="D27" s="11" t="s">
        <v>680</v>
      </c>
      <c r="E27" s="33"/>
      <c r="F27" t="s">
        <v>532</v>
      </c>
      <c r="G27" t="s">
        <v>93</v>
      </c>
      <c r="H27">
        <f>RANK(L27,L$23:L$43,1)</f>
        <v>4</v>
      </c>
      <c r="I27" s="4">
        <v>658120</v>
      </c>
      <c r="J27" s="4">
        <v>2177880</v>
      </c>
      <c r="K27" s="4">
        <v>396000</v>
      </c>
      <c r="L27" s="4">
        <f>+I27+J27+K27</f>
        <v>3232000</v>
      </c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/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ref="E30:E43" si="1">IF(H30=1,"t","")</f>
        <v/>
      </c>
      <c r="I30" s="4"/>
      <c r="J30" s="4"/>
      <c r="K30" s="7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7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7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I33" s="4"/>
      <c r="J33" s="4"/>
      <c r="K33" s="7"/>
      <c r="L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K34" s="7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K35" s="7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K36" s="7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K37" s="7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K38" s="7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K39" s="7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K40" s="7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K41" s="7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K42" s="7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K43" s="7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  <c r="M47" s="21"/>
      <c r="N47" s="21"/>
      <c r="O47" s="21"/>
    </row>
  </sheetData>
  <mergeCells count="1">
    <mergeCell ref="G13:H13"/>
  </mergeCells>
  <conditionalFormatting sqref="I9 F11">
    <cfRule type="containsText" dxfId="1100" priority="8" operator="containsText" text="FAIL">
      <formula>NOT(ISERROR(SEARCH("FAIL",F9)))</formula>
    </cfRule>
  </conditionalFormatting>
  <conditionalFormatting sqref="I9 F11">
    <cfRule type="containsText" dxfId="1099" priority="7" operator="containsText" text="GOOD">
      <formula>NOT(ISERROR(SEARCH("GOOD",F9)))</formula>
    </cfRule>
  </conditionalFormatting>
  <conditionalFormatting sqref="I9">
    <cfRule type="containsText" dxfId="1098" priority="6" operator="containsText" text="FAIL">
      <formula>NOT(ISERROR(SEARCH("FAIL",I9)))</formula>
    </cfRule>
  </conditionalFormatting>
  <conditionalFormatting sqref="I9">
    <cfRule type="containsText" dxfId="1097" priority="5" operator="containsText" text="GOOD">
      <formula>NOT(ISERROR(SEARCH("GOOD",I9)))</formula>
    </cfRule>
  </conditionalFormatting>
  <conditionalFormatting sqref="D25">
    <cfRule type="expression" dxfId="1096" priority="4" stopIfTrue="1">
      <formula>IF($H$25=1,0)</formula>
    </cfRule>
  </conditionalFormatting>
  <conditionalFormatting sqref="D23:D43">
    <cfRule type="expression" dxfId="1095" priority="3">
      <formula>H23=1</formula>
    </cfRule>
  </conditionalFormatting>
  <conditionalFormatting sqref="C23:C43">
    <cfRule type="expression" dxfId="1094" priority="2">
      <formula>H23=1</formula>
    </cfRule>
  </conditionalFormatting>
  <conditionalFormatting sqref="E23:E43">
    <cfRule type="expression" dxfId="1093" priority="1">
      <formula>H23=1</formula>
    </cfRule>
  </conditionalFormatting>
  <pageMargins left="0.7" right="0.7" top="0.75" bottom="0.75" header="0.3" footer="0.3"/>
  <pageSetup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2:O47"/>
  <sheetViews>
    <sheetView zoomScaleNormal="100" workbookViewId="0">
      <selection activeCell="L28" sqref="L2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783</v>
      </c>
      <c r="I4" s="2" t="s">
        <v>4</v>
      </c>
      <c r="J4" t="s">
        <v>784</v>
      </c>
    </row>
    <row r="5" spans="1:11" x14ac:dyDescent="0.25">
      <c r="D5" s="2" t="s">
        <v>1</v>
      </c>
      <c r="F5" t="s">
        <v>785</v>
      </c>
    </row>
    <row r="6" spans="1:11" x14ac:dyDescent="0.25">
      <c r="D6" s="2" t="s">
        <v>2</v>
      </c>
      <c r="F6" s="6">
        <v>42703</v>
      </c>
      <c r="H6" s="11"/>
    </row>
    <row r="7" spans="1:11" x14ac:dyDescent="0.25">
      <c r="D7" s="2" t="s">
        <v>3</v>
      </c>
      <c r="F7" s="5">
        <v>1763000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2233850</v>
      </c>
      <c r="H8" s="11"/>
    </row>
    <row r="9" spans="1:11" x14ac:dyDescent="0.25">
      <c r="D9" s="2" t="s">
        <v>67</v>
      </c>
      <c r="F9" s="4">
        <f>+F8-F7</f>
        <v>470850</v>
      </c>
      <c r="G9" s="16">
        <f>+F9/F7</f>
        <v>0.26707317073170733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-731277.5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2494277.5</v>
      </c>
      <c r="G12" s="14"/>
      <c r="H12" s="11">
        <f>COUNT(I23:I43)</f>
        <v>2</v>
      </c>
      <c r="I12" s="1" t="s">
        <v>31</v>
      </c>
      <c r="J12" s="4">
        <f>+F8*0.9</f>
        <v>2010465</v>
      </c>
      <c r="K12" s="1" t="s">
        <v>69</v>
      </c>
    </row>
    <row r="13" spans="1:11" x14ac:dyDescent="0.25">
      <c r="D13" s="2" t="s">
        <v>29</v>
      </c>
      <c r="F13" s="4">
        <f>MAX(I23:I43)-MIN(I23:I43)</f>
        <v>520855</v>
      </c>
      <c r="G13" s="269">
        <f>MEDIAN(I23:I43)</f>
        <v>2494277.5</v>
      </c>
      <c r="H13" s="270"/>
      <c r="I13" s="1" t="s">
        <v>30</v>
      </c>
      <c r="J13" s="4">
        <f>+F12*1.1</f>
        <v>2743705.25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786</v>
      </c>
      <c r="E23" s="33"/>
      <c r="F23" t="s">
        <v>787</v>
      </c>
      <c r="G23" t="s">
        <v>93</v>
      </c>
      <c r="H23">
        <f>RANK(I23,I$23:I$43,1)</f>
        <v>1</v>
      </c>
      <c r="I23" s="4">
        <v>2233850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788</v>
      </c>
      <c r="E24" s="33"/>
      <c r="F24" t="s">
        <v>115</v>
      </c>
      <c r="G24" t="s">
        <v>25</v>
      </c>
      <c r="H24">
        <f>RANK(I24,I$23:I$43,1)</f>
        <v>2</v>
      </c>
      <c r="I24" s="4">
        <v>2754705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092" priority="13" operator="containsText" text="FAIL">
      <formula>NOT(ISERROR(SEARCH("FAIL",I9)))</formula>
    </cfRule>
  </conditionalFormatting>
  <conditionalFormatting sqref="I9">
    <cfRule type="containsText" dxfId="1091" priority="12" operator="containsText" text="GOOD">
      <formula>NOT(ISERROR(SEARCH("GOOD",I9)))</formula>
    </cfRule>
  </conditionalFormatting>
  <conditionalFormatting sqref="F11">
    <cfRule type="containsText" dxfId="1090" priority="11" operator="containsText" text="FAIL">
      <formula>NOT(ISERROR(SEARCH("FAIL",F11)))</formula>
    </cfRule>
  </conditionalFormatting>
  <conditionalFormatting sqref="F11">
    <cfRule type="containsText" dxfId="1089" priority="10" operator="containsText" text="GOOD">
      <formula>NOT(ISERROR(SEARCH("GOOD",F11)))</formula>
    </cfRule>
  </conditionalFormatting>
  <conditionalFormatting sqref="D25">
    <cfRule type="expression" dxfId="1088" priority="9" stopIfTrue="1">
      <formula>IF($H$25=1,0)</formula>
    </cfRule>
  </conditionalFormatting>
  <conditionalFormatting sqref="D23:D26 D29:D43">
    <cfRule type="expression" dxfId="1087" priority="8">
      <formula>H23=1</formula>
    </cfRule>
  </conditionalFormatting>
  <conditionalFormatting sqref="C23:C26 C29:C43">
    <cfRule type="expression" dxfId="1086" priority="7">
      <formula>H23=1</formula>
    </cfRule>
  </conditionalFormatting>
  <conditionalFormatting sqref="E23:E26 E29:E43">
    <cfRule type="expression" dxfId="1085" priority="6">
      <formula>H23=1</formula>
    </cfRule>
  </conditionalFormatting>
  <conditionalFormatting sqref="F11">
    <cfRule type="containsText" dxfId="1084" priority="5" operator="containsText" text="FAIL">
      <formula>NOT(ISERROR(SEARCH("FAIL",F11)))</formula>
    </cfRule>
  </conditionalFormatting>
  <conditionalFormatting sqref="F11">
    <cfRule type="containsText" dxfId="1083" priority="4" operator="containsText" text="GOOD">
      <formula>NOT(ISERROR(SEARCH("GOOD",F11)))</formula>
    </cfRule>
  </conditionalFormatting>
  <conditionalFormatting sqref="D27:D28">
    <cfRule type="expression" dxfId="1082" priority="3">
      <formula>H27=1</formula>
    </cfRule>
  </conditionalFormatting>
  <conditionalFormatting sqref="C27:C28">
    <cfRule type="expression" dxfId="1081" priority="2">
      <formula>H27=1</formula>
    </cfRule>
  </conditionalFormatting>
  <conditionalFormatting sqref="E27:E28">
    <cfRule type="expression" dxfId="1080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>
    <tabColor rgb="FFFF0000"/>
  </sheetPr>
  <dimension ref="A2:O47"/>
  <sheetViews>
    <sheetView zoomScaleNormal="100" workbookViewId="0">
      <selection activeCell="M18" sqref="M1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776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777</v>
      </c>
    </row>
    <row r="6" spans="1:11" x14ac:dyDescent="0.25">
      <c r="D6" s="2" t="s">
        <v>2</v>
      </c>
      <c r="F6" s="6">
        <v>42691</v>
      </c>
      <c r="H6" s="11"/>
    </row>
    <row r="7" spans="1:11" x14ac:dyDescent="0.25">
      <c r="D7" s="2" t="s">
        <v>3</v>
      </c>
      <c r="F7" s="5">
        <v>1400000</v>
      </c>
      <c r="G7" s="2" t="s">
        <v>693</v>
      </c>
      <c r="H7" s="11"/>
    </row>
    <row r="8" spans="1:11" x14ac:dyDescent="0.25">
      <c r="D8" s="2" t="s">
        <v>18</v>
      </c>
      <c r="F8" s="5">
        <f>MIN(I23:I43)</f>
        <v>529000</v>
      </c>
      <c r="H8" s="11"/>
    </row>
    <row r="9" spans="1:11" x14ac:dyDescent="0.25">
      <c r="D9" s="2" t="s">
        <v>67</v>
      </c>
      <c r="F9" s="4">
        <f>+F8-F7</f>
        <v>-871000</v>
      </c>
      <c r="G9" s="16">
        <f>+F9/F7</f>
        <v>-0.62214285714285711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-547624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1947624</v>
      </c>
      <c r="G12" s="14"/>
      <c r="H12" s="11">
        <f>COUNT(I23:I43)</f>
        <v>6</v>
      </c>
      <c r="I12" s="1" t="s">
        <v>31</v>
      </c>
      <c r="J12" s="4">
        <f>+F8*0.9</f>
        <v>476100</v>
      </c>
      <c r="K12" s="1" t="s">
        <v>69</v>
      </c>
    </row>
    <row r="13" spans="1:11" x14ac:dyDescent="0.25">
      <c r="D13" s="2" t="s">
        <v>29</v>
      </c>
      <c r="F13" s="4">
        <f>MAX(I23:I43)-MIN(I23:I43)</f>
        <v>2901000</v>
      </c>
      <c r="G13" s="269">
        <f>MEDIAN(I23:I43)</f>
        <v>1709372</v>
      </c>
      <c r="H13" s="270"/>
      <c r="I13" s="1" t="s">
        <v>30</v>
      </c>
      <c r="J13" s="4">
        <f>+F12*1.1</f>
        <v>2142386.4000000004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792</v>
      </c>
      <c r="E23" s="33"/>
      <c r="F23" t="s">
        <v>778</v>
      </c>
      <c r="G23" t="s">
        <v>25</v>
      </c>
      <c r="H23">
        <f t="shared" ref="H23:H28" si="0">RANK(I23,I$23:I$43,1)</f>
        <v>6</v>
      </c>
      <c r="I23" s="4">
        <v>3430000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708</v>
      </c>
      <c r="E24" s="33"/>
      <c r="F24" t="s">
        <v>709</v>
      </c>
      <c r="G24" t="s">
        <v>93</v>
      </c>
      <c r="H24">
        <f t="shared" si="0"/>
        <v>4</v>
      </c>
      <c r="I24" s="4">
        <v>1765000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779</v>
      </c>
      <c r="E25" s="33"/>
      <c r="F25" t="s">
        <v>109</v>
      </c>
      <c r="G25" t="s">
        <v>25</v>
      </c>
      <c r="H25">
        <f t="shared" si="0"/>
        <v>1</v>
      </c>
      <c r="I25" s="4">
        <v>529000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11" t="s">
        <v>725</v>
      </c>
      <c r="E26" s="33"/>
      <c r="F26" t="s">
        <v>780</v>
      </c>
      <c r="G26" t="s">
        <v>25</v>
      </c>
      <c r="H26">
        <f t="shared" si="0"/>
        <v>5</v>
      </c>
      <c r="I26" s="4">
        <v>2700000</v>
      </c>
      <c r="J26" s="4"/>
      <c r="K26" s="4"/>
      <c r="L26" s="4"/>
      <c r="M26" s="22"/>
      <c r="N26" s="22"/>
      <c r="O26" s="22"/>
    </row>
    <row r="27" spans="3:15" x14ac:dyDescent="0.25">
      <c r="C27" s="33" t="str">
        <f>IF(H27=1,"u","")</f>
        <v/>
      </c>
      <c r="D27" s="11" t="s">
        <v>781</v>
      </c>
      <c r="E27" s="33"/>
      <c r="F27" t="s">
        <v>92</v>
      </c>
      <c r="G27" t="s">
        <v>93</v>
      </c>
      <c r="H27">
        <f t="shared" si="0"/>
        <v>2</v>
      </c>
      <c r="I27" s="4">
        <v>1608000</v>
      </c>
      <c r="J27" s="4"/>
      <c r="K27" s="4"/>
      <c r="L27" s="4"/>
      <c r="M27" s="22"/>
      <c r="N27" s="22"/>
      <c r="O27" s="22"/>
    </row>
    <row r="28" spans="3:15" x14ac:dyDescent="0.25">
      <c r="C28" s="33" t="str">
        <f>IF(H28=1,"u","")</f>
        <v/>
      </c>
      <c r="D28" s="11" t="s">
        <v>446</v>
      </c>
      <c r="E28" s="33"/>
      <c r="F28" t="s">
        <v>95</v>
      </c>
      <c r="G28" t="s">
        <v>93</v>
      </c>
      <c r="H28">
        <f t="shared" si="0"/>
        <v>3</v>
      </c>
      <c r="I28" s="4">
        <v>1653744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ref="E34:E43" si="2">IF(H34=1,"t","")</f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079" priority="13" operator="containsText" text="FAIL">
      <formula>NOT(ISERROR(SEARCH("FAIL",I9)))</formula>
    </cfRule>
  </conditionalFormatting>
  <conditionalFormatting sqref="I9">
    <cfRule type="containsText" dxfId="1078" priority="12" operator="containsText" text="GOOD">
      <formula>NOT(ISERROR(SEARCH("GOOD",I9)))</formula>
    </cfRule>
  </conditionalFormatting>
  <conditionalFormatting sqref="F11">
    <cfRule type="containsText" dxfId="1077" priority="11" operator="containsText" text="FAIL">
      <formula>NOT(ISERROR(SEARCH("FAIL",F11)))</formula>
    </cfRule>
  </conditionalFormatting>
  <conditionalFormatting sqref="F11">
    <cfRule type="containsText" dxfId="1076" priority="10" operator="containsText" text="GOOD">
      <formula>NOT(ISERROR(SEARCH("GOOD",F11)))</formula>
    </cfRule>
  </conditionalFormatting>
  <conditionalFormatting sqref="D25">
    <cfRule type="expression" dxfId="1075" priority="9" stopIfTrue="1">
      <formula>IF($H$25=1,0)</formula>
    </cfRule>
  </conditionalFormatting>
  <conditionalFormatting sqref="D23:D26 D29:D43">
    <cfRule type="expression" dxfId="1074" priority="8">
      <formula>H23=1</formula>
    </cfRule>
  </conditionalFormatting>
  <conditionalFormatting sqref="C23:C26 C29:C43">
    <cfRule type="expression" dxfId="1073" priority="7">
      <formula>H23=1</formula>
    </cfRule>
  </conditionalFormatting>
  <conditionalFormatting sqref="E23:E26 E29:E43">
    <cfRule type="expression" dxfId="1072" priority="6">
      <formula>H23=1</formula>
    </cfRule>
  </conditionalFormatting>
  <conditionalFormatting sqref="F11">
    <cfRule type="containsText" dxfId="1071" priority="5" operator="containsText" text="FAIL">
      <formula>NOT(ISERROR(SEARCH("FAIL",F11)))</formula>
    </cfRule>
  </conditionalFormatting>
  <conditionalFormatting sqref="F11">
    <cfRule type="containsText" dxfId="1070" priority="4" operator="containsText" text="GOOD">
      <formula>NOT(ISERROR(SEARCH("GOOD",F11)))</formula>
    </cfRule>
  </conditionalFormatting>
  <conditionalFormatting sqref="D27:D28">
    <cfRule type="expression" dxfId="1069" priority="3">
      <formula>H27=1</formula>
    </cfRule>
  </conditionalFormatting>
  <conditionalFormatting sqref="C27:C28">
    <cfRule type="expression" dxfId="1068" priority="2">
      <formula>H27=1</formula>
    </cfRule>
  </conditionalFormatting>
  <conditionalFormatting sqref="E27:E28">
    <cfRule type="expression" dxfId="1067" priority="1">
      <formula>H27=1</formula>
    </cfRule>
  </conditionalFormatting>
  <pageMargins left="0.7" right="0.7" top="0.75" bottom="0.75" header="0.3" footer="0.3"/>
  <pageSetup scale="68" orientation="portrait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2:O47"/>
  <sheetViews>
    <sheetView workbookViewId="0">
      <selection activeCell="D26" sqref="D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770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771</v>
      </c>
    </row>
    <row r="6" spans="1:11" x14ac:dyDescent="0.25">
      <c r="D6" s="2" t="s">
        <v>2</v>
      </c>
      <c r="F6" s="6">
        <v>42681</v>
      </c>
      <c r="H6" s="11"/>
    </row>
    <row r="7" spans="1:11" x14ac:dyDescent="0.25">
      <c r="D7" s="2" t="s">
        <v>3</v>
      </c>
      <c r="F7" s="5">
        <f>+I7+J7</f>
        <v>850000</v>
      </c>
      <c r="G7" s="2" t="s">
        <v>190</v>
      </c>
      <c r="H7" s="11"/>
      <c r="I7" s="19">
        <v>221000</v>
      </c>
      <c r="J7" s="19">
        <v>629000</v>
      </c>
    </row>
    <row r="8" spans="1:11" x14ac:dyDescent="0.25">
      <c r="D8" s="2" t="s">
        <v>18</v>
      </c>
      <c r="F8" s="5">
        <f>MIN(K23:K43)</f>
        <v>651800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-198200</v>
      </c>
      <c r="G9" s="16">
        <f>+F9/F7</f>
        <v>-0.23317647058823529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-181448.11111111112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1031448.1111111111</v>
      </c>
      <c r="G12" s="14"/>
      <c r="H12" s="11">
        <f>COUNT(K23:K43)</f>
        <v>9</v>
      </c>
      <c r="I12" s="1" t="s">
        <v>31</v>
      </c>
      <c r="J12" s="4">
        <f>+F8*0.9</f>
        <v>586620</v>
      </c>
      <c r="K12" s="1" t="s">
        <v>69</v>
      </c>
    </row>
    <row r="13" spans="1:11" x14ac:dyDescent="0.25">
      <c r="D13" s="2" t="s">
        <v>29</v>
      </c>
      <c r="F13" s="4">
        <f>MAX(K23:K43)-MIN(K23:K43)</f>
        <v>797339</v>
      </c>
      <c r="G13" s="269">
        <f>MEDIAN(K23:K43)</f>
        <v>983974</v>
      </c>
      <c r="H13" s="270"/>
      <c r="I13" s="1" t="s">
        <v>30</v>
      </c>
      <c r="J13" s="4">
        <f>+F12*1.1</f>
        <v>1134592.9222222224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2.8813559322033899E-2</v>
      </c>
    </row>
    <row r="18" spans="3:15" x14ac:dyDescent="0.25">
      <c r="F18" s="4">
        <f>+F7</f>
        <v>850000</v>
      </c>
      <c r="G18" s="1" t="s">
        <v>12</v>
      </c>
      <c r="H18" s="11"/>
      <c r="I18" t="s">
        <v>16</v>
      </c>
      <c r="J18" s="7">
        <f>+F8/F18</f>
        <v>0.76682352941176468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2.1726666666666665E-2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772</v>
      </c>
      <c r="E23" s="33"/>
      <c r="F23" t="s">
        <v>222</v>
      </c>
      <c r="G23" t="s">
        <v>25</v>
      </c>
      <c r="H23">
        <f>RANK(K23,K$23:K$43,1)</f>
        <v>9</v>
      </c>
      <c r="I23" s="4">
        <v>193725</v>
      </c>
      <c r="J23" s="4">
        <v>1255414</v>
      </c>
      <c r="K23" s="4">
        <f>+J23+I23</f>
        <v>1449139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440</v>
      </c>
      <c r="E24" s="33"/>
      <c r="F24" t="s">
        <v>193</v>
      </c>
      <c r="G24" t="s">
        <v>25</v>
      </c>
      <c r="H24">
        <f t="shared" ref="H24:H29" si="0">RANK(K24,K$23:K$43,1)</f>
        <v>2</v>
      </c>
      <c r="I24" s="4">
        <v>174036</v>
      </c>
      <c r="J24" s="4">
        <v>524335</v>
      </c>
      <c r="K24" s="4">
        <f t="shared" ref="K24:K29" si="1">+J24+I24</f>
        <v>698371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773</v>
      </c>
      <c r="E25" s="33"/>
      <c r="F25" t="s">
        <v>407</v>
      </c>
      <c r="G25" t="s">
        <v>93</v>
      </c>
      <c r="H25">
        <f t="shared" si="0"/>
        <v>8</v>
      </c>
      <c r="I25" s="4">
        <v>315975</v>
      </c>
      <c r="J25" s="4">
        <v>1107000</v>
      </c>
      <c r="K25" s="4">
        <f t="shared" si="1"/>
        <v>1422975</v>
      </c>
      <c r="L25" s="4"/>
      <c r="M25" s="22"/>
      <c r="N25" s="22"/>
      <c r="O25" s="22"/>
    </row>
    <row r="26" spans="3:15" x14ac:dyDescent="0.25">
      <c r="C26" s="33"/>
      <c r="D26" s="11" t="s">
        <v>438</v>
      </c>
      <c r="E26" s="33"/>
      <c r="F26" t="s">
        <v>131</v>
      </c>
      <c r="G26" t="s">
        <v>25</v>
      </c>
      <c r="H26">
        <f t="shared" si="0"/>
        <v>1</v>
      </c>
      <c r="I26" s="4">
        <v>199575</v>
      </c>
      <c r="J26" s="4">
        <v>452225</v>
      </c>
      <c r="K26" s="4">
        <f t="shared" si="1"/>
        <v>651800</v>
      </c>
      <c r="L26" s="4"/>
      <c r="M26" s="22"/>
      <c r="N26" s="22"/>
      <c r="O26" s="22"/>
    </row>
    <row r="27" spans="3:15" x14ac:dyDescent="0.25">
      <c r="C27" s="33"/>
      <c r="D27" s="11" t="s">
        <v>774</v>
      </c>
      <c r="E27" s="33"/>
      <c r="F27" t="s">
        <v>147</v>
      </c>
      <c r="G27" t="s">
        <v>93</v>
      </c>
      <c r="H27">
        <f t="shared" si="0"/>
        <v>4</v>
      </c>
      <c r="I27" s="4">
        <v>201500</v>
      </c>
      <c r="J27" s="4">
        <v>706260</v>
      </c>
      <c r="K27" s="4">
        <f t="shared" si="1"/>
        <v>907760</v>
      </c>
      <c r="L27" s="4"/>
      <c r="M27" s="22"/>
      <c r="N27" s="22"/>
      <c r="O27" s="22"/>
    </row>
    <row r="28" spans="3:15" x14ac:dyDescent="0.25">
      <c r="C28" s="33"/>
      <c r="D28" s="11" t="s">
        <v>665</v>
      </c>
      <c r="E28" s="33"/>
      <c r="F28" t="s">
        <v>413</v>
      </c>
      <c r="G28" t="s">
        <v>93</v>
      </c>
      <c r="H28">
        <f t="shared" si="0"/>
        <v>3</v>
      </c>
      <c r="I28" s="4">
        <v>178650</v>
      </c>
      <c r="J28" s="4">
        <v>590207</v>
      </c>
      <c r="K28" s="4">
        <f t="shared" si="1"/>
        <v>768857</v>
      </c>
      <c r="L28" s="4"/>
      <c r="M28" s="22"/>
      <c r="N28" s="22"/>
      <c r="O28" s="22"/>
    </row>
    <row r="29" spans="3:15" x14ac:dyDescent="0.25">
      <c r="C29" s="33"/>
      <c r="D29" s="11" t="s">
        <v>439</v>
      </c>
      <c r="E29" s="33"/>
      <c r="F29" t="s">
        <v>147</v>
      </c>
      <c r="G29" t="s">
        <v>93</v>
      </c>
      <c r="H29">
        <f t="shared" si="0"/>
        <v>5</v>
      </c>
      <c r="I29" s="4">
        <v>215385</v>
      </c>
      <c r="J29" s="4">
        <v>768589</v>
      </c>
      <c r="K29" s="4">
        <f t="shared" si="1"/>
        <v>983974</v>
      </c>
      <c r="L29" s="4"/>
      <c r="M29" s="22"/>
      <c r="N29" s="22"/>
      <c r="O29" s="22"/>
    </row>
    <row r="30" spans="3:15" x14ac:dyDescent="0.25">
      <c r="C30" s="33"/>
      <c r="D30" s="11" t="s">
        <v>676</v>
      </c>
      <c r="E30" s="33"/>
      <c r="F30" t="s">
        <v>85</v>
      </c>
      <c r="G30" t="s">
        <v>25</v>
      </c>
      <c r="H30">
        <f>RANK(K30,K$23:K$43,1)</f>
        <v>7</v>
      </c>
      <c r="I30" s="4">
        <v>422875</v>
      </c>
      <c r="J30" s="4">
        <v>934662</v>
      </c>
      <c r="K30" s="4">
        <f>+J30+I30</f>
        <v>1357537</v>
      </c>
      <c r="L30" s="4"/>
      <c r="M30" s="22"/>
      <c r="N30" s="22"/>
      <c r="O30" s="22"/>
    </row>
    <row r="31" spans="3:15" x14ac:dyDescent="0.25">
      <c r="C31" s="33"/>
      <c r="D31" s="11" t="s">
        <v>542</v>
      </c>
      <c r="E31" s="33"/>
      <c r="F31" t="s">
        <v>161</v>
      </c>
      <c r="G31" t="s">
        <v>93</v>
      </c>
      <c r="H31">
        <f>RANK(K31,K$23:K$43,1)</f>
        <v>6</v>
      </c>
      <c r="I31" s="4">
        <v>145020</v>
      </c>
      <c r="J31" s="4">
        <v>897600</v>
      </c>
      <c r="K31" s="4">
        <f>+J31+I31</f>
        <v>1042620</v>
      </c>
      <c r="L31" s="4"/>
      <c r="M31" s="22"/>
      <c r="N31" s="22"/>
      <c r="O31" s="22"/>
    </row>
    <row r="32" spans="3:15" x14ac:dyDescent="0.25">
      <c r="C32" s="33"/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/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/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/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ref="C36:C43" si="2">IF(H36=1,"u","")</f>
        <v/>
      </c>
      <c r="D36" s="11"/>
      <c r="E36" s="33" t="str">
        <f t="shared" ref="E36:E43" si="3">IF(H36=1,"t","")</f>
        <v/>
      </c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066" priority="27" operator="containsText" text="FAIL">
      <formula>NOT(ISERROR(SEARCH("FAIL",I9)))</formula>
    </cfRule>
  </conditionalFormatting>
  <conditionalFormatting sqref="I9">
    <cfRule type="containsText" dxfId="1065" priority="26" operator="containsText" text="GOOD">
      <formula>NOT(ISERROR(SEARCH("GOOD",I9)))</formula>
    </cfRule>
  </conditionalFormatting>
  <conditionalFormatting sqref="I9">
    <cfRule type="containsText" dxfId="1064" priority="25" operator="containsText" text="FAIL">
      <formula>NOT(ISERROR(SEARCH("FAIL",I9)))</formula>
    </cfRule>
  </conditionalFormatting>
  <conditionalFormatting sqref="I9">
    <cfRule type="containsText" dxfId="1063" priority="24" operator="containsText" text="GOOD">
      <formula>NOT(ISERROR(SEARCH("GOOD",I9)))</formula>
    </cfRule>
  </conditionalFormatting>
  <conditionalFormatting sqref="I9">
    <cfRule type="containsText" dxfId="1062" priority="23" operator="containsText" text="FAIL">
      <formula>NOT(ISERROR(SEARCH("FAIL",I9)))</formula>
    </cfRule>
  </conditionalFormatting>
  <conditionalFormatting sqref="I9">
    <cfRule type="containsText" dxfId="1061" priority="22" operator="containsText" text="GOOD">
      <formula>NOT(ISERROR(SEARCH("GOOD",I9)))</formula>
    </cfRule>
  </conditionalFormatting>
  <conditionalFormatting sqref="F11">
    <cfRule type="containsText" dxfId="1060" priority="21" operator="containsText" text="FAIL">
      <formula>NOT(ISERROR(SEARCH("FAIL",F11)))</formula>
    </cfRule>
  </conditionalFormatting>
  <conditionalFormatting sqref="F11">
    <cfRule type="containsText" dxfId="1059" priority="20" operator="containsText" text="GOOD">
      <formula>NOT(ISERROR(SEARCH("GOOD",F11)))</formula>
    </cfRule>
  </conditionalFormatting>
  <conditionalFormatting sqref="I9">
    <cfRule type="containsText" dxfId="1058" priority="19" operator="containsText" text="FAIL">
      <formula>NOT(ISERROR(SEARCH("FAIL",I9)))</formula>
    </cfRule>
  </conditionalFormatting>
  <conditionalFormatting sqref="I9">
    <cfRule type="containsText" dxfId="1057" priority="18" operator="containsText" text="GOOD">
      <formula>NOT(ISERROR(SEARCH("GOOD",I9)))</formula>
    </cfRule>
  </conditionalFormatting>
  <conditionalFormatting sqref="F11">
    <cfRule type="containsText" dxfId="1056" priority="17" operator="containsText" text="FAIL">
      <formula>NOT(ISERROR(SEARCH("FAIL",F11)))</formula>
    </cfRule>
  </conditionalFormatting>
  <conditionalFormatting sqref="F11">
    <cfRule type="containsText" dxfId="1055" priority="16" operator="containsText" text="GOOD">
      <formula>NOT(ISERROR(SEARCH("GOOD",F11)))</formula>
    </cfRule>
  </conditionalFormatting>
  <conditionalFormatting sqref="D25">
    <cfRule type="expression" dxfId="1054" priority="15" stopIfTrue="1">
      <formula>IF($H$25=1,0)</formula>
    </cfRule>
  </conditionalFormatting>
  <conditionalFormatting sqref="D23:D29 D36:D43 D32:D33">
    <cfRule type="expression" dxfId="1053" priority="14">
      <formula>H23=1</formula>
    </cfRule>
  </conditionalFormatting>
  <conditionalFormatting sqref="C23:C29 C36:C43 C32:C33">
    <cfRule type="expression" dxfId="1052" priority="13">
      <formula>H23=1</formula>
    </cfRule>
  </conditionalFormatting>
  <conditionalFormatting sqref="E23:E29 E36:E43 E32:E33">
    <cfRule type="expression" dxfId="1051" priority="12">
      <formula>H23=1</formula>
    </cfRule>
  </conditionalFormatting>
  <conditionalFormatting sqref="E23:E29 E36:E43 E32:E33">
    <cfRule type="expression" dxfId="1050" priority="11">
      <formula>H23=1</formula>
    </cfRule>
  </conditionalFormatting>
  <conditionalFormatting sqref="F11">
    <cfRule type="containsText" dxfId="1049" priority="10" operator="containsText" text="FAIL">
      <formula>NOT(ISERROR(SEARCH("FAIL",F11)))</formula>
    </cfRule>
  </conditionalFormatting>
  <conditionalFormatting sqref="F11">
    <cfRule type="containsText" dxfId="1048" priority="9" operator="containsText" text="GOOD">
      <formula>NOT(ISERROR(SEARCH("GOOD",F11)))</formula>
    </cfRule>
  </conditionalFormatting>
  <conditionalFormatting sqref="D34:D35">
    <cfRule type="expression" dxfId="1047" priority="8">
      <formula>H34=1</formula>
    </cfRule>
  </conditionalFormatting>
  <conditionalFormatting sqref="C34:C35">
    <cfRule type="expression" dxfId="1046" priority="7">
      <formula>H34=1</formula>
    </cfRule>
  </conditionalFormatting>
  <conditionalFormatting sqref="E34:E35">
    <cfRule type="expression" dxfId="1045" priority="6">
      <formula>H34=1</formula>
    </cfRule>
  </conditionalFormatting>
  <conditionalFormatting sqref="E34:E35">
    <cfRule type="expression" dxfId="1044" priority="5">
      <formula>H34=1</formula>
    </cfRule>
  </conditionalFormatting>
  <conditionalFormatting sqref="D30:D31">
    <cfRule type="expression" dxfId="1043" priority="4">
      <formula>H30=1</formula>
    </cfRule>
  </conditionalFormatting>
  <conditionalFormatting sqref="C30:C31">
    <cfRule type="expression" dxfId="1042" priority="3">
      <formula>H30=1</formula>
    </cfRule>
  </conditionalFormatting>
  <conditionalFormatting sqref="E30:E31">
    <cfRule type="expression" dxfId="1041" priority="2">
      <formula>H30=1</formula>
    </cfRule>
  </conditionalFormatting>
  <conditionalFormatting sqref="E30:E31">
    <cfRule type="expression" dxfId="1040" priority="1">
      <formula>H30=1</formula>
    </cfRule>
  </conditionalFormatting>
  <pageMargins left="0.7" right="0.7" top="0.75" bottom="0.75" header="0.3" footer="0.3"/>
  <pageSetup orientation="portrait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2:O47"/>
  <sheetViews>
    <sheetView zoomScaleNormal="100" workbookViewId="0">
      <selection activeCell="K24" sqref="K2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754</v>
      </c>
      <c r="I4" s="2" t="s">
        <v>4</v>
      </c>
      <c r="J4" t="s">
        <v>616</v>
      </c>
    </row>
    <row r="5" spans="1:11" x14ac:dyDescent="0.25">
      <c r="D5" s="2" t="s">
        <v>1</v>
      </c>
      <c r="F5" t="s">
        <v>755</v>
      </c>
    </row>
    <row r="6" spans="1:11" x14ac:dyDescent="0.25">
      <c r="D6" s="2" t="s">
        <v>2</v>
      </c>
      <c r="F6" s="6">
        <v>42681</v>
      </c>
      <c r="H6" s="11"/>
    </row>
    <row r="7" spans="1:11" x14ac:dyDescent="0.25">
      <c r="D7" s="2" t="s">
        <v>3</v>
      </c>
      <c r="F7" s="5">
        <v>7200000</v>
      </c>
      <c r="G7" s="2" t="s">
        <v>756</v>
      </c>
      <c r="H7" s="11"/>
    </row>
    <row r="8" spans="1:11" x14ac:dyDescent="0.25">
      <c r="D8" s="2" t="s">
        <v>18</v>
      </c>
      <c r="F8" s="5">
        <f>MIN(I23:I43)</f>
        <v>5899500</v>
      </c>
      <c r="H8" s="11"/>
    </row>
    <row r="9" spans="1:11" x14ac:dyDescent="0.25">
      <c r="D9" s="2" t="s">
        <v>67</v>
      </c>
      <c r="F9" s="4">
        <f>+F8-F7</f>
        <v>-1300500</v>
      </c>
      <c r="G9" s="16">
        <f>+F9/F7</f>
        <v>-0.18062500000000001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27850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7172150</v>
      </c>
      <c r="G12" s="14"/>
      <c r="H12" s="11">
        <f>COUNT(I23:I43)</f>
        <v>4</v>
      </c>
      <c r="I12" s="1" t="s">
        <v>31</v>
      </c>
      <c r="J12" s="4">
        <f>+F8*0.9</f>
        <v>5309550</v>
      </c>
      <c r="K12" s="1" t="s">
        <v>69</v>
      </c>
    </row>
    <row r="13" spans="1:11" x14ac:dyDescent="0.25">
      <c r="D13" s="2" t="s">
        <v>29</v>
      </c>
      <c r="F13" s="4">
        <f>MAX(I23:I43)-MIN(I23:I43)</f>
        <v>3380500</v>
      </c>
      <c r="G13" s="269">
        <f>MEDIAN(I23:I43)</f>
        <v>6754550</v>
      </c>
      <c r="H13" s="270"/>
      <c r="I13" s="1" t="s">
        <v>30</v>
      </c>
      <c r="J13" s="4">
        <f>+F12*1.1</f>
        <v>7889365.0000000009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499</v>
      </c>
      <c r="E23" s="33"/>
      <c r="F23" t="s">
        <v>100</v>
      </c>
      <c r="G23" t="s">
        <v>93</v>
      </c>
      <c r="H23">
        <f>RANK(I23,I$23:I$43,1)</f>
        <v>3</v>
      </c>
      <c r="I23" s="4">
        <v>6928400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491</v>
      </c>
      <c r="E24" s="33"/>
      <c r="F24" t="s">
        <v>203</v>
      </c>
      <c r="G24" t="s">
        <v>204</v>
      </c>
      <c r="H24">
        <f>RANK(I24,I$23:I$43,1)</f>
        <v>1</v>
      </c>
      <c r="I24" s="4">
        <v>5899500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547</v>
      </c>
      <c r="E25" s="33"/>
      <c r="F25" t="s">
        <v>88</v>
      </c>
      <c r="G25" t="s">
        <v>25</v>
      </c>
      <c r="H25">
        <f>RANK(I25,I$23:I$43,1)</f>
        <v>4</v>
      </c>
      <c r="I25" s="4">
        <v>9280000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 t="s">
        <v>757</v>
      </c>
      <c r="E26" s="33"/>
      <c r="F26" t="s">
        <v>350</v>
      </c>
      <c r="G26" t="s">
        <v>93</v>
      </c>
      <c r="H26">
        <f>RANK(I26,I$23:I$43,1)</f>
        <v>2</v>
      </c>
      <c r="I26" s="4">
        <v>6580700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039" priority="10" operator="containsText" text="FAIL">
      <formula>NOT(ISERROR(SEARCH("FAIL",I9)))</formula>
    </cfRule>
  </conditionalFormatting>
  <conditionalFormatting sqref="I9">
    <cfRule type="containsText" dxfId="1038" priority="9" operator="containsText" text="GOOD">
      <formula>NOT(ISERROR(SEARCH("GOOD",I9)))</formula>
    </cfRule>
  </conditionalFormatting>
  <conditionalFormatting sqref="F11">
    <cfRule type="containsText" dxfId="1037" priority="8" operator="containsText" text="FAIL">
      <formula>NOT(ISERROR(SEARCH("FAIL",F11)))</formula>
    </cfRule>
  </conditionalFormatting>
  <conditionalFormatting sqref="F11">
    <cfRule type="containsText" dxfId="1036" priority="7" operator="containsText" text="GOOD">
      <formula>NOT(ISERROR(SEARCH("GOOD",F11)))</formula>
    </cfRule>
  </conditionalFormatting>
  <conditionalFormatting sqref="D25">
    <cfRule type="expression" dxfId="1035" priority="6" stopIfTrue="1">
      <formula>IF($H$25=1,0)</formula>
    </cfRule>
  </conditionalFormatting>
  <conditionalFormatting sqref="D23:D43">
    <cfRule type="expression" dxfId="1034" priority="5">
      <formula>H23=1</formula>
    </cfRule>
  </conditionalFormatting>
  <conditionalFormatting sqref="C23:C43">
    <cfRule type="expression" dxfId="1033" priority="4">
      <formula>H23=1</formula>
    </cfRule>
  </conditionalFormatting>
  <conditionalFormatting sqref="E23:E43">
    <cfRule type="expression" dxfId="1032" priority="3">
      <formula>H23=1</formula>
    </cfRule>
  </conditionalFormatting>
  <conditionalFormatting sqref="F11">
    <cfRule type="containsText" dxfId="1031" priority="2" operator="containsText" text="FAIL">
      <formula>NOT(ISERROR(SEARCH("FAIL",F11)))</formula>
    </cfRule>
  </conditionalFormatting>
  <conditionalFormatting sqref="F11">
    <cfRule type="containsText" dxfId="1030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2:O47"/>
  <sheetViews>
    <sheetView zoomScaleNormal="100" workbookViewId="0">
      <selection activeCell="I27" sqref="I2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763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764</v>
      </c>
    </row>
    <row r="6" spans="1:11" x14ac:dyDescent="0.25">
      <c r="D6" s="2" t="s">
        <v>2</v>
      </c>
      <c r="F6" s="6">
        <v>42677</v>
      </c>
      <c r="H6" s="11"/>
    </row>
    <row r="7" spans="1:11" x14ac:dyDescent="0.25">
      <c r="D7" s="2" t="s">
        <v>3</v>
      </c>
      <c r="F7" s="5">
        <v>480000</v>
      </c>
      <c r="G7" s="2" t="s">
        <v>693</v>
      </c>
      <c r="H7" s="11"/>
    </row>
    <row r="8" spans="1:11" x14ac:dyDescent="0.25">
      <c r="D8" s="2" t="s">
        <v>18</v>
      </c>
      <c r="F8" s="5">
        <f>MIN(I23:I43)</f>
        <v>770000</v>
      </c>
      <c r="H8" s="11"/>
    </row>
    <row r="9" spans="1:11" x14ac:dyDescent="0.25">
      <c r="D9" s="2" t="s">
        <v>67</v>
      </c>
      <c r="F9" s="4">
        <f>+F8-F7</f>
        <v>290000</v>
      </c>
      <c r="G9" s="16">
        <f>+F9/F7</f>
        <v>0.60416666666666663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-808250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1288250</v>
      </c>
      <c r="G12" s="14"/>
      <c r="H12" s="11">
        <f>COUNT(I23:I43)</f>
        <v>4</v>
      </c>
      <c r="I12" s="1" t="s">
        <v>31</v>
      </c>
      <c r="J12" s="4">
        <f>+F8*0.9</f>
        <v>693000</v>
      </c>
      <c r="K12" s="1" t="s">
        <v>69</v>
      </c>
    </row>
    <row r="13" spans="1:11" x14ac:dyDescent="0.25">
      <c r="D13" s="2" t="s">
        <v>29</v>
      </c>
      <c r="F13" s="4">
        <f>MAX(I23:I43)-MIN(I23:I43)</f>
        <v>1170000</v>
      </c>
      <c r="G13" s="269">
        <f>MEDIAN(I23:I43)</f>
        <v>1221500</v>
      </c>
      <c r="H13" s="270"/>
      <c r="I13" s="1" t="s">
        <v>30</v>
      </c>
      <c r="J13" s="4">
        <f>+F12*1.1</f>
        <v>1417075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765</v>
      </c>
      <c r="E23" s="33"/>
      <c r="F23" t="s">
        <v>92</v>
      </c>
      <c r="G23" t="s">
        <v>93</v>
      </c>
      <c r="H23">
        <f>RANK(I23,I$23:I$43,1)</f>
        <v>2</v>
      </c>
      <c r="I23" s="4">
        <v>1072000</v>
      </c>
      <c r="J23" s="4"/>
      <c r="K23" s="4"/>
      <c r="L23" s="4"/>
      <c r="M23" s="22"/>
      <c r="N23" s="22"/>
      <c r="O23" s="22"/>
    </row>
    <row r="24" spans="3:15" x14ac:dyDescent="0.25">
      <c r="C24" s="33"/>
      <c r="D24" s="11" t="s">
        <v>766</v>
      </c>
      <c r="E24" s="33"/>
      <c r="F24" t="s">
        <v>145</v>
      </c>
      <c r="G24" t="s">
        <v>25</v>
      </c>
      <c r="H24">
        <f>RANK(I24,I$23:I$43,1)</f>
        <v>1</v>
      </c>
      <c r="I24" s="4">
        <v>770000</v>
      </c>
      <c r="J24" s="4"/>
      <c r="K24" s="4"/>
      <c r="L24" s="4"/>
      <c r="M24" s="22"/>
      <c r="N24" s="22"/>
      <c r="O24" s="22"/>
    </row>
    <row r="25" spans="3:15" x14ac:dyDescent="0.25">
      <c r="C25" s="33"/>
      <c r="D25" s="11" t="s">
        <v>725</v>
      </c>
      <c r="E25" s="33"/>
      <c r="F25" t="s">
        <v>594</v>
      </c>
      <c r="G25" t="s">
        <v>25</v>
      </c>
      <c r="H25">
        <f>RANK(I25,I$23:I$43,1)</f>
        <v>4</v>
      </c>
      <c r="I25" s="4">
        <v>1940000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 t="s">
        <v>708</v>
      </c>
      <c r="E26" s="33"/>
      <c r="F26" t="s">
        <v>709</v>
      </c>
      <c r="G26" t="s">
        <v>93</v>
      </c>
      <c r="H26">
        <f>RANK(I26,I$23:I$43,1)</f>
        <v>3</v>
      </c>
      <c r="I26" s="4">
        <v>1371000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ref="C27:C43" si="0">IF(H27=1,"u","")</f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029" priority="10" operator="containsText" text="FAIL">
      <formula>NOT(ISERROR(SEARCH("FAIL",I9)))</formula>
    </cfRule>
  </conditionalFormatting>
  <conditionalFormatting sqref="I9">
    <cfRule type="containsText" dxfId="1028" priority="9" operator="containsText" text="GOOD">
      <formula>NOT(ISERROR(SEARCH("GOOD",I9)))</formula>
    </cfRule>
  </conditionalFormatting>
  <conditionalFormatting sqref="F11">
    <cfRule type="containsText" dxfId="1027" priority="8" operator="containsText" text="FAIL">
      <formula>NOT(ISERROR(SEARCH("FAIL",F11)))</formula>
    </cfRule>
  </conditionalFormatting>
  <conditionalFormatting sqref="F11">
    <cfRule type="containsText" dxfId="1026" priority="7" operator="containsText" text="GOOD">
      <formula>NOT(ISERROR(SEARCH("GOOD",F11)))</formula>
    </cfRule>
  </conditionalFormatting>
  <conditionalFormatting sqref="D25">
    <cfRule type="expression" dxfId="1025" priority="6" stopIfTrue="1">
      <formula>IF($H$25=1,0)</formula>
    </cfRule>
  </conditionalFormatting>
  <conditionalFormatting sqref="D23:D43">
    <cfRule type="expression" dxfId="1024" priority="5">
      <formula>H23=1</formula>
    </cfRule>
  </conditionalFormatting>
  <conditionalFormatting sqref="C23:C43">
    <cfRule type="expression" dxfId="1023" priority="4">
      <formula>H23=1</formula>
    </cfRule>
  </conditionalFormatting>
  <conditionalFormatting sqref="E23:E43">
    <cfRule type="expression" dxfId="1022" priority="3">
      <formula>H23=1</formula>
    </cfRule>
  </conditionalFormatting>
  <conditionalFormatting sqref="F11">
    <cfRule type="containsText" dxfId="1021" priority="2" operator="containsText" text="FAIL">
      <formula>NOT(ISERROR(SEARCH("FAIL",F11)))</formula>
    </cfRule>
  </conditionalFormatting>
  <conditionalFormatting sqref="F11">
    <cfRule type="containsText" dxfId="1020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2:O47"/>
  <sheetViews>
    <sheetView zoomScaleNormal="100" workbookViewId="0">
      <selection activeCell="J5" sqref="J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760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761</v>
      </c>
    </row>
    <row r="6" spans="1:11" x14ac:dyDescent="0.25">
      <c r="D6" s="2" t="s">
        <v>2</v>
      </c>
      <c r="F6" s="6">
        <v>42670</v>
      </c>
      <c r="H6" s="11"/>
    </row>
    <row r="7" spans="1:11" x14ac:dyDescent="0.25">
      <c r="D7" s="2" t="s">
        <v>3</v>
      </c>
      <c r="F7" s="5">
        <v>2150000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1654320</v>
      </c>
      <c r="H8" s="11"/>
    </row>
    <row r="9" spans="1:11" x14ac:dyDescent="0.25">
      <c r="D9" s="2" t="s">
        <v>67</v>
      </c>
      <c r="F9" s="4">
        <f>+F8-F7</f>
        <v>-495680</v>
      </c>
      <c r="G9" s="16">
        <f>+F9/F7</f>
        <v>-0.23054883720930233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495680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1654320</v>
      </c>
      <c r="G12" s="14"/>
      <c r="H12" s="11">
        <f>COUNT(I23:I43)</f>
        <v>1</v>
      </c>
      <c r="I12" s="1" t="s">
        <v>31</v>
      </c>
      <c r="J12" s="4">
        <f>+F8*0.9</f>
        <v>1488888</v>
      </c>
      <c r="K12" s="1" t="s">
        <v>69</v>
      </c>
    </row>
    <row r="13" spans="1:11" x14ac:dyDescent="0.25">
      <c r="D13" s="2" t="s">
        <v>29</v>
      </c>
      <c r="F13" s="4">
        <f>MAX(I23:I43)-MIN(I23:I43)</f>
        <v>0</v>
      </c>
      <c r="G13" s="269">
        <f>MEDIAN(I23:I43)</f>
        <v>1654320</v>
      </c>
      <c r="H13" s="270"/>
      <c r="I13" s="1" t="s">
        <v>30</v>
      </c>
      <c r="J13" s="4">
        <f>+F12*1.1</f>
        <v>1819752.0000000002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762</v>
      </c>
      <c r="E23" s="33"/>
      <c r="F23" t="s">
        <v>167</v>
      </c>
      <c r="G23" t="s">
        <v>93</v>
      </c>
      <c r="H23">
        <f>RANK(I23,I$23:I$43,1)</f>
        <v>1</v>
      </c>
      <c r="I23" s="4">
        <v>1654320</v>
      </c>
      <c r="J23" s="4"/>
      <c r="K23" s="4"/>
      <c r="L23" s="4"/>
      <c r="M23" s="22"/>
      <c r="N23" s="22"/>
      <c r="O23" s="22"/>
    </row>
    <row r="24" spans="3:15" x14ac:dyDescent="0.25">
      <c r="C24" s="33"/>
      <c r="D24" s="11"/>
      <c r="E24" s="33"/>
      <c r="I24" s="4"/>
      <c r="J24" s="4"/>
      <c r="K24" s="4"/>
      <c r="L24" s="4"/>
      <c r="M24" s="22"/>
      <c r="N24" s="22"/>
      <c r="O24" s="22"/>
    </row>
    <row r="25" spans="3:15" x14ac:dyDescent="0.25">
      <c r="C25" s="33"/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ref="C27:C43" si="0">IF(H27=1,"u","")</f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019" priority="10" operator="containsText" text="FAIL">
      <formula>NOT(ISERROR(SEARCH("FAIL",I9)))</formula>
    </cfRule>
  </conditionalFormatting>
  <conditionalFormatting sqref="I9">
    <cfRule type="containsText" dxfId="1018" priority="9" operator="containsText" text="GOOD">
      <formula>NOT(ISERROR(SEARCH("GOOD",I9)))</formula>
    </cfRule>
  </conditionalFormatting>
  <conditionalFormatting sqref="F11">
    <cfRule type="containsText" dxfId="1017" priority="8" operator="containsText" text="FAIL">
      <formula>NOT(ISERROR(SEARCH("FAIL",F11)))</formula>
    </cfRule>
  </conditionalFormatting>
  <conditionalFormatting sqref="F11">
    <cfRule type="containsText" dxfId="1016" priority="7" operator="containsText" text="GOOD">
      <formula>NOT(ISERROR(SEARCH("GOOD",F11)))</formula>
    </cfRule>
  </conditionalFormatting>
  <conditionalFormatting sqref="D25">
    <cfRule type="expression" dxfId="1015" priority="6" stopIfTrue="1">
      <formula>IF($H$25=1,0)</formula>
    </cfRule>
  </conditionalFormatting>
  <conditionalFormatting sqref="D23:D43">
    <cfRule type="expression" dxfId="1014" priority="5">
      <formula>H23=1</formula>
    </cfRule>
  </conditionalFormatting>
  <conditionalFormatting sqref="C23:C43">
    <cfRule type="expression" dxfId="1013" priority="4">
      <formula>H23=1</formula>
    </cfRule>
  </conditionalFormatting>
  <conditionalFormatting sqref="E23:E43">
    <cfRule type="expression" dxfId="1012" priority="3">
      <formula>H23=1</formula>
    </cfRule>
  </conditionalFormatting>
  <conditionalFormatting sqref="F11">
    <cfRule type="containsText" dxfId="1011" priority="2" operator="containsText" text="FAIL">
      <formula>NOT(ISERROR(SEARCH("FAIL",F11)))</formula>
    </cfRule>
  </conditionalFormatting>
  <conditionalFormatting sqref="F11">
    <cfRule type="containsText" dxfId="1010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2:O47"/>
  <sheetViews>
    <sheetView view="pageBreakPreview" zoomScale="60" zoomScaleNormal="100" workbookViewId="0">
      <selection activeCell="L32" sqref="L32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4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4" ht="18.75" x14ac:dyDescent="0.3">
      <c r="C3" s="3" t="s">
        <v>26</v>
      </c>
      <c r="J3" s="8" t="s">
        <v>48</v>
      </c>
    </row>
    <row r="4" spans="1:14" x14ac:dyDescent="0.25">
      <c r="C4" s="1"/>
      <c r="D4" s="2" t="s">
        <v>0</v>
      </c>
      <c r="E4" s="1"/>
      <c r="F4" t="s">
        <v>767</v>
      </c>
      <c r="I4" s="2" t="s">
        <v>4</v>
      </c>
      <c r="J4" t="s">
        <v>630</v>
      </c>
    </row>
    <row r="5" spans="1:14" x14ac:dyDescent="0.25">
      <c r="D5" s="2" t="s">
        <v>1</v>
      </c>
      <c r="F5" t="s">
        <v>768</v>
      </c>
    </row>
    <row r="6" spans="1:14" x14ac:dyDescent="0.25">
      <c r="D6" s="2" t="s">
        <v>2</v>
      </c>
      <c r="F6" s="6">
        <v>42668</v>
      </c>
      <c r="H6" s="11"/>
    </row>
    <row r="7" spans="1:14" x14ac:dyDescent="0.25">
      <c r="D7" s="2" t="s">
        <v>3</v>
      </c>
      <c r="F7" s="5">
        <f>+K7+J7+I7+(L7*K7)</f>
        <v>67636000</v>
      </c>
      <c r="G7" s="2" t="s">
        <v>34</v>
      </c>
      <c r="H7" s="11"/>
      <c r="I7" s="19">
        <v>28100000</v>
      </c>
      <c r="J7" s="19">
        <v>31900000</v>
      </c>
      <c r="K7" s="19">
        <v>6640000</v>
      </c>
      <c r="L7" s="20">
        <v>0.15</v>
      </c>
    </row>
    <row r="8" spans="1:14" x14ac:dyDescent="0.25">
      <c r="D8" s="2" t="s">
        <v>18</v>
      </c>
      <c r="F8" s="5">
        <f>MIN(L23:L43)</f>
        <v>49942700</v>
      </c>
      <c r="H8" s="11"/>
      <c r="I8" s="18" t="s">
        <v>43</v>
      </c>
      <c r="J8" s="18" t="s">
        <v>44</v>
      </c>
      <c r="K8" s="18" t="s">
        <v>49</v>
      </c>
      <c r="L8" s="18" t="s">
        <v>50</v>
      </c>
    </row>
    <row r="9" spans="1:14" x14ac:dyDescent="0.25">
      <c r="D9" s="2" t="s">
        <v>19</v>
      </c>
      <c r="F9" s="4">
        <f>+F8-F7</f>
        <v>-17693300</v>
      </c>
      <c r="G9" s="16">
        <f>+F9/F7</f>
        <v>-0.26159589567685848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4" x14ac:dyDescent="0.25">
      <c r="D10" s="2" t="s">
        <v>68</v>
      </c>
      <c r="F10" s="4">
        <f>+F7-F12</f>
        <v>9895496.1428571418</v>
      </c>
      <c r="H10" s="11"/>
      <c r="K10" s="31"/>
      <c r="N10" t="e">
        <f>LOOKUP(1,D23:D43)</f>
        <v>#N/A</v>
      </c>
    </row>
    <row r="11" spans="1:14" x14ac:dyDescent="0.25">
      <c r="A11" s="30"/>
      <c r="D11" s="2" t="s">
        <v>71</v>
      </c>
      <c r="F11" s="11" t="str">
        <f>(IF(F7&lt;J12,"FAIL",IF(F7&gt;J13,"FAIL","GOOD")))</f>
        <v>FAIL</v>
      </c>
      <c r="H11" s="11"/>
      <c r="L11" s="31"/>
      <c r="N11" t="e">
        <f>MATCH(1,D23:H43,0)</f>
        <v>#N/A</v>
      </c>
    </row>
    <row r="12" spans="1:14" x14ac:dyDescent="0.25">
      <c r="D12" s="2" t="s">
        <v>28</v>
      </c>
      <c r="F12" s="4">
        <f>SUM(L23:L43)/H12</f>
        <v>57740503.857142858</v>
      </c>
      <c r="G12" s="14"/>
      <c r="H12" s="11">
        <f>COUNT(L23:L43)</f>
        <v>7</v>
      </c>
      <c r="I12" s="1" t="s">
        <v>31</v>
      </c>
      <c r="J12" s="4">
        <f>+F8*0.9</f>
        <v>44948430</v>
      </c>
      <c r="K12" s="1" t="s">
        <v>69</v>
      </c>
      <c r="N12" t="str">
        <f>INDEX(D23:D43,MATCH(1,H23:H43,0))</f>
        <v>Trevcon Constr</v>
      </c>
    </row>
    <row r="13" spans="1:14" x14ac:dyDescent="0.25">
      <c r="D13" s="2" t="s">
        <v>29</v>
      </c>
      <c r="F13" s="4">
        <f>MAX(L23:L43)-MIN(L23:L43)</f>
        <v>17582999</v>
      </c>
      <c r="G13" s="269">
        <f>MEDIAN(L23:L43)</f>
        <v>57777778</v>
      </c>
      <c r="H13" s="270"/>
      <c r="I13" s="1" t="s">
        <v>30</v>
      </c>
      <c r="J13" s="4">
        <f>+F12*1.1</f>
        <v>63514554.242857151</v>
      </c>
      <c r="K13" s="1" t="s">
        <v>70</v>
      </c>
    </row>
    <row r="14" spans="1:14" x14ac:dyDescent="0.25">
      <c r="H14" s="11"/>
    </row>
    <row r="15" spans="1:14" x14ac:dyDescent="0.25">
      <c r="D15" s="2" t="s">
        <v>8</v>
      </c>
      <c r="F15" s="4">
        <v>5000000</v>
      </c>
      <c r="G15" s="1" t="s">
        <v>9</v>
      </c>
      <c r="H15" s="11"/>
      <c r="I15" t="s">
        <v>15</v>
      </c>
      <c r="J15" s="7">
        <f>+F16/F15</f>
        <v>1.2</v>
      </c>
    </row>
    <row r="16" spans="1:14" x14ac:dyDescent="0.25">
      <c r="F16" s="4">
        <v>6000000</v>
      </c>
      <c r="G16" s="1" t="s">
        <v>10</v>
      </c>
      <c r="H16" s="11"/>
      <c r="I16" t="s">
        <v>14</v>
      </c>
      <c r="J16" s="7">
        <f>+F17/F16</f>
        <v>1.0833333333333333</v>
      </c>
    </row>
    <row r="17" spans="3:15" x14ac:dyDescent="0.25">
      <c r="F17" s="4">
        <v>6500000</v>
      </c>
      <c r="G17" s="1" t="s">
        <v>11</v>
      </c>
      <c r="H17" s="11"/>
      <c r="I17" t="s">
        <v>13</v>
      </c>
      <c r="J17" s="7">
        <f>+F18/F17</f>
        <v>10.405538461538461</v>
      </c>
    </row>
    <row r="18" spans="3:15" x14ac:dyDescent="0.25">
      <c r="F18" s="4">
        <f>+F7</f>
        <v>67636000</v>
      </c>
      <c r="G18" s="1" t="s">
        <v>12</v>
      </c>
      <c r="H18" s="11"/>
      <c r="I18" t="s">
        <v>16</v>
      </c>
      <c r="J18" s="7">
        <f>+F8/F18</f>
        <v>0.73840410432314152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9.9885400000000004</v>
      </c>
    </row>
    <row r="20" spans="3:15" x14ac:dyDescent="0.25">
      <c r="H20" s="1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42</v>
      </c>
      <c r="L21" s="10" t="s">
        <v>39</v>
      </c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655</v>
      </c>
      <c r="E23" s="33"/>
      <c r="F23" t="s">
        <v>135</v>
      </c>
      <c r="G23" t="s">
        <v>25</v>
      </c>
      <c r="H23">
        <f>RANK(L23,L$23:L$43,1)</f>
        <v>7</v>
      </c>
      <c r="I23" s="4">
        <v>29817077</v>
      </c>
      <c r="J23" s="4">
        <v>30072622</v>
      </c>
      <c r="K23" s="7">
        <v>0.15</v>
      </c>
      <c r="L23" s="4">
        <f>+I23+J23+(K23*K$7)+$K$7</f>
        <v>67525699</v>
      </c>
      <c r="M23" s="22"/>
      <c r="N23" s="22"/>
      <c r="O23" s="22"/>
    </row>
    <row r="24" spans="3:15" x14ac:dyDescent="0.25">
      <c r="C24" s="33" t="str">
        <f>IF(H24=1,"u","")</f>
        <v/>
      </c>
      <c r="D24" s="11" t="s">
        <v>657</v>
      </c>
      <c r="E24" s="33"/>
      <c r="F24" t="s">
        <v>658</v>
      </c>
      <c r="G24" t="s">
        <v>93</v>
      </c>
      <c r="H24">
        <f t="shared" ref="H24:H29" si="0">RANK(L24,L$23:L$43,1)</f>
        <v>4</v>
      </c>
      <c r="I24" s="4">
        <v>21853341</v>
      </c>
      <c r="J24" s="4">
        <v>28952437</v>
      </c>
      <c r="K24" s="7">
        <v>0.05</v>
      </c>
      <c r="L24" s="4">
        <f t="shared" ref="L24:L29" si="1">+I24+J24+(K24*K$7)+$K$7</f>
        <v>57777778</v>
      </c>
      <c r="M24" s="22"/>
      <c r="N24" s="22"/>
      <c r="O24" s="22"/>
    </row>
    <row r="25" spans="3:15" x14ac:dyDescent="0.25">
      <c r="C25" s="33" t="str">
        <f>IF(H25=1,"u","")</f>
        <v/>
      </c>
      <c r="D25" s="11" t="s">
        <v>568</v>
      </c>
      <c r="E25" s="33"/>
      <c r="F25" t="s">
        <v>292</v>
      </c>
      <c r="G25" t="s">
        <v>25</v>
      </c>
      <c r="H25">
        <f t="shared" si="0"/>
        <v>2</v>
      </c>
      <c r="I25" s="4">
        <v>16720784</v>
      </c>
      <c r="J25" s="4">
        <v>27942500</v>
      </c>
      <c r="K25" s="7">
        <v>0</v>
      </c>
      <c r="L25" s="4">
        <f t="shared" si="1"/>
        <v>51303284</v>
      </c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11" t="s">
        <v>491</v>
      </c>
      <c r="E26" s="33"/>
      <c r="F26" t="s">
        <v>203</v>
      </c>
      <c r="G26" t="s">
        <v>204</v>
      </c>
      <c r="H26">
        <f t="shared" si="0"/>
        <v>6</v>
      </c>
      <c r="I26" s="4">
        <v>14742318</v>
      </c>
      <c r="J26" s="4">
        <v>42821898</v>
      </c>
      <c r="K26" s="7">
        <v>3.5000000000000003E-2</v>
      </c>
      <c r="L26" s="4">
        <f t="shared" si="1"/>
        <v>64436616</v>
      </c>
      <c r="M26" s="22"/>
      <c r="N26" s="22"/>
      <c r="O26" s="22"/>
    </row>
    <row r="27" spans="3:15" x14ac:dyDescent="0.25">
      <c r="C27" s="33" t="str">
        <f t="shared" si="2"/>
        <v>u</v>
      </c>
      <c r="D27" s="11" t="s">
        <v>626</v>
      </c>
      <c r="E27" s="33"/>
      <c r="F27" t="s">
        <v>308</v>
      </c>
      <c r="G27" t="s">
        <v>25</v>
      </c>
      <c r="H27">
        <f t="shared" si="0"/>
        <v>1</v>
      </c>
      <c r="I27" s="4">
        <v>15074552</v>
      </c>
      <c r="J27" s="4">
        <v>28095348</v>
      </c>
      <c r="K27" s="7">
        <v>0.02</v>
      </c>
      <c r="L27" s="4">
        <f t="shared" si="1"/>
        <v>49942700</v>
      </c>
      <c r="M27" s="22"/>
      <c r="N27" s="22"/>
      <c r="O27" s="22"/>
    </row>
    <row r="28" spans="3:15" x14ac:dyDescent="0.25">
      <c r="C28" s="33" t="str">
        <f t="shared" si="2"/>
        <v/>
      </c>
      <c r="D28" s="11" t="s">
        <v>651</v>
      </c>
      <c r="E28" s="33"/>
      <c r="F28" t="s">
        <v>208</v>
      </c>
      <c r="G28" t="s">
        <v>93</v>
      </c>
      <c r="H28">
        <f t="shared" si="0"/>
        <v>3</v>
      </c>
      <c r="I28" s="4">
        <v>18460835</v>
      </c>
      <c r="J28" s="4">
        <v>28393165</v>
      </c>
      <c r="K28" s="7">
        <v>0.05</v>
      </c>
      <c r="L28" s="4">
        <f t="shared" si="1"/>
        <v>53826000</v>
      </c>
      <c r="M28" s="22"/>
      <c r="N28" s="22"/>
      <c r="O28" s="22"/>
    </row>
    <row r="29" spans="3:15" x14ac:dyDescent="0.25">
      <c r="C29" s="33" t="str">
        <f t="shared" si="2"/>
        <v/>
      </c>
      <c r="D29" s="11" t="s">
        <v>769</v>
      </c>
      <c r="E29" s="33"/>
      <c r="F29" t="s">
        <v>572</v>
      </c>
      <c r="G29" t="s">
        <v>321</v>
      </c>
      <c r="H29">
        <f t="shared" si="0"/>
        <v>5</v>
      </c>
      <c r="I29" s="4">
        <v>17382450</v>
      </c>
      <c r="J29" s="4">
        <v>34685000</v>
      </c>
      <c r="K29" s="7">
        <v>0.1</v>
      </c>
      <c r="L29" s="4">
        <f t="shared" si="1"/>
        <v>59371450</v>
      </c>
      <c r="M29" s="22"/>
      <c r="N29" s="22"/>
      <c r="O29" s="22"/>
    </row>
    <row r="30" spans="3:15" x14ac:dyDescent="0.25">
      <c r="C30" s="33" t="str">
        <f t="shared" si="2"/>
        <v/>
      </c>
      <c r="D30" s="11"/>
      <c r="E30" s="33" t="str">
        <f t="shared" ref="E30:E43" si="3">IF(H30=1,"t","")</f>
        <v/>
      </c>
      <c r="I30" s="4"/>
      <c r="J30" s="4"/>
      <c r="K30" s="7"/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/>
      <c r="E31" s="33" t="str">
        <f t="shared" si="3"/>
        <v/>
      </c>
      <c r="I31" s="4"/>
      <c r="J31" s="4"/>
      <c r="K31" s="7"/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/>
      <c r="E32" s="33" t="str">
        <f t="shared" si="3"/>
        <v/>
      </c>
      <c r="I32" s="4"/>
      <c r="J32" s="4"/>
      <c r="K32" s="7"/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/>
      <c r="E33" s="33" t="str">
        <f t="shared" si="3"/>
        <v/>
      </c>
      <c r="I33" s="4"/>
      <c r="J33" s="4"/>
      <c r="K33" s="7"/>
      <c r="L33" s="4"/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 t="str">
        <f t="shared" si="3"/>
        <v/>
      </c>
      <c r="K34" s="7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 t="str">
        <f t="shared" si="3"/>
        <v/>
      </c>
      <c r="K35" s="7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 t="str">
        <f t="shared" si="3"/>
        <v/>
      </c>
      <c r="K36" s="7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7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7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7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7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7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7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7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  <c r="M47" s="21"/>
      <c r="N47" s="21"/>
      <c r="O47" s="21"/>
    </row>
  </sheetData>
  <mergeCells count="1">
    <mergeCell ref="G13:H13"/>
  </mergeCells>
  <conditionalFormatting sqref="I9 F11">
    <cfRule type="containsText" dxfId="1009" priority="8" operator="containsText" text="FAIL">
      <formula>NOT(ISERROR(SEARCH("FAIL",F9)))</formula>
    </cfRule>
  </conditionalFormatting>
  <conditionalFormatting sqref="I9 F11">
    <cfRule type="containsText" dxfId="1008" priority="7" operator="containsText" text="GOOD">
      <formula>NOT(ISERROR(SEARCH("GOOD",F9)))</formula>
    </cfRule>
  </conditionalFormatting>
  <conditionalFormatting sqref="I9">
    <cfRule type="containsText" dxfId="1007" priority="6" operator="containsText" text="FAIL">
      <formula>NOT(ISERROR(SEARCH("FAIL",I9)))</formula>
    </cfRule>
  </conditionalFormatting>
  <conditionalFormatting sqref="I9">
    <cfRule type="containsText" dxfId="1006" priority="5" operator="containsText" text="GOOD">
      <formula>NOT(ISERROR(SEARCH("GOOD",I9)))</formula>
    </cfRule>
  </conditionalFormatting>
  <conditionalFormatting sqref="D25">
    <cfRule type="expression" dxfId="1005" priority="4" stopIfTrue="1">
      <formula>IF($H$25=1,0)</formula>
    </cfRule>
  </conditionalFormatting>
  <conditionalFormatting sqref="D23:D43">
    <cfRule type="expression" dxfId="1004" priority="3">
      <formula>H23=1</formula>
    </cfRule>
  </conditionalFormatting>
  <conditionalFormatting sqref="C23:C43">
    <cfRule type="expression" dxfId="1003" priority="2">
      <formula>H23=1</formula>
    </cfRule>
  </conditionalFormatting>
  <conditionalFormatting sqref="E23:E43">
    <cfRule type="expression" dxfId="1002" priority="1">
      <formula>H23=1</formula>
    </cfRule>
  </conditionalFormatting>
  <pageMargins left="0.7" right="0.7" top="0.75" bottom="0.75" header="0.3" footer="0.3"/>
  <pageSetup scale="73" orientation="portrait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2:O47"/>
  <sheetViews>
    <sheetView zoomScaleNormal="100" workbookViewId="0">
      <selection activeCell="M10" sqref="M10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758</v>
      </c>
      <c r="I4" s="2" t="s">
        <v>4</v>
      </c>
      <c r="J4" t="s">
        <v>447</v>
      </c>
    </row>
    <row r="5" spans="1:11" x14ac:dyDescent="0.25">
      <c r="D5" s="2" t="s">
        <v>1</v>
      </c>
      <c r="F5" t="s">
        <v>759</v>
      </c>
    </row>
    <row r="6" spans="1:11" x14ac:dyDescent="0.25">
      <c r="D6" s="2" t="s">
        <v>2</v>
      </c>
      <c r="F6" s="6">
        <v>42667</v>
      </c>
      <c r="H6" s="11"/>
    </row>
    <row r="7" spans="1:11" x14ac:dyDescent="0.25">
      <c r="D7" s="2" t="s">
        <v>3</v>
      </c>
      <c r="F7" s="5">
        <v>2400000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3617000</v>
      </c>
      <c r="H8" s="11"/>
    </row>
    <row r="9" spans="1:11" x14ac:dyDescent="0.25">
      <c r="D9" s="2" t="s">
        <v>67</v>
      </c>
      <c r="F9" s="4">
        <f>+F8-F7</f>
        <v>1217000</v>
      </c>
      <c r="G9" s="16">
        <f>+F9/F7</f>
        <v>0.50708333333333333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-1880561.5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4280561.5</v>
      </c>
      <c r="G12" s="14"/>
      <c r="H12" s="11">
        <f>COUNT(I23:I43)</f>
        <v>2</v>
      </c>
      <c r="I12" s="1" t="s">
        <v>31</v>
      </c>
      <c r="J12" s="4">
        <f>+F8*0.9</f>
        <v>3255300</v>
      </c>
      <c r="K12" s="1" t="s">
        <v>69</v>
      </c>
    </row>
    <row r="13" spans="1:11" x14ac:dyDescent="0.25">
      <c r="D13" s="2" t="s">
        <v>29</v>
      </c>
      <c r="F13" s="4">
        <f>MAX(I23:I43)-MIN(I23:I43)</f>
        <v>1327123</v>
      </c>
      <c r="G13" s="269">
        <f>MEDIAN(I23:I43)</f>
        <v>4280561.5</v>
      </c>
      <c r="H13" s="270"/>
      <c r="I13" s="1" t="s">
        <v>30</v>
      </c>
      <c r="J13" s="4">
        <f>+F12*1.1</f>
        <v>4708617.6500000004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502</v>
      </c>
      <c r="E23" s="33"/>
      <c r="F23" t="s">
        <v>95</v>
      </c>
      <c r="G23" t="s">
        <v>93</v>
      </c>
      <c r="H23">
        <f>RANK(I23,I$23:I$43,1)</f>
        <v>1</v>
      </c>
      <c r="I23" s="4">
        <v>3617000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522</v>
      </c>
      <c r="E24" s="33"/>
      <c r="F24" t="s">
        <v>100</v>
      </c>
      <c r="G24" t="s">
        <v>93</v>
      </c>
      <c r="H24">
        <f>RANK(I24,I$23:I$43,1)</f>
        <v>2</v>
      </c>
      <c r="I24" s="4">
        <v>4944123</v>
      </c>
      <c r="J24" s="4"/>
      <c r="K24" s="4"/>
      <c r="L24" s="4"/>
      <c r="M24" s="22"/>
      <c r="N24" s="22"/>
      <c r="O24" s="22"/>
    </row>
    <row r="25" spans="3:15" x14ac:dyDescent="0.25">
      <c r="C25" s="33"/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ref="C27:C43" si="0">IF(H27=1,"u","")</f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001" priority="10" operator="containsText" text="FAIL">
      <formula>NOT(ISERROR(SEARCH("FAIL",I9)))</formula>
    </cfRule>
  </conditionalFormatting>
  <conditionalFormatting sqref="I9">
    <cfRule type="containsText" dxfId="1000" priority="9" operator="containsText" text="GOOD">
      <formula>NOT(ISERROR(SEARCH("GOOD",I9)))</formula>
    </cfRule>
  </conditionalFormatting>
  <conditionalFormatting sqref="F11">
    <cfRule type="containsText" dxfId="999" priority="8" operator="containsText" text="FAIL">
      <formula>NOT(ISERROR(SEARCH("FAIL",F11)))</formula>
    </cfRule>
  </conditionalFormatting>
  <conditionalFormatting sqref="F11">
    <cfRule type="containsText" dxfId="998" priority="7" operator="containsText" text="GOOD">
      <formula>NOT(ISERROR(SEARCH("GOOD",F11)))</formula>
    </cfRule>
  </conditionalFormatting>
  <conditionalFormatting sqref="D25">
    <cfRule type="expression" dxfId="997" priority="6" stopIfTrue="1">
      <formula>IF($H$25=1,0)</formula>
    </cfRule>
  </conditionalFormatting>
  <conditionalFormatting sqref="D23:D43">
    <cfRule type="expression" dxfId="996" priority="5">
      <formula>H23=1</formula>
    </cfRule>
  </conditionalFormatting>
  <conditionalFormatting sqref="C23:C43">
    <cfRule type="expression" dxfId="995" priority="4">
      <formula>H23=1</formula>
    </cfRule>
  </conditionalFormatting>
  <conditionalFormatting sqref="E23:E43">
    <cfRule type="expression" dxfId="994" priority="3">
      <formula>H23=1</formula>
    </cfRule>
  </conditionalFormatting>
  <conditionalFormatting sqref="F11">
    <cfRule type="containsText" dxfId="993" priority="2" operator="containsText" text="FAIL">
      <formula>NOT(ISERROR(SEARCH("FAIL",F11)))</formula>
    </cfRule>
  </conditionalFormatting>
  <conditionalFormatting sqref="F11">
    <cfRule type="containsText" dxfId="992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2:O47"/>
  <sheetViews>
    <sheetView workbookViewId="0">
      <selection activeCell="R23" sqref="R2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746</v>
      </c>
      <c r="I4" s="2" t="s">
        <v>4</v>
      </c>
      <c r="J4" t="s">
        <v>752</v>
      </c>
    </row>
    <row r="5" spans="1:11" x14ac:dyDescent="0.25">
      <c r="D5" s="2" t="s">
        <v>1</v>
      </c>
      <c r="F5" t="s">
        <v>747</v>
      </c>
    </row>
    <row r="6" spans="1:11" x14ac:dyDescent="0.25">
      <c r="D6" s="2" t="s">
        <v>2</v>
      </c>
      <c r="F6" s="6">
        <v>42648</v>
      </c>
      <c r="H6" s="11"/>
    </row>
    <row r="7" spans="1:11" x14ac:dyDescent="0.25">
      <c r="D7" s="2" t="s">
        <v>3</v>
      </c>
      <c r="F7" s="5">
        <f>+I7+J7</f>
        <v>3120000</v>
      </c>
      <c r="G7" s="2" t="s">
        <v>34</v>
      </c>
      <c r="H7" s="11"/>
      <c r="I7" s="19">
        <v>4200</v>
      </c>
      <c r="J7" s="19">
        <v>3115800</v>
      </c>
    </row>
    <row r="8" spans="1:11" x14ac:dyDescent="0.25">
      <c r="D8" s="2" t="s">
        <v>18</v>
      </c>
      <c r="F8" s="5">
        <f>MIN(K23:K43)</f>
        <v>2147100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-972900</v>
      </c>
      <c r="G9" s="16">
        <f>+F9/F7</f>
        <v>-0.31182692307692306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-205700.14285714272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3325700.1428571427</v>
      </c>
      <c r="G12" s="14"/>
      <c r="H12" s="11">
        <f>COUNT(K23:K43)</f>
        <v>7</v>
      </c>
      <c r="I12" s="1" t="s">
        <v>31</v>
      </c>
      <c r="J12" s="4">
        <f>+F8*0.9</f>
        <v>1932390</v>
      </c>
      <c r="K12" s="1" t="s">
        <v>69</v>
      </c>
    </row>
    <row r="13" spans="1:11" x14ac:dyDescent="0.25">
      <c r="D13" s="2" t="s">
        <v>29</v>
      </c>
      <c r="F13" s="4">
        <f>MAX(K23:K43)-MIN(K23:K43)</f>
        <v>3507900</v>
      </c>
      <c r="G13" s="269">
        <f>MEDIAN(K23:K43)</f>
        <v>2954893</v>
      </c>
      <c r="H13" s="270"/>
      <c r="I13" s="1" t="s">
        <v>30</v>
      </c>
      <c r="J13" s="4">
        <f>+F12*1.1</f>
        <v>3658270.1571428571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0.10576271186440678</v>
      </c>
    </row>
    <row r="18" spans="3:15" x14ac:dyDescent="0.25">
      <c r="F18" s="4">
        <f>+F7</f>
        <v>3120000</v>
      </c>
      <c r="G18" s="1" t="s">
        <v>12</v>
      </c>
      <c r="H18" s="11"/>
      <c r="I18" t="s">
        <v>16</v>
      </c>
      <c r="J18" s="7">
        <f>+F8/F18</f>
        <v>0.68817307692307694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7.1569999999999995E-2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710</v>
      </c>
      <c r="E23" s="33"/>
      <c r="F23" t="s">
        <v>386</v>
      </c>
      <c r="G23" t="s">
        <v>25</v>
      </c>
      <c r="H23">
        <f>RANK(K23,K$23:K$43,1)</f>
        <v>7</v>
      </c>
      <c r="I23" s="4">
        <v>3000</v>
      </c>
      <c r="J23" s="4">
        <v>5652000</v>
      </c>
      <c r="K23" s="4">
        <f>+J23+I23</f>
        <v>5655000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748</v>
      </c>
      <c r="E24" s="33"/>
      <c r="F24" t="s">
        <v>749</v>
      </c>
      <c r="G24" t="s">
        <v>25</v>
      </c>
      <c r="H24">
        <f t="shared" ref="H24:H29" si="0">RANK(K24,K$23:K$43,1)</f>
        <v>2</v>
      </c>
      <c r="I24" s="4">
        <v>2100</v>
      </c>
      <c r="J24" s="4">
        <v>2378970</v>
      </c>
      <c r="K24" s="4">
        <f t="shared" ref="K24:K29" si="1">+J24+I24</f>
        <v>2381070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750</v>
      </c>
      <c r="E25" s="33"/>
      <c r="F25" t="s">
        <v>751</v>
      </c>
      <c r="G25" t="s">
        <v>25</v>
      </c>
      <c r="H25">
        <f t="shared" si="0"/>
        <v>5</v>
      </c>
      <c r="I25" s="4">
        <v>1500</v>
      </c>
      <c r="J25" s="4">
        <v>3234863</v>
      </c>
      <c r="K25" s="4">
        <f t="shared" si="1"/>
        <v>3236363</v>
      </c>
      <c r="L25" s="4"/>
      <c r="M25" s="22"/>
      <c r="N25" s="22"/>
      <c r="O25" s="22"/>
    </row>
    <row r="26" spans="3:15" x14ac:dyDescent="0.25">
      <c r="C26" s="33"/>
      <c r="D26" s="11" t="s">
        <v>605</v>
      </c>
      <c r="E26" s="33"/>
      <c r="F26" t="s">
        <v>120</v>
      </c>
      <c r="G26" t="s">
        <v>25</v>
      </c>
      <c r="H26">
        <f t="shared" si="0"/>
        <v>1</v>
      </c>
      <c r="I26" s="4">
        <v>2000</v>
      </c>
      <c r="J26" s="4">
        <v>2145100</v>
      </c>
      <c r="K26" s="4">
        <f t="shared" si="1"/>
        <v>2147100</v>
      </c>
      <c r="L26" s="4"/>
      <c r="M26" s="22"/>
      <c r="N26" s="22"/>
      <c r="O26" s="22"/>
    </row>
    <row r="27" spans="3:15" x14ac:dyDescent="0.25">
      <c r="C27" s="33"/>
      <c r="D27" s="11" t="s">
        <v>606</v>
      </c>
      <c r="E27" s="33"/>
      <c r="F27" t="s">
        <v>100</v>
      </c>
      <c r="G27" t="s">
        <v>93</v>
      </c>
      <c r="H27">
        <f t="shared" si="0"/>
        <v>6</v>
      </c>
      <c r="I27" s="4">
        <v>2500</v>
      </c>
      <c r="J27" s="4">
        <v>4441944</v>
      </c>
      <c r="K27" s="4">
        <f t="shared" si="1"/>
        <v>4444444</v>
      </c>
      <c r="L27" s="4"/>
      <c r="M27" s="22"/>
      <c r="N27" s="22"/>
      <c r="O27" s="22"/>
    </row>
    <row r="28" spans="3:15" x14ac:dyDescent="0.25">
      <c r="C28" s="33"/>
      <c r="D28" s="11" t="s">
        <v>601</v>
      </c>
      <c r="E28" s="33"/>
      <c r="F28" t="s">
        <v>201</v>
      </c>
      <c r="G28" t="s">
        <v>25</v>
      </c>
      <c r="H28">
        <f t="shared" si="0"/>
        <v>3</v>
      </c>
      <c r="I28" s="4">
        <v>900</v>
      </c>
      <c r="J28" s="4">
        <v>2460131</v>
      </c>
      <c r="K28" s="4">
        <f t="shared" si="1"/>
        <v>2461031</v>
      </c>
      <c r="L28" s="4"/>
      <c r="M28" s="22"/>
      <c r="N28" s="22"/>
      <c r="O28" s="22"/>
    </row>
    <row r="29" spans="3:15" x14ac:dyDescent="0.25">
      <c r="C29" s="33"/>
      <c r="D29" s="11" t="s">
        <v>603</v>
      </c>
      <c r="E29" s="33"/>
      <c r="F29" t="s">
        <v>85</v>
      </c>
      <c r="G29" t="s">
        <v>25</v>
      </c>
      <c r="H29">
        <f t="shared" si="0"/>
        <v>4</v>
      </c>
      <c r="I29" s="4">
        <v>20000</v>
      </c>
      <c r="J29" s="4">
        <v>2934893</v>
      </c>
      <c r="K29" s="4">
        <f t="shared" si="1"/>
        <v>2954893</v>
      </c>
      <c r="L29" s="4"/>
      <c r="M29" s="22"/>
      <c r="N29" s="22"/>
      <c r="O29" s="22"/>
    </row>
    <row r="30" spans="3:15" x14ac:dyDescent="0.25">
      <c r="C30" s="33"/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/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/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/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/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/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ref="C36:C43" si="2">IF(H36=1,"u","")</f>
        <v/>
      </c>
      <c r="D36" s="11"/>
      <c r="E36" s="33" t="str">
        <f t="shared" ref="E36:E43" si="3">IF(H36=1,"t","")</f>
        <v/>
      </c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991" priority="23" operator="containsText" text="FAIL">
      <formula>NOT(ISERROR(SEARCH("FAIL",I9)))</formula>
    </cfRule>
  </conditionalFormatting>
  <conditionalFormatting sqref="I9">
    <cfRule type="containsText" dxfId="990" priority="22" operator="containsText" text="GOOD">
      <formula>NOT(ISERROR(SEARCH("GOOD",I9)))</formula>
    </cfRule>
  </conditionalFormatting>
  <conditionalFormatting sqref="I9">
    <cfRule type="containsText" dxfId="989" priority="21" operator="containsText" text="FAIL">
      <formula>NOT(ISERROR(SEARCH("FAIL",I9)))</formula>
    </cfRule>
  </conditionalFormatting>
  <conditionalFormatting sqref="I9">
    <cfRule type="containsText" dxfId="988" priority="20" operator="containsText" text="GOOD">
      <formula>NOT(ISERROR(SEARCH("GOOD",I9)))</formula>
    </cfRule>
  </conditionalFormatting>
  <conditionalFormatting sqref="I9">
    <cfRule type="containsText" dxfId="987" priority="19" operator="containsText" text="FAIL">
      <formula>NOT(ISERROR(SEARCH("FAIL",I9)))</formula>
    </cfRule>
  </conditionalFormatting>
  <conditionalFormatting sqref="I9">
    <cfRule type="containsText" dxfId="986" priority="18" operator="containsText" text="GOOD">
      <formula>NOT(ISERROR(SEARCH("GOOD",I9)))</formula>
    </cfRule>
  </conditionalFormatting>
  <conditionalFormatting sqref="F11">
    <cfRule type="containsText" dxfId="985" priority="17" operator="containsText" text="FAIL">
      <formula>NOT(ISERROR(SEARCH("FAIL",F11)))</formula>
    </cfRule>
  </conditionalFormatting>
  <conditionalFormatting sqref="F11">
    <cfRule type="containsText" dxfId="984" priority="16" operator="containsText" text="GOOD">
      <formula>NOT(ISERROR(SEARCH("GOOD",F11)))</formula>
    </cfRule>
  </conditionalFormatting>
  <conditionalFormatting sqref="I9">
    <cfRule type="containsText" dxfId="983" priority="15" operator="containsText" text="FAIL">
      <formula>NOT(ISERROR(SEARCH("FAIL",I9)))</formula>
    </cfRule>
  </conditionalFormatting>
  <conditionalFormatting sqref="I9">
    <cfRule type="containsText" dxfId="982" priority="14" operator="containsText" text="GOOD">
      <formula>NOT(ISERROR(SEARCH("GOOD",I9)))</formula>
    </cfRule>
  </conditionalFormatting>
  <conditionalFormatting sqref="F11">
    <cfRule type="containsText" dxfId="981" priority="13" operator="containsText" text="FAIL">
      <formula>NOT(ISERROR(SEARCH("FAIL",F11)))</formula>
    </cfRule>
  </conditionalFormatting>
  <conditionalFormatting sqref="F11">
    <cfRule type="containsText" dxfId="980" priority="12" operator="containsText" text="GOOD">
      <formula>NOT(ISERROR(SEARCH("GOOD",F11)))</formula>
    </cfRule>
  </conditionalFormatting>
  <conditionalFormatting sqref="D25">
    <cfRule type="expression" dxfId="979" priority="11" stopIfTrue="1">
      <formula>IF($H$25=1,0)</formula>
    </cfRule>
  </conditionalFormatting>
  <conditionalFormatting sqref="D23:D33 D36:D43">
    <cfRule type="expression" dxfId="978" priority="10">
      <formula>H23=1</formula>
    </cfRule>
  </conditionalFormatting>
  <conditionalFormatting sqref="C23:C33 C36:C43">
    <cfRule type="expression" dxfId="977" priority="9">
      <formula>H23=1</formula>
    </cfRule>
  </conditionalFormatting>
  <conditionalFormatting sqref="E23:E33 E36:E43">
    <cfRule type="expression" dxfId="976" priority="8">
      <formula>H23=1</formula>
    </cfRule>
  </conditionalFormatting>
  <conditionalFormatting sqref="E23:E33 E36:E43">
    <cfRule type="expression" dxfId="975" priority="7">
      <formula>H23=1</formula>
    </cfRule>
  </conditionalFormatting>
  <conditionalFormatting sqref="F11">
    <cfRule type="containsText" dxfId="974" priority="6" operator="containsText" text="FAIL">
      <formula>NOT(ISERROR(SEARCH("FAIL",F11)))</formula>
    </cfRule>
  </conditionalFormatting>
  <conditionalFormatting sqref="F11">
    <cfRule type="containsText" dxfId="973" priority="5" operator="containsText" text="GOOD">
      <formula>NOT(ISERROR(SEARCH("GOOD",F11)))</formula>
    </cfRule>
  </conditionalFormatting>
  <conditionalFormatting sqref="D34:D35">
    <cfRule type="expression" dxfId="972" priority="4">
      <formula>H34=1</formula>
    </cfRule>
  </conditionalFormatting>
  <conditionalFormatting sqref="C34:C35">
    <cfRule type="expression" dxfId="971" priority="3">
      <formula>H34=1</formula>
    </cfRule>
  </conditionalFormatting>
  <conditionalFormatting sqref="E34:E35">
    <cfRule type="expression" dxfId="970" priority="2">
      <formula>H34=1</formula>
    </cfRule>
  </conditionalFormatting>
  <conditionalFormatting sqref="E34:E35">
    <cfRule type="expression" dxfId="969" priority="1">
      <formula>H34=1</formula>
    </cfRule>
  </conditionalFormatting>
  <pageMargins left="0.7" right="0.7" top="0.75" bottom="0.75" header="0.3" footer="0.3"/>
  <pageSetup orientation="portrait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2:O47"/>
  <sheetViews>
    <sheetView zoomScaleNormal="100" workbookViewId="0">
      <selection activeCell="O24" sqref="O24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4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4" ht="18.75" x14ac:dyDescent="0.3">
      <c r="C3" s="3" t="s">
        <v>26</v>
      </c>
      <c r="J3" s="8" t="s">
        <v>48</v>
      </c>
    </row>
    <row r="4" spans="1:14" x14ac:dyDescent="0.25">
      <c r="C4" s="1"/>
      <c r="D4" s="2" t="s">
        <v>0</v>
      </c>
      <c r="E4" s="1"/>
      <c r="F4" t="s">
        <v>743</v>
      </c>
      <c r="I4" s="2" t="s">
        <v>4</v>
      </c>
      <c r="J4" t="s">
        <v>442</v>
      </c>
    </row>
    <row r="5" spans="1:14" x14ac:dyDescent="0.25">
      <c r="D5" s="2" t="s">
        <v>1</v>
      </c>
      <c r="F5" t="s">
        <v>744</v>
      </c>
    </row>
    <row r="6" spans="1:14" x14ac:dyDescent="0.25">
      <c r="D6" s="2" t="s">
        <v>2</v>
      </c>
      <c r="F6" s="6">
        <v>42626</v>
      </c>
      <c r="H6" s="11"/>
    </row>
    <row r="7" spans="1:14" x14ac:dyDescent="0.25">
      <c r="D7" s="2" t="s">
        <v>3</v>
      </c>
      <c r="F7" s="5">
        <f>+K7+J7+I7+(K7*L7)</f>
        <v>73640000</v>
      </c>
      <c r="G7" s="2" t="s">
        <v>190</v>
      </c>
      <c r="H7" s="11"/>
      <c r="I7" s="19">
        <v>25600000</v>
      </c>
      <c r="J7" s="19">
        <v>46500000</v>
      </c>
      <c r="K7" s="19">
        <v>1400000</v>
      </c>
      <c r="L7" s="20">
        <v>0.1</v>
      </c>
    </row>
    <row r="8" spans="1:14" x14ac:dyDescent="0.25">
      <c r="D8" s="2" t="s">
        <v>18</v>
      </c>
      <c r="F8" s="5">
        <f>MIN(L23:L43)</f>
        <v>68462700</v>
      </c>
      <c r="H8" s="11"/>
      <c r="I8" s="18" t="s">
        <v>43</v>
      </c>
      <c r="J8" s="18" t="s">
        <v>44</v>
      </c>
      <c r="K8" s="18" t="s">
        <v>49</v>
      </c>
      <c r="L8" s="18" t="s">
        <v>50</v>
      </c>
    </row>
    <row r="9" spans="1:14" x14ac:dyDescent="0.25">
      <c r="D9" s="2" t="s">
        <v>19</v>
      </c>
      <c r="F9" s="4">
        <f>+F8-F7</f>
        <v>-5177300</v>
      </c>
      <c r="G9" s="16">
        <f>+F9/F7</f>
        <v>-7.0305540467137426E-2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4" x14ac:dyDescent="0.25">
      <c r="D10" s="2" t="s">
        <v>68</v>
      </c>
      <c r="F10" s="4">
        <f>+F7-F12</f>
        <v>-1170850</v>
      </c>
      <c r="H10" s="11"/>
      <c r="K10" s="31"/>
      <c r="N10" t="e">
        <f>LOOKUP(1,D23:D43)</f>
        <v>#N/A</v>
      </c>
    </row>
    <row r="11" spans="1:14" x14ac:dyDescent="0.25">
      <c r="A11" s="30"/>
      <c r="D11" s="2" t="s">
        <v>71</v>
      </c>
      <c r="F11" s="11" t="str">
        <f>(IF(F7&lt;J12,"FAIL",IF(F7&gt;J13,"FAIL","GOOD")))</f>
        <v>GOOD</v>
      </c>
      <c r="H11" s="11"/>
      <c r="L11" s="31"/>
      <c r="N11" t="e">
        <f>MATCH(1,D23:H43,0)</f>
        <v>#N/A</v>
      </c>
    </row>
    <row r="12" spans="1:14" x14ac:dyDescent="0.25">
      <c r="D12" s="2" t="s">
        <v>28</v>
      </c>
      <c r="F12" s="4">
        <f>SUM(L23:L43)/H12</f>
        <v>74810850</v>
      </c>
      <c r="G12" s="14"/>
      <c r="H12" s="11">
        <f>COUNT(L23:L43)</f>
        <v>2</v>
      </c>
      <c r="I12" s="1" t="s">
        <v>31</v>
      </c>
      <c r="J12" s="4">
        <f>+F8*0.9</f>
        <v>61616430</v>
      </c>
      <c r="K12" s="1" t="s">
        <v>69</v>
      </c>
      <c r="N12" t="str">
        <f>INDEX(D23:D43,MATCH(1,H23:H43,0))</f>
        <v>Tully/Intercounty JV</v>
      </c>
    </row>
    <row r="13" spans="1:14" x14ac:dyDescent="0.25">
      <c r="D13" s="2" t="s">
        <v>29</v>
      </c>
      <c r="F13" s="4">
        <f>MAX(L23:L43)-MIN(L23:L43)</f>
        <v>12696300</v>
      </c>
      <c r="G13" s="269">
        <f>MEDIAN(L23:L43)</f>
        <v>74810850</v>
      </c>
      <c r="H13" s="270"/>
      <c r="I13" s="1" t="s">
        <v>30</v>
      </c>
      <c r="J13" s="4">
        <f>+F12*1.1</f>
        <v>82291935</v>
      </c>
      <c r="K13" s="1" t="s">
        <v>70</v>
      </c>
    </row>
    <row r="14" spans="1:14" x14ac:dyDescent="0.25">
      <c r="H14" s="11"/>
    </row>
    <row r="15" spans="1:14" x14ac:dyDescent="0.25">
      <c r="D15" s="2" t="s">
        <v>8</v>
      </c>
      <c r="F15" s="4">
        <v>5000000</v>
      </c>
      <c r="G15" s="1" t="s">
        <v>9</v>
      </c>
      <c r="H15" s="11"/>
      <c r="I15" t="s">
        <v>15</v>
      </c>
      <c r="J15" s="7">
        <f>+F16/F15</f>
        <v>1.2</v>
      </c>
    </row>
    <row r="16" spans="1:14" x14ac:dyDescent="0.25">
      <c r="F16" s="4">
        <v>6000000</v>
      </c>
      <c r="G16" s="1" t="s">
        <v>10</v>
      </c>
      <c r="H16" s="11"/>
      <c r="I16" t="s">
        <v>14</v>
      </c>
      <c r="J16" s="7">
        <f>+F17/F16</f>
        <v>1.0833333333333333</v>
      </c>
    </row>
    <row r="17" spans="3:15" x14ac:dyDescent="0.25">
      <c r="F17" s="4">
        <v>6500000</v>
      </c>
      <c r="G17" s="1" t="s">
        <v>11</v>
      </c>
      <c r="H17" s="11"/>
      <c r="I17" t="s">
        <v>13</v>
      </c>
      <c r="J17" s="7">
        <f>+F18/F17</f>
        <v>11.329230769230769</v>
      </c>
    </row>
    <row r="18" spans="3:15" x14ac:dyDescent="0.25">
      <c r="F18" s="4">
        <f>+F7</f>
        <v>73640000</v>
      </c>
      <c r="G18" s="1" t="s">
        <v>12</v>
      </c>
      <c r="H18" s="11"/>
      <c r="I18" t="s">
        <v>16</v>
      </c>
      <c r="J18" s="7">
        <f>+F8/F18</f>
        <v>0.92969445953286256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13.692539999999999</v>
      </c>
    </row>
    <row r="20" spans="3:15" x14ac:dyDescent="0.25">
      <c r="H20" s="1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42</v>
      </c>
      <c r="L21" s="10" t="s">
        <v>39</v>
      </c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745</v>
      </c>
      <c r="E23" s="33"/>
      <c r="F23" t="s">
        <v>159</v>
      </c>
      <c r="G23" t="s">
        <v>93</v>
      </c>
      <c r="H23">
        <f>RANK(L23,L$23:L$43,1)</f>
        <v>1</v>
      </c>
      <c r="I23" s="4">
        <v>19262700</v>
      </c>
      <c r="J23" s="4">
        <v>47590000</v>
      </c>
      <c r="K23" s="7">
        <v>0.15</v>
      </c>
      <c r="L23" s="4">
        <f>+I23+J23+(K23*K$7)+$K$7</f>
        <v>68462700</v>
      </c>
      <c r="M23" s="22"/>
      <c r="N23" s="22"/>
      <c r="O23" s="22"/>
    </row>
    <row r="24" spans="3:15" x14ac:dyDescent="0.25">
      <c r="C24" s="33" t="str">
        <f>IF(H24=1,"u","")</f>
        <v/>
      </c>
      <c r="D24" s="11" t="s">
        <v>665</v>
      </c>
      <c r="E24" s="33"/>
      <c r="F24" t="s">
        <v>413</v>
      </c>
      <c r="G24" t="s">
        <v>93</v>
      </c>
      <c r="H24">
        <f>RANK(L24,L$23:L$43,1)</f>
        <v>2</v>
      </c>
      <c r="I24" s="4">
        <v>14546150</v>
      </c>
      <c r="J24" s="4">
        <v>64932850</v>
      </c>
      <c r="K24" s="7">
        <v>0.2</v>
      </c>
      <c r="L24" s="4">
        <f>+I24+J24+(K24*K$7)+$K$7</f>
        <v>81159000</v>
      </c>
      <c r="M24" s="22"/>
      <c r="N24" s="22"/>
      <c r="O24" s="22"/>
    </row>
    <row r="25" spans="3:15" x14ac:dyDescent="0.25">
      <c r="C25" s="33"/>
      <c r="D25" s="11"/>
      <c r="E25" s="33"/>
      <c r="I25" s="4"/>
      <c r="J25" s="4"/>
      <c r="K25" s="7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7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7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7"/>
      <c r="L28" s="4"/>
      <c r="M28" s="22"/>
      <c r="N28" s="22"/>
      <c r="O28" s="22"/>
    </row>
    <row r="29" spans="3:15" x14ac:dyDescent="0.25">
      <c r="C29" s="33"/>
      <c r="D29" s="11"/>
      <c r="E29" s="33"/>
      <c r="I29" s="4"/>
      <c r="J29" s="4"/>
      <c r="K29" s="7"/>
      <c r="L29" s="4"/>
      <c r="M29" s="22"/>
      <c r="N29" s="22"/>
      <c r="O29" s="22"/>
    </row>
    <row r="30" spans="3:15" x14ac:dyDescent="0.25">
      <c r="C30" s="33" t="str">
        <f t="shared" ref="C30:C43" si="0">IF(H30=1,"u","")</f>
        <v/>
      </c>
      <c r="D30" s="11"/>
      <c r="E30" s="33" t="str">
        <f t="shared" ref="E30:E43" si="1">IF(H30=1,"t","")</f>
        <v/>
      </c>
      <c r="I30" s="4"/>
      <c r="J30" s="4"/>
      <c r="K30" s="7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7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7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I33" s="4"/>
      <c r="J33" s="4"/>
      <c r="K33" s="7"/>
      <c r="L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K34" s="7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K35" s="7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K36" s="7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K37" s="7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K38" s="7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K39" s="7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K40" s="7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K41" s="7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K42" s="7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K43" s="7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  <c r="M47" s="21"/>
      <c r="N47" s="21"/>
      <c r="O47" s="21"/>
    </row>
  </sheetData>
  <mergeCells count="1">
    <mergeCell ref="G13:H13"/>
  </mergeCells>
  <conditionalFormatting sqref="I9 F11">
    <cfRule type="containsText" dxfId="968" priority="8" operator="containsText" text="FAIL">
      <formula>NOT(ISERROR(SEARCH("FAIL",F9)))</formula>
    </cfRule>
  </conditionalFormatting>
  <conditionalFormatting sqref="I9 F11">
    <cfRule type="containsText" dxfId="967" priority="7" operator="containsText" text="GOOD">
      <formula>NOT(ISERROR(SEARCH("GOOD",F9)))</formula>
    </cfRule>
  </conditionalFormatting>
  <conditionalFormatting sqref="I9">
    <cfRule type="containsText" dxfId="966" priority="6" operator="containsText" text="FAIL">
      <formula>NOT(ISERROR(SEARCH("FAIL",I9)))</formula>
    </cfRule>
  </conditionalFormatting>
  <conditionalFormatting sqref="I9">
    <cfRule type="containsText" dxfId="965" priority="5" operator="containsText" text="GOOD">
      <formula>NOT(ISERROR(SEARCH("GOOD",I9)))</formula>
    </cfRule>
  </conditionalFormatting>
  <conditionalFormatting sqref="D25">
    <cfRule type="expression" dxfId="964" priority="4" stopIfTrue="1">
      <formula>IF($H$25=1,0)</formula>
    </cfRule>
  </conditionalFormatting>
  <conditionalFormatting sqref="D23:D43">
    <cfRule type="expression" dxfId="963" priority="3">
      <formula>H23=1</formula>
    </cfRule>
  </conditionalFormatting>
  <conditionalFormatting sqref="C23:C43">
    <cfRule type="expression" dxfId="962" priority="2">
      <formula>H23=1</formula>
    </cfRule>
  </conditionalFormatting>
  <conditionalFormatting sqref="E23:E43">
    <cfRule type="expression" dxfId="961" priority="1">
      <formula>H23=1</formula>
    </cfRule>
  </conditionalFormatting>
  <pageMargins left="0.7" right="0.7" top="0.75" bottom="0.75" header="0.3" footer="0.3"/>
  <pageSetup orientation="portrait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2:O47"/>
  <sheetViews>
    <sheetView workbookViewId="0">
      <selection activeCell="L7" sqref="L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731</v>
      </c>
      <c r="I4" s="2" t="s">
        <v>4</v>
      </c>
      <c r="J4" t="s">
        <v>442</v>
      </c>
    </row>
    <row r="5" spans="1:11" x14ac:dyDescent="0.25">
      <c r="D5" s="2" t="s">
        <v>1</v>
      </c>
      <c r="F5" t="s">
        <v>732</v>
      </c>
    </row>
    <row r="6" spans="1:11" x14ac:dyDescent="0.25">
      <c r="D6" s="2" t="s">
        <v>2</v>
      </c>
      <c r="F6" s="6">
        <v>42612</v>
      </c>
      <c r="H6" s="11"/>
    </row>
    <row r="7" spans="1:11" x14ac:dyDescent="0.25">
      <c r="D7" s="2" t="s">
        <v>3</v>
      </c>
      <c r="F7" s="5">
        <f>+I7+J7</f>
        <v>2000000</v>
      </c>
      <c r="G7" s="2" t="s">
        <v>34</v>
      </c>
      <c r="H7" s="11"/>
      <c r="I7" s="19">
        <v>128100</v>
      </c>
      <c r="J7" s="19">
        <v>1871900</v>
      </c>
    </row>
    <row r="8" spans="1:11" x14ac:dyDescent="0.25">
      <c r="D8" s="2" t="s">
        <v>18</v>
      </c>
      <c r="F8" s="5">
        <f>MIN(K23:K43)</f>
        <v>1460000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-540000</v>
      </c>
      <c r="G9" s="16">
        <f>+F9/F7</f>
        <v>-0.27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-42108.100000000093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2042108.1</v>
      </c>
      <c r="G12" s="14"/>
      <c r="H12" s="11">
        <f>COUNT(K23:K43)</f>
        <v>10</v>
      </c>
      <c r="I12" s="1" t="s">
        <v>31</v>
      </c>
      <c r="J12" s="4">
        <f>+F8*0.9</f>
        <v>1314000</v>
      </c>
      <c r="K12" s="1" t="s">
        <v>69</v>
      </c>
    </row>
    <row r="13" spans="1:11" x14ac:dyDescent="0.25">
      <c r="D13" s="2" t="s">
        <v>29</v>
      </c>
      <c r="F13" s="4">
        <f>MAX(K23:K43)-MIN(K23:K43)</f>
        <v>2325260</v>
      </c>
      <c r="G13" s="269">
        <f>MEDIAN(K23:K43)</f>
        <v>1864300.5</v>
      </c>
      <c r="H13" s="270"/>
      <c r="I13" s="1" t="s">
        <v>30</v>
      </c>
      <c r="J13" s="4">
        <f>+F12*1.1</f>
        <v>2246318.91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6.7796610169491525E-2</v>
      </c>
    </row>
    <row r="18" spans="3:15" x14ac:dyDescent="0.25">
      <c r="F18" s="4">
        <f>+F7</f>
        <v>2000000</v>
      </c>
      <c r="G18" s="1" t="s">
        <v>12</v>
      </c>
      <c r="H18" s="11"/>
      <c r="I18" t="s">
        <v>16</v>
      </c>
      <c r="J18" s="7">
        <f>+F8/F18</f>
        <v>0.73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4.8666666666666664E-2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733</v>
      </c>
      <c r="E23" s="33"/>
      <c r="F23" t="s">
        <v>120</v>
      </c>
      <c r="G23" t="s">
        <v>25</v>
      </c>
      <c r="H23">
        <f>RANK(K23,K$23:K$43,1)</f>
        <v>9</v>
      </c>
      <c r="I23" s="4">
        <v>60000</v>
      </c>
      <c r="J23" s="4">
        <v>2556300</v>
      </c>
      <c r="K23" s="4">
        <f>+J23+I23</f>
        <v>2616300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734</v>
      </c>
      <c r="E24" s="33"/>
      <c r="F24" t="s">
        <v>558</v>
      </c>
      <c r="G24" t="s">
        <v>25</v>
      </c>
      <c r="H24">
        <f t="shared" ref="H24:H32" si="0">RANK(K24,K$23:K$43,1)</f>
        <v>2</v>
      </c>
      <c r="I24" s="4">
        <v>90000</v>
      </c>
      <c r="J24" s="4">
        <v>1410000</v>
      </c>
      <c r="K24" s="4">
        <f t="shared" ref="K24:K32" si="1">+J24+I24</f>
        <v>1500000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735</v>
      </c>
      <c r="E25" s="33"/>
      <c r="F25" t="s">
        <v>157</v>
      </c>
      <c r="G25" t="s">
        <v>93</v>
      </c>
      <c r="H25">
        <f t="shared" si="0"/>
        <v>10</v>
      </c>
      <c r="I25" s="4">
        <v>180000</v>
      </c>
      <c r="J25" s="4">
        <v>3605260</v>
      </c>
      <c r="K25" s="4">
        <f t="shared" si="1"/>
        <v>3785260</v>
      </c>
      <c r="L25" s="4"/>
      <c r="M25" s="22"/>
      <c r="N25" s="22"/>
      <c r="O25" s="22"/>
    </row>
    <row r="26" spans="3:15" x14ac:dyDescent="0.25">
      <c r="C26" s="33"/>
      <c r="D26" s="11" t="s">
        <v>725</v>
      </c>
      <c r="E26" s="33"/>
      <c r="F26" t="s">
        <v>594</v>
      </c>
      <c r="G26" t="s">
        <v>25</v>
      </c>
      <c r="H26">
        <f t="shared" si="0"/>
        <v>3</v>
      </c>
      <c r="I26" s="4">
        <v>135000</v>
      </c>
      <c r="J26" s="4">
        <v>1475000</v>
      </c>
      <c r="K26" s="4">
        <f t="shared" si="1"/>
        <v>1610000</v>
      </c>
      <c r="L26" s="4"/>
      <c r="M26" s="22"/>
      <c r="N26" s="22"/>
      <c r="O26" s="22"/>
    </row>
    <row r="27" spans="3:15" x14ac:dyDescent="0.25">
      <c r="C27" s="33"/>
      <c r="D27" s="11" t="s">
        <v>736</v>
      </c>
      <c r="E27" s="33"/>
      <c r="F27" t="s">
        <v>737</v>
      </c>
      <c r="G27" t="s">
        <v>321</v>
      </c>
      <c r="H27">
        <f t="shared" si="0"/>
        <v>5</v>
      </c>
      <c r="I27" s="4">
        <v>313900</v>
      </c>
      <c r="J27" s="4">
        <v>1458701</v>
      </c>
      <c r="K27" s="4">
        <f t="shared" si="1"/>
        <v>1772601</v>
      </c>
      <c r="L27" s="4"/>
      <c r="M27" s="22"/>
      <c r="N27" s="22"/>
      <c r="O27" s="22"/>
    </row>
    <row r="28" spans="3:15" x14ac:dyDescent="0.25">
      <c r="C28" s="33"/>
      <c r="D28" s="11" t="s">
        <v>738</v>
      </c>
      <c r="E28" s="33"/>
      <c r="F28" t="s">
        <v>739</v>
      </c>
      <c r="G28" t="s">
        <v>93</v>
      </c>
      <c r="H28">
        <f t="shared" si="0"/>
        <v>1</v>
      </c>
      <c r="I28" s="4">
        <v>114000</v>
      </c>
      <c r="J28" s="4">
        <v>1346000</v>
      </c>
      <c r="K28" s="4">
        <f t="shared" si="1"/>
        <v>1460000</v>
      </c>
      <c r="L28" s="4"/>
      <c r="M28" s="22"/>
      <c r="N28" s="22"/>
      <c r="O28" s="22"/>
    </row>
    <row r="29" spans="3:15" x14ac:dyDescent="0.25">
      <c r="C29" s="33"/>
      <c r="D29" s="11" t="s">
        <v>740</v>
      </c>
      <c r="E29" s="33"/>
      <c r="F29" t="s">
        <v>149</v>
      </c>
      <c r="G29" t="s">
        <v>25</v>
      </c>
      <c r="H29">
        <f t="shared" si="0"/>
        <v>7</v>
      </c>
      <c r="I29" s="4">
        <v>110000</v>
      </c>
      <c r="J29" s="4">
        <v>1909800</v>
      </c>
      <c r="K29" s="4">
        <f t="shared" si="1"/>
        <v>2019800</v>
      </c>
      <c r="L29" s="4"/>
      <c r="M29" s="22"/>
      <c r="N29" s="22"/>
      <c r="O29" s="22"/>
    </row>
    <row r="30" spans="3:15" x14ac:dyDescent="0.25">
      <c r="C30" s="33"/>
      <c r="D30" s="11" t="s">
        <v>554</v>
      </c>
      <c r="E30" s="33"/>
      <c r="F30" t="s">
        <v>397</v>
      </c>
      <c r="G30" t="s">
        <v>25</v>
      </c>
      <c r="H30">
        <f t="shared" si="0"/>
        <v>4</v>
      </c>
      <c r="I30" s="4">
        <v>98000</v>
      </c>
      <c r="J30" s="4">
        <v>1544000</v>
      </c>
      <c r="K30" s="4">
        <f t="shared" si="1"/>
        <v>1642000</v>
      </c>
      <c r="L30" s="4"/>
      <c r="M30" s="22"/>
      <c r="N30" s="22"/>
      <c r="O30" s="22"/>
    </row>
    <row r="31" spans="3:15" x14ac:dyDescent="0.25">
      <c r="C31" s="33"/>
      <c r="D31" s="11" t="s">
        <v>680</v>
      </c>
      <c r="E31" s="33"/>
      <c r="F31" t="s">
        <v>532</v>
      </c>
      <c r="G31" t="s">
        <v>93</v>
      </c>
      <c r="H31">
        <f t="shared" si="0"/>
        <v>6</v>
      </c>
      <c r="I31" s="4">
        <v>140000</v>
      </c>
      <c r="J31" s="4">
        <v>1816000</v>
      </c>
      <c r="K31" s="4">
        <f t="shared" si="1"/>
        <v>1956000</v>
      </c>
      <c r="L31" s="4"/>
      <c r="M31" s="22"/>
      <c r="N31" s="22"/>
      <c r="O31" s="22"/>
    </row>
    <row r="32" spans="3:15" x14ac:dyDescent="0.25">
      <c r="C32" s="33"/>
      <c r="D32" s="11" t="s">
        <v>741</v>
      </c>
      <c r="E32" s="33"/>
      <c r="F32" t="s">
        <v>742</v>
      </c>
      <c r="G32" t="s">
        <v>25</v>
      </c>
      <c r="H32">
        <f t="shared" si="0"/>
        <v>8</v>
      </c>
      <c r="I32" s="4">
        <v>82120</v>
      </c>
      <c r="J32" s="4">
        <v>1977000</v>
      </c>
      <c r="K32" s="4">
        <f t="shared" si="1"/>
        <v>2059120</v>
      </c>
      <c r="L32" s="4"/>
      <c r="M32" s="22"/>
      <c r="N32" s="22"/>
      <c r="O32" s="22"/>
    </row>
    <row r="33" spans="3:15" x14ac:dyDescent="0.25">
      <c r="C33" s="33"/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/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/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ref="C36:C43" si="2">IF(H36=1,"u","")</f>
        <v/>
      </c>
      <c r="D36" s="11"/>
      <c r="E36" s="33" t="str">
        <f t="shared" ref="E36:E43" si="3">IF(H36=1,"t","")</f>
        <v/>
      </c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960" priority="23" operator="containsText" text="FAIL">
      <formula>NOT(ISERROR(SEARCH("FAIL",I9)))</formula>
    </cfRule>
  </conditionalFormatting>
  <conditionalFormatting sqref="I9">
    <cfRule type="containsText" dxfId="959" priority="22" operator="containsText" text="GOOD">
      <formula>NOT(ISERROR(SEARCH("GOOD",I9)))</formula>
    </cfRule>
  </conditionalFormatting>
  <conditionalFormatting sqref="I9">
    <cfRule type="containsText" dxfId="958" priority="21" operator="containsText" text="FAIL">
      <formula>NOT(ISERROR(SEARCH("FAIL",I9)))</formula>
    </cfRule>
  </conditionalFormatting>
  <conditionalFormatting sqref="I9">
    <cfRule type="containsText" dxfId="957" priority="20" operator="containsText" text="GOOD">
      <formula>NOT(ISERROR(SEARCH("GOOD",I9)))</formula>
    </cfRule>
  </conditionalFormatting>
  <conditionalFormatting sqref="I9">
    <cfRule type="containsText" dxfId="956" priority="19" operator="containsText" text="FAIL">
      <formula>NOT(ISERROR(SEARCH("FAIL",I9)))</formula>
    </cfRule>
  </conditionalFormatting>
  <conditionalFormatting sqref="I9">
    <cfRule type="containsText" dxfId="955" priority="18" operator="containsText" text="GOOD">
      <formula>NOT(ISERROR(SEARCH("GOOD",I9)))</formula>
    </cfRule>
  </conditionalFormatting>
  <conditionalFormatting sqref="F11">
    <cfRule type="containsText" dxfId="954" priority="17" operator="containsText" text="FAIL">
      <formula>NOT(ISERROR(SEARCH("FAIL",F11)))</formula>
    </cfRule>
  </conditionalFormatting>
  <conditionalFormatting sqref="F11">
    <cfRule type="containsText" dxfId="953" priority="16" operator="containsText" text="GOOD">
      <formula>NOT(ISERROR(SEARCH("GOOD",F11)))</formula>
    </cfRule>
  </conditionalFormatting>
  <conditionalFormatting sqref="I9">
    <cfRule type="containsText" dxfId="952" priority="15" operator="containsText" text="FAIL">
      <formula>NOT(ISERROR(SEARCH("FAIL",I9)))</formula>
    </cfRule>
  </conditionalFormatting>
  <conditionalFormatting sqref="I9">
    <cfRule type="containsText" dxfId="951" priority="14" operator="containsText" text="GOOD">
      <formula>NOT(ISERROR(SEARCH("GOOD",I9)))</formula>
    </cfRule>
  </conditionalFormatting>
  <conditionalFormatting sqref="F11">
    <cfRule type="containsText" dxfId="950" priority="13" operator="containsText" text="FAIL">
      <formula>NOT(ISERROR(SEARCH("FAIL",F11)))</formula>
    </cfRule>
  </conditionalFormatting>
  <conditionalFormatting sqref="F11">
    <cfRule type="containsText" dxfId="949" priority="12" operator="containsText" text="GOOD">
      <formula>NOT(ISERROR(SEARCH("GOOD",F11)))</formula>
    </cfRule>
  </conditionalFormatting>
  <conditionalFormatting sqref="D25">
    <cfRule type="expression" dxfId="948" priority="11" stopIfTrue="1">
      <formula>IF($H$25=1,0)</formula>
    </cfRule>
  </conditionalFormatting>
  <conditionalFormatting sqref="D23:D33 D36:D43">
    <cfRule type="expression" dxfId="947" priority="10">
      <formula>H23=1</formula>
    </cfRule>
  </conditionalFormatting>
  <conditionalFormatting sqref="C23:C33 C36:C43">
    <cfRule type="expression" dxfId="946" priority="9">
      <formula>H23=1</formula>
    </cfRule>
  </conditionalFormatting>
  <conditionalFormatting sqref="E23:E33 E36:E43">
    <cfRule type="expression" dxfId="945" priority="8">
      <formula>H23=1</formula>
    </cfRule>
  </conditionalFormatting>
  <conditionalFormatting sqref="E23:E33 E36:E43">
    <cfRule type="expression" dxfId="944" priority="7">
      <formula>H23=1</formula>
    </cfRule>
  </conditionalFormatting>
  <conditionalFormatting sqref="F11">
    <cfRule type="containsText" dxfId="943" priority="6" operator="containsText" text="FAIL">
      <formula>NOT(ISERROR(SEARCH("FAIL",F11)))</formula>
    </cfRule>
  </conditionalFormatting>
  <conditionalFormatting sqref="F11">
    <cfRule type="containsText" dxfId="942" priority="5" operator="containsText" text="GOOD">
      <formula>NOT(ISERROR(SEARCH("GOOD",F11)))</formula>
    </cfRule>
  </conditionalFormatting>
  <conditionalFormatting sqref="D34:D35">
    <cfRule type="expression" dxfId="941" priority="4">
      <formula>H34=1</formula>
    </cfRule>
  </conditionalFormatting>
  <conditionalFormatting sqref="C34:C35">
    <cfRule type="expression" dxfId="940" priority="3">
      <formula>H34=1</formula>
    </cfRule>
  </conditionalFormatting>
  <conditionalFormatting sqref="E34:E35">
    <cfRule type="expression" dxfId="939" priority="2">
      <formula>H34=1</formula>
    </cfRule>
  </conditionalFormatting>
  <conditionalFormatting sqref="E34:E35">
    <cfRule type="expression" dxfId="938" priority="1">
      <formula>H34=1</formula>
    </cfRule>
  </conditionalFormatting>
  <pageMargins left="0.7" right="0.7" top="0.75" bottom="0.75" header="0.3" footer="0.3"/>
  <pageSetup orientation="portrait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2:O47"/>
  <sheetViews>
    <sheetView zoomScaleNormal="100" workbookViewId="0">
      <selection activeCell="K25" sqref="K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727</v>
      </c>
      <c r="I4" s="2" t="s">
        <v>4</v>
      </c>
      <c r="J4" t="s">
        <v>616</v>
      </c>
    </row>
    <row r="5" spans="1:11" x14ac:dyDescent="0.25">
      <c r="D5" s="2" t="s">
        <v>1</v>
      </c>
      <c r="F5" t="s">
        <v>728</v>
      </c>
    </row>
    <row r="6" spans="1:11" x14ac:dyDescent="0.25">
      <c r="D6" s="2" t="s">
        <v>2</v>
      </c>
      <c r="F6" s="6">
        <v>42606</v>
      </c>
      <c r="H6" s="11"/>
    </row>
    <row r="7" spans="1:11" x14ac:dyDescent="0.25">
      <c r="D7" s="2" t="s">
        <v>3</v>
      </c>
      <c r="F7" s="5">
        <v>230000</v>
      </c>
      <c r="G7" s="2" t="s">
        <v>693</v>
      </c>
      <c r="H7" s="11"/>
    </row>
    <row r="8" spans="1:11" x14ac:dyDescent="0.25">
      <c r="D8" s="2" t="s">
        <v>18</v>
      </c>
      <c r="F8" s="5">
        <f>MIN(I23:I43)</f>
        <v>274450</v>
      </c>
      <c r="H8" s="11"/>
    </row>
    <row r="9" spans="1:11" x14ac:dyDescent="0.25">
      <c r="D9" s="2" t="s">
        <v>67</v>
      </c>
      <c r="F9" s="4">
        <f>+F8-F7</f>
        <v>44450</v>
      </c>
      <c r="G9" s="16">
        <f>+F9/F7</f>
        <v>0.1932608695652174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-132483.33333333331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362483.33333333331</v>
      </c>
      <c r="G12" s="14"/>
      <c r="H12" s="11">
        <f>COUNT(I23:I43)</f>
        <v>3</v>
      </c>
      <c r="I12" s="1" t="s">
        <v>31</v>
      </c>
      <c r="J12" s="4">
        <f>+F8*0.9</f>
        <v>247005</v>
      </c>
      <c r="K12" s="1" t="s">
        <v>69</v>
      </c>
    </row>
    <row r="13" spans="1:11" x14ac:dyDescent="0.25">
      <c r="D13" s="2" t="s">
        <v>29</v>
      </c>
      <c r="F13" s="4">
        <f>MAX(I23:I43)-MIN(I23:I43)</f>
        <v>143550</v>
      </c>
      <c r="G13" s="269">
        <f>MEDIAN(I23:I43)</f>
        <v>395000</v>
      </c>
      <c r="H13" s="270"/>
      <c r="I13" s="1" t="s">
        <v>30</v>
      </c>
      <c r="J13" s="4">
        <f>+F12*1.1</f>
        <v>398731.66666666669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427</v>
      </c>
      <c r="E23" s="33"/>
      <c r="F23" t="s">
        <v>85</v>
      </c>
      <c r="G23" t="s">
        <v>25</v>
      </c>
      <c r="H23">
        <f>RANK(I23,I$23:I$43,1)</f>
        <v>1</v>
      </c>
      <c r="I23" s="4">
        <v>274450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729</v>
      </c>
      <c r="E24" s="33"/>
      <c r="F24" t="s">
        <v>730</v>
      </c>
      <c r="G24" t="s">
        <v>93</v>
      </c>
      <c r="H24">
        <f>RANK(I24,I$23:I$43,1)</f>
        <v>2</v>
      </c>
      <c r="I24" s="4">
        <v>395000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631</v>
      </c>
      <c r="E25" s="33"/>
      <c r="F25" t="s">
        <v>131</v>
      </c>
      <c r="G25" t="s">
        <v>25</v>
      </c>
      <c r="H25">
        <f>RANK(I25,I$23:I$43,1)</f>
        <v>3</v>
      </c>
      <c r="I25" s="4">
        <v>418000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937" priority="10" operator="containsText" text="FAIL">
      <formula>NOT(ISERROR(SEARCH("FAIL",I9)))</formula>
    </cfRule>
  </conditionalFormatting>
  <conditionalFormatting sqref="I9">
    <cfRule type="containsText" dxfId="936" priority="9" operator="containsText" text="GOOD">
      <formula>NOT(ISERROR(SEARCH("GOOD",I9)))</formula>
    </cfRule>
  </conditionalFormatting>
  <conditionalFormatting sqref="F11">
    <cfRule type="containsText" dxfId="935" priority="8" operator="containsText" text="FAIL">
      <formula>NOT(ISERROR(SEARCH("FAIL",F11)))</formula>
    </cfRule>
  </conditionalFormatting>
  <conditionalFormatting sqref="F11">
    <cfRule type="containsText" dxfId="934" priority="7" operator="containsText" text="GOOD">
      <formula>NOT(ISERROR(SEARCH("GOOD",F11)))</formula>
    </cfRule>
  </conditionalFormatting>
  <conditionalFormatting sqref="D25">
    <cfRule type="expression" dxfId="933" priority="6" stopIfTrue="1">
      <formula>IF($H$25=1,0)</formula>
    </cfRule>
  </conditionalFormatting>
  <conditionalFormatting sqref="D23:D43">
    <cfRule type="expression" dxfId="932" priority="5">
      <formula>H23=1</formula>
    </cfRule>
  </conditionalFormatting>
  <conditionalFormatting sqref="C23:C43">
    <cfRule type="expression" dxfId="931" priority="4">
      <formula>H23=1</formula>
    </cfRule>
  </conditionalFormatting>
  <conditionalFormatting sqref="E23:E43">
    <cfRule type="expression" dxfId="930" priority="3">
      <formula>H23=1</formula>
    </cfRule>
  </conditionalFormatting>
  <conditionalFormatting sqref="F11">
    <cfRule type="containsText" dxfId="929" priority="2" operator="containsText" text="FAIL">
      <formula>NOT(ISERROR(SEARCH("FAIL",F11)))</formula>
    </cfRule>
  </conditionalFormatting>
  <conditionalFormatting sqref="F11">
    <cfRule type="containsText" dxfId="928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2:O47"/>
  <sheetViews>
    <sheetView zoomScaleNormal="100" workbookViewId="0">
      <selection activeCell="K25" sqref="K2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719</v>
      </c>
      <c r="I4" s="2" t="s">
        <v>4</v>
      </c>
      <c r="J4" t="s">
        <v>447</v>
      </c>
    </row>
    <row r="5" spans="1:11" x14ac:dyDescent="0.25">
      <c r="D5" s="2" t="s">
        <v>1</v>
      </c>
      <c r="F5" t="s">
        <v>720</v>
      </c>
    </row>
    <row r="6" spans="1:11" x14ac:dyDescent="0.25">
      <c r="D6" s="2" t="s">
        <v>2</v>
      </c>
      <c r="F6" s="6">
        <v>42601</v>
      </c>
      <c r="H6" s="11"/>
    </row>
    <row r="7" spans="1:11" x14ac:dyDescent="0.25">
      <c r="D7" s="2" t="s">
        <v>3</v>
      </c>
      <c r="F7" s="5">
        <v>6120000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4674300</v>
      </c>
      <c r="H8" s="11"/>
    </row>
    <row r="9" spans="1:11" x14ac:dyDescent="0.25">
      <c r="D9" s="2" t="s">
        <v>67</v>
      </c>
      <c r="F9" s="4">
        <f>+F8-F7</f>
        <v>-1445700</v>
      </c>
      <c r="G9" s="16">
        <f>+F9/F7</f>
        <v>-0.23622549019607844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-300291.66666666698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6420291.666666667</v>
      </c>
      <c r="G12" s="14"/>
      <c r="H12" s="11">
        <f>COUNT(I23:I43)</f>
        <v>6</v>
      </c>
      <c r="I12" s="1" t="s">
        <v>31</v>
      </c>
      <c r="J12" s="4">
        <f>+F8*0.9</f>
        <v>4206870</v>
      </c>
      <c r="K12" s="1" t="s">
        <v>69</v>
      </c>
    </row>
    <row r="13" spans="1:11" x14ac:dyDescent="0.25">
      <c r="D13" s="2" t="s">
        <v>29</v>
      </c>
      <c r="F13" s="4">
        <f>MAX(I23:I43)-MIN(I23:I43)</f>
        <v>3219099</v>
      </c>
      <c r="G13" s="269">
        <f>MEDIAN(I23:I43)</f>
        <v>6662500</v>
      </c>
      <c r="H13" s="270"/>
      <c r="I13" s="1" t="s">
        <v>30</v>
      </c>
      <c r="J13" s="4">
        <f>+F12*1.1</f>
        <v>7062320.833333334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721</v>
      </c>
      <c r="E23" s="33"/>
      <c r="F23" t="s">
        <v>201</v>
      </c>
      <c r="G23" t="s">
        <v>25</v>
      </c>
      <c r="H23">
        <f t="shared" ref="H23:H28" si="0">RANK(I23,I$23:I$43,1)</f>
        <v>6</v>
      </c>
      <c r="I23" s="4">
        <v>7893399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722</v>
      </c>
      <c r="E24" s="33"/>
      <c r="F24" t="s">
        <v>179</v>
      </c>
      <c r="G24" t="s">
        <v>25</v>
      </c>
      <c r="H24">
        <f t="shared" si="0"/>
        <v>2</v>
      </c>
      <c r="I24" s="4">
        <v>4753054</v>
      </c>
      <c r="J24" s="4"/>
      <c r="K24" s="4" t="s">
        <v>775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723</v>
      </c>
      <c r="E25" s="33"/>
      <c r="F25" t="s">
        <v>161</v>
      </c>
      <c r="G25" t="s">
        <v>93</v>
      </c>
      <c r="H25">
        <f t="shared" si="0"/>
        <v>4</v>
      </c>
      <c r="I25" s="4">
        <v>7331000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11" t="s">
        <v>547</v>
      </c>
      <c r="E26" s="33"/>
      <c r="F26" t="s">
        <v>88</v>
      </c>
      <c r="G26" t="s">
        <v>25</v>
      </c>
      <c r="H26">
        <f t="shared" si="0"/>
        <v>3</v>
      </c>
      <c r="I26" s="4">
        <v>5994000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>u</v>
      </c>
      <c r="D27" s="11" t="s">
        <v>724</v>
      </c>
      <c r="E27" s="33"/>
      <c r="F27" t="s">
        <v>327</v>
      </c>
      <c r="G27" t="s">
        <v>25</v>
      </c>
      <c r="H27">
        <f t="shared" si="0"/>
        <v>1</v>
      </c>
      <c r="I27" s="4">
        <v>4674300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725</v>
      </c>
      <c r="E28" s="33"/>
      <c r="F28" t="s">
        <v>594</v>
      </c>
      <c r="G28" t="s">
        <v>25</v>
      </c>
      <c r="H28">
        <f t="shared" si="0"/>
        <v>5</v>
      </c>
      <c r="I28" s="4">
        <v>7875997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ref="E34:E43" si="2">IF(H34=1,"t","")</f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927" priority="10" operator="containsText" text="FAIL">
      <formula>NOT(ISERROR(SEARCH("FAIL",I9)))</formula>
    </cfRule>
  </conditionalFormatting>
  <conditionalFormatting sqref="I9">
    <cfRule type="containsText" dxfId="926" priority="9" operator="containsText" text="GOOD">
      <formula>NOT(ISERROR(SEARCH("GOOD",I9)))</formula>
    </cfRule>
  </conditionalFormatting>
  <conditionalFormatting sqref="F11">
    <cfRule type="containsText" dxfId="925" priority="8" operator="containsText" text="FAIL">
      <formula>NOT(ISERROR(SEARCH("FAIL",F11)))</formula>
    </cfRule>
  </conditionalFormatting>
  <conditionalFormatting sqref="F11">
    <cfRule type="containsText" dxfId="924" priority="7" operator="containsText" text="GOOD">
      <formula>NOT(ISERROR(SEARCH("GOOD",F11)))</formula>
    </cfRule>
  </conditionalFormatting>
  <conditionalFormatting sqref="D25">
    <cfRule type="expression" dxfId="923" priority="6" stopIfTrue="1">
      <formula>IF($H$25=1,0)</formula>
    </cfRule>
  </conditionalFormatting>
  <conditionalFormatting sqref="D23:D43">
    <cfRule type="expression" dxfId="922" priority="5">
      <formula>H23=1</formula>
    </cfRule>
  </conditionalFormatting>
  <conditionalFormatting sqref="C23:C43">
    <cfRule type="expression" dxfId="921" priority="4">
      <formula>H23=1</formula>
    </cfRule>
  </conditionalFormatting>
  <conditionalFormatting sqref="E23:E43">
    <cfRule type="expression" dxfId="920" priority="3">
      <formula>H23=1</formula>
    </cfRule>
  </conditionalFormatting>
  <conditionalFormatting sqref="F11">
    <cfRule type="containsText" dxfId="919" priority="2" operator="containsText" text="FAIL">
      <formula>NOT(ISERROR(SEARCH("FAIL",F11)))</formula>
    </cfRule>
  </conditionalFormatting>
  <conditionalFormatting sqref="F11">
    <cfRule type="containsText" dxfId="918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2:O47"/>
  <sheetViews>
    <sheetView zoomScaleNormal="100" workbookViewId="0">
      <selection activeCell="I29" sqref="I2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716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717</v>
      </c>
    </row>
    <row r="6" spans="1:11" x14ac:dyDescent="0.25">
      <c r="D6" s="2" t="s">
        <v>2</v>
      </c>
      <c r="F6" s="6">
        <v>42593</v>
      </c>
      <c r="H6" s="11"/>
    </row>
    <row r="7" spans="1:11" x14ac:dyDescent="0.25">
      <c r="D7" s="2" t="s">
        <v>3</v>
      </c>
      <c r="F7" s="5">
        <v>1450000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763000</v>
      </c>
      <c r="H8" s="11"/>
    </row>
    <row r="9" spans="1:11" x14ac:dyDescent="0.25">
      <c r="D9" s="2" t="s">
        <v>67</v>
      </c>
      <c r="F9" s="4">
        <f>+F8-F7</f>
        <v>-687000</v>
      </c>
      <c r="G9" s="16">
        <f>+F9/F7</f>
        <v>-0.47379310344827585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-405432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1855432</v>
      </c>
      <c r="G12" s="14"/>
      <c r="H12" s="11">
        <f>COUNT(I23:I43)</f>
        <v>6</v>
      </c>
      <c r="I12" s="1" t="s">
        <v>31</v>
      </c>
      <c r="J12" s="4">
        <f>+F8*0.9</f>
        <v>686700</v>
      </c>
      <c r="K12" s="1" t="s">
        <v>69</v>
      </c>
    </row>
    <row r="13" spans="1:11" x14ac:dyDescent="0.25">
      <c r="D13" s="2" t="s">
        <v>29</v>
      </c>
      <c r="F13" s="4">
        <f>MAX(I23:I43)-MIN(I23:I43)</f>
        <v>2670000</v>
      </c>
      <c r="G13" s="269">
        <f>MEDIAN(I23:I43)</f>
        <v>1619916</v>
      </c>
      <c r="H13" s="270"/>
      <c r="I13" s="1" t="s">
        <v>30</v>
      </c>
      <c r="J13" s="4">
        <f>+F12*1.1</f>
        <v>2040975.2000000002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718</v>
      </c>
      <c r="E23" s="33"/>
      <c r="F23" t="s">
        <v>501</v>
      </c>
      <c r="G23" t="s">
        <v>93</v>
      </c>
      <c r="H23">
        <f t="shared" ref="H23:H28" si="0">RANK(I23,I$23:I$43,1)</f>
        <v>6</v>
      </c>
      <c r="I23" s="4">
        <v>3433000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439</v>
      </c>
      <c r="E24" s="33"/>
      <c r="F24" t="s">
        <v>147</v>
      </c>
      <c r="G24" t="s">
        <v>93</v>
      </c>
      <c r="H24">
        <f t="shared" si="0"/>
        <v>2</v>
      </c>
      <c r="I24" s="4">
        <v>1291760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427</v>
      </c>
      <c r="E25" s="33"/>
      <c r="F25" t="s">
        <v>85</v>
      </c>
      <c r="G25" t="s">
        <v>25</v>
      </c>
      <c r="H25">
        <f t="shared" si="0"/>
        <v>5</v>
      </c>
      <c r="I25" s="4">
        <v>2405000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>u</v>
      </c>
      <c r="D26" s="11" t="s">
        <v>528</v>
      </c>
      <c r="E26" s="33"/>
      <c r="F26" t="s">
        <v>159</v>
      </c>
      <c r="G26" t="s">
        <v>93</v>
      </c>
      <c r="H26">
        <f t="shared" si="0"/>
        <v>1</v>
      </c>
      <c r="I26" s="4">
        <v>763000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437</v>
      </c>
      <c r="E27" s="33"/>
      <c r="F27" t="s">
        <v>161</v>
      </c>
      <c r="G27" t="s">
        <v>93</v>
      </c>
      <c r="H27">
        <f t="shared" si="0"/>
        <v>3</v>
      </c>
      <c r="I27" s="4">
        <v>1345000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440</v>
      </c>
      <c r="E28" s="33"/>
      <c r="F28" t="s">
        <v>193</v>
      </c>
      <c r="G28" t="s">
        <v>25</v>
      </c>
      <c r="H28">
        <f t="shared" si="0"/>
        <v>4</v>
      </c>
      <c r="I28" s="4">
        <v>1894832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ref="E34:E43" si="2">IF(H34=1,"t","")</f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917" priority="10" operator="containsText" text="FAIL">
      <formula>NOT(ISERROR(SEARCH("FAIL",I9)))</formula>
    </cfRule>
  </conditionalFormatting>
  <conditionalFormatting sqref="I9">
    <cfRule type="containsText" dxfId="916" priority="9" operator="containsText" text="GOOD">
      <formula>NOT(ISERROR(SEARCH("GOOD",I9)))</formula>
    </cfRule>
  </conditionalFormatting>
  <conditionalFormatting sqref="F11">
    <cfRule type="containsText" dxfId="915" priority="8" operator="containsText" text="FAIL">
      <formula>NOT(ISERROR(SEARCH("FAIL",F11)))</formula>
    </cfRule>
  </conditionalFormatting>
  <conditionalFormatting sqref="F11">
    <cfRule type="containsText" dxfId="914" priority="7" operator="containsText" text="GOOD">
      <formula>NOT(ISERROR(SEARCH("GOOD",F11)))</formula>
    </cfRule>
  </conditionalFormatting>
  <conditionalFormatting sqref="D25">
    <cfRule type="expression" dxfId="913" priority="6" stopIfTrue="1">
      <formula>IF($H$25=1,0)</formula>
    </cfRule>
  </conditionalFormatting>
  <conditionalFormatting sqref="D23:D43">
    <cfRule type="expression" dxfId="912" priority="5">
      <formula>H23=1</formula>
    </cfRule>
  </conditionalFormatting>
  <conditionalFormatting sqref="C23:C43">
    <cfRule type="expression" dxfId="911" priority="4">
      <formula>H23=1</formula>
    </cfRule>
  </conditionalFormatting>
  <conditionalFormatting sqref="E23:E43">
    <cfRule type="expression" dxfId="910" priority="3">
      <formula>H23=1</formula>
    </cfRule>
  </conditionalFormatting>
  <conditionalFormatting sqref="F11">
    <cfRule type="containsText" dxfId="909" priority="2" operator="containsText" text="FAIL">
      <formula>NOT(ISERROR(SEARCH("FAIL",F11)))</formula>
    </cfRule>
  </conditionalFormatting>
  <conditionalFormatting sqref="F11">
    <cfRule type="containsText" dxfId="908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>
    <tabColor rgb="FFFF0000"/>
  </sheetPr>
  <dimension ref="A2:O47"/>
  <sheetViews>
    <sheetView zoomScaleNormal="100" workbookViewId="0">
      <selection activeCell="L31" sqref="L31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711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712</v>
      </c>
    </row>
    <row r="6" spans="1:11" x14ac:dyDescent="0.25">
      <c r="D6" s="2" t="s">
        <v>2</v>
      </c>
      <c r="F6" s="6">
        <v>42587</v>
      </c>
      <c r="H6" s="11"/>
    </row>
    <row r="7" spans="1:11" x14ac:dyDescent="0.25">
      <c r="D7" s="2" t="s">
        <v>3</v>
      </c>
      <c r="F7" s="5">
        <v>1030000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2879200</v>
      </c>
      <c r="H8" s="11"/>
    </row>
    <row r="9" spans="1:11" x14ac:dyDescent="0.25">
      <c r="D9" s="2" t="s">
        <v>67</v>
      </c>
      <c r="F9" s="4">
        <f>+F8-F7</f>
        <v>1849200</v>
      </c>
      <c r="G9" s="16">
        <f>+F9/F7</f>
        <v>1.7953398058252428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-2639732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3669732</v>
      </c>
      <c r="G12" s="14"/>
      <c r="H12" s="11">
        <f>COUNT(I23:I43)</f>
        <v>4</v>
      </c>
      <c r="I12" s="1" t="s">
        <v>31</v>
      </c>
      <c r="J12" s="4">
        <f>+F8*0.9</f>
        <v>2591280</v>
      </c>
      <c r="K12" s="1" t="s">
        <v>69</v>
      </c>
    </row>
    <row r="13" spans="1:11" x14ac:dyDescent="0.25">
      <c r="D13" s="2" t="s">
        <v>29</v>
      </c>
      <c r="F13" s="4">
        <f>MAX(I23:I43)-MIN(I23:I43)</f>
        <v>1260800</v>
      </c>
      <c r="G13" s="269">
        <f>MEDIAN(I23:I43)</f>
        <v>3829864</v>
      </c>
      <c r="H13" s="270"/>
      <c r="I13" s="1" t="s">
        <v>30</v>
      </c>
      <c r="J13" s="4">
        <f>+F12*1.1</f>
        <v>4036705.2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713</v>
      </c>
      <c r="E23" s="33"/>
      <c r="F23" t="s">
        <v>549</v>
      </c>
      <c r="G23" t="s">
        <v>25</v>
      </c>
      <c r="H23">
        <f>RANK(I23,I$23:I$43,1)</f>
        <v>4</v>
      </c>
      <c r="I23" s="4">
        <v>4140000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714</v>
      </c>
      <c r="E24" s="33"/>
      <c r="F24" t="s">
        <v>92</v>
      </c>
      <c r="G24" t="s">
        <v>93</v>
      </c>
      <c r="H24">
        <f>RANK(I24,I$23:I$43,1)</f>
        <v>2</v>
      </c>
      <c r="I24" s="4">
        <v>3700728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715</v>
      </c>
      <c r="E25" s="33"/>
      <c r="F25" t="s">
        <v>95</v>
      </c>
      <c r="G25" t="s">
        <v>93</v>
      </c>
      <c r="H25">
        <f>RANK(I25,I$23:I$43,1)</f>
        <v>1</v>
      </c>
      <c r="I25" s="4">
        <v>2879200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 t="s">
        <v>606</v>
      </c>
      <c r="E26" s="33"/>
      <c r="F26" t="s">
        <v>100</v>
      </c>
      <c r="G26" t="s">
        <v>93</v>
      </c>
      <c r="H26">
        <f>RANK(I26,I$23:I$43,1)</f>
        <v>3</v>
      </c>
      <c r="I26" s="4">
        <v>3959000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907" priority="10" operator="containsText" text="FAIL">
      <formula>NOT(ISERROR(SEARCH("FAIL",I9)))</formula>
    </cfRule>
  </conditionalFormatting>
  <conditionalFormatting sqref="I9">
    <cfRule type="containsText" dxfId="906" priority="9" operator="containsText" text="GOOD">
      <formula>NOT(ISERROR(SEARCH("GOOD",I9)))</formula>
    </cfRule>
  </conditionalFormatting>
  <conditionalFormatting sqref="F11">
    <cfRule type="containsText" dxfId="905" priority="8" operator="containsText" text="FAIL">
      <formula>NOT(ISERROR(SEARCH("FAIL",F11)))</formula>
    </cfRule>
  </conditionalFormatting>
  <conditionalFormatting sqref="F11">
    <cfRule type="containsText" dxfId="904" priority="7" operator="containsText" text="GOOD">
      <formula>NOT(ISERROR(SEARCH("GOOD",F11)))</formula>
    </cfRule>
  </conditionalFormatting>
  <conditionalFormatting sqref="D25">
    <cfRule type="expression" dxfId="903" priority="6" stopIfTrue="1">
      <formula>IF($H$25=1,0)</formula>
    </cfRule>
  </conditionalFormatting>
  <conditionalFormatting sqref="D23:D43">
    <cfRule type="expression" dxfId="902" priority="5">
      <formula>H23=1</formula>
    </cfRule>
  </conditionalFormatting>
  <conditionalFormatting sqref="C23:C43">
    <cfRule type="expression" dxfId="901" priority="4">
      <formula>H23=1</formula>
    </cfRule>
  </conditionalFormatting>
  <conditionalFormatting sqref="E23:E43">
    <cfRule type="expression" dxfId="900" priority="3">
      <formula>H23=1</formula>
    </cfRule>
  </conditionalFormatting>
  <conditionalFormatting sqref="F11">
    <cfRule type="containsText" dxfId="899" priority="2" operator="containsText" text="FAIL">
      <formula>NOT(ISERROR(SEARCH("FAIL",F11)))</formula>
    </cfRule>
  </conditionalFormatting>
  <conditionalFormatting sqref="F11">
    <cfRule type="containsText" dxfId="898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2:O47"/>
  <sheetViews>
    <sheetView zoomScaleNormal="100" workbookViewId="0">
      <selection activeCell="L29" sqref="L2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705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706</v>
      </c>
    </row>
    <row r="6" spans="1:11" x14ac:dyDescent="0.25">
      <c r="D6" s="2" t="s">
        <v>2</v>
      </c>
      <c r="F6" s="6">
        <v>42586</v>
      </c>
      <c r="H6" s="11"/>
    </row>
    <row r="7" spans="1:11" x14ac:dyDescent="0.25">
      <c r="D7" s="2" t="s">
        <v>3</v>
      </c>
      <c r="F7" s="5">
        <v>800000</v>
      </c>
      <c r="G7" s="2" t="s">
        <v>693</v>
      </c>
      <c r="H7" s="11"/>
    </row>
    <row r="8" spans="1:11" x14ac:dyDescent="0.25">
      <c r="D8" s="2" t="s">
        <v>18</v>
      </c>
      <c r="F8" s="5">
        <f>MIN(I23:I43)</f>
        <v>485250</v>
      </c>
      <c r="H8" s="11"/>
    </row>
    <row r="9" spans="1:11" x14ac:dyDescent="0.25">
      <c r="D9" s="2" t="s">
        <v>67</v>
      </c>
      <c r="F9" s="4">
        <f>+F8-F7</f>
        <v>-314750</v>
      </c>
      <c r="G9" s="16">
        <f>+F9/F7</f>
        <v>-0.3934375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9041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790959</v>
      </c>
      <c r="G12" s="14"/>
      <c r="H12" s="11">
        <f>COUNT(I23:I43)</f>
        <v>4</v>
      </c>
      <c r="I12" s="1" t="s">
        <v>31</v>
      </c>
      <c r="J12" s="4">
        <f>+F8*0.9</f>
        <v>436725</v>
      </c>
      <c r="K12" s="1" t="s">
        <v>69</v>
      </c>
    </row>
    <row r="13" spans="1:11" x14ac:dyDescent="0.25">
      <c r="D13" s="2" t="s">
        <v>29</v>
      </c>
      <c r="F13" s="4">
        <f>MAX(I23:I43)-MIN(I23:I43)</f>
        <v>513587</v>
      </c>
      <c r="G13" s="269">
        <f>MEDIAN(I23:I43)</f>
        <v>839874.5</v>
      </c>
      <c r="H13" s="270"/>
      <c r="I13" s="1" t="s">
        <v>30</v>
      </c>
      <c r="J13" s="4">
        <f>+F12*1.1</f>
        <v>870054.9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612</v>
      </c>
      <c r="E23" s="33"/>
      <c r="F23" t="s">
        <v>139</v>
      </c>
      <c r="G23" t="s">
        <v>25</v>
      </c>
      <c r="H23">
        <f>RANK(I23,I$23:I$43,1)</f>
        <v>2</v>
      </c>
      <c r="I23" s="4">
        <v>685749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707</v>
      </c>
      <c r="E24" s="33"/>
      <c r="F24" t="s">
        <v>407</v>
      </c>
      <c r="G24" t="s">
        <v>93</v>
      </c>
      <c r="H24">
        <f>RANK(I24,I$23:I$43,1)</f>
        <v>3</v>
      </c>
      <c r="I24" s="4">
        <v>994000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708</v>
      </c>
      <c r="E25" s="33"/>
      <c r="F25" t="s">
        <v>709</v>
      </c>
      <c r="G25" t="s">
        <v>93</v>
      </c>
      <c r="H25">
        <f>RANK(I25,I$23:I$43,1)</f>
        <v>4</v>
      </c>
      <c r="I25" s="4">
        <v>998837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>u</v>
      </c>
      <c r="D26" s="11" t="s">
        <v>710</v>
      </c>
      <c r="E26" s="33"/>
      <c r="F26" t="s">
        <v>386</v>
      </c>
      <c r="G26" t="s">
        <v>25</v>
      </c>
      <c r="H26">
        <f>RANK(I26,I$23:I$43,1)</f>
        <v>1</v>
      </c>
      <c r="I26" s="4">
        <v>485250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897" priority="10" operator="containsText" text="FAIL">
      <formula>NOT(ISERROR(SEARCH("FAIL",I9)))</formula>
    </cfRule>
  </conditionalFormatting>
  <conditionalFormatting sqref="I9">
    <cfRule type="containsText" dxfId="896" priority="9" operator="containsText" text="GOOD">
      <formula>NOT(ISERROR(SEARCH("GOOD",I9)))</formula>
    </cfRule>
  </conditionalFormatting>
  <conditionalFormatting sqref="F11">
    <cfRule type="containsText" dxfId="895" priority="8" operator="containsText" text="FAIL">
      <formula>NOT(ISERROR(SEARCH("FAIL",F11)))</formula>
    </cfRule>
  </conditionalFormatting>
  <conditionalFormatting sqref="F11">
    <cfRule type="containsText" dxfId="894" priority="7" operator="containsText" text="GOOD">
      <formula>NOT(ISERROR(SEARCH("GOOD",F11)))</formula>
    </cfRule>
  </conditionalFormatting>
  <conditionalFormatting sqref="D25">
    <cfRule type="expression" dxfId="893" priority="6" stopIfTrue="1">
      <formula>IF($H$25=1,0)</formula>
    </cfRule>
  </conditionalFormatting>
  <conditionalFormatting sqref="D23:D43">
    <cfRule type="expression" dxfId="892" priority="5">
      <formula>H23=1</formula>
    </cfRule>
  </conditionalFormatting>
  <conditionalFormatting sqref="C23:C43">
    <cfRule type="expression" dxfId="891" priority="4">
      <formula>H23=1</formula>
    </cfRule>
  </conditionalFormatting>
  <conditionalFormatting sqref="E23:E43">
    <cfRule type="expression" dxfId="890" priority="3">
      <formula>H23=1</formula>
    </cfRule>
  </conditionalFormatting>
  <conditionalFormatting sqref="F11">
    <cfRule type="containsText" dxfId="889" priority="2" operator="containsText" text="FAIL">
      <formula>NOT(ISERROR(SEARCH("FAIL",F11)))</formula>
    </cfRule>
  </conditionalFormatting>
  <conditionalFormatting sqref="F11">
    <cfRule type="containsText" dxfId="888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2:O47"/>
  <sheetViews>
    <sheetView zoomScaleNormal="100" workbookViewId="0">
      <selection activeCell="F29" sqref="F2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694</v>
      </c>
      <c r="I4" s="2" t="s">
        <v>4</v>
      </c>
      <c r="J4" t="s">
        <v>442</v>
      </c>
    </row>
    <row r="5" spans="1:11" x14ac:dyDescent="0.25">
      <c r="D5" s="2" t="s">
        <v>1</v>
      </c>
      <c r="F5" t="s">
        <v>695</v>
      </c>
    </row>
    <row r="6" spans="1:11" x14ac:dyDescent="0.25">
      <c r="D6" s="2" t="s">
        <v>2</v>
      </c>
      <c r="F6" s="6">
        <v>42584</v>
      </c>
      <c r="H6" s="11"/>
    </row>
    <row r="7" spans="1:11" x14ac:dyDescent="0.25">
      <c r="D7" s="2" t="s">
        <v>3</v>
      </c>
      <c r="F7" s="5">
        <v>1750000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1930000</v>
      </c>
      <c r="H8" s="11"/>
    </row>
    <row r="9" spans="1:11" x14ac:dyDescent="0.25">
      <c r="D9" s="2" t="s">
        <v>67</v>
      </c>
      <c r="F9" s="4">
        <f>+F8-F7</f>
        <v>180000</v>
      </c>
      <c r="G9" s="16">
        <f>+F9/F7</f>
        <v>0.10285714285714286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-1059540.888888889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2809540.888888889</v>
      </c>
      <c r="G12" s="14"/>
      <c r="H12" s="11">
        <f>COUNT(I23:I43)</f>
        <v>9</v>
      </c>
      <c r="I12" s="1" t="s">
        <v>31</v>
      </c>
      <c r="J12" s="4">
        <f>+F8*0.9</f>
        <v>1737000</v>
      </c>
      <c r="K12" s="1" t="s">
        <v>69</v>
      </c>
    </row>
    <row r="13" spans="1:11" x14ac:dyDescent="0.25">
      <c r="D13" s="2" t="s">
        <v>29</v>
      </c>
      <c r="F13" s="4">
        <f>MAX(I23:I43)-MIN(I23:I43)</f>
        <v>3058880</v>
      </c>
      <c r="G13" s="269">
        <f>MEDIAN(I23:I43)</f>
        <v>2386477</v>
      </c>
      <c r="H13" s="270"/>
      <c r="I13" s="1" t="s">
        <v>30</v>
      </c>
      <c r="J13" s="4">
        <f>+F12*1.1</f>
        <v>3090494.9777777782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541</v>
      </c>
      <c r="E23" s="33"/>
      <c r="F23" t="s">
        <v>159</v>
      </c>
      <c r="G23" t="s">
        <v>93</v>
      </c>
      <c r="H23">
        <f>RANK(I23,I$23:I$43,1)</f>
        <v>9</v>
      </c>
      <c r="I23" s="4">
        <v>4988880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491</v>
      </c>
      <c r="E24" s="33"/>
      <c r="F24" t="s">
        <v>203</v>
      </c>
      <c r="G24" t="s">
        <v>204</v>
      </c>
      <c r="H24">
        <f t="shared" ref="H24:H31" si="0">RANK(I24,I$23:I$43,1)</f>
        <v>3</v>
      </c>
      <c r="I24" s="4">
        <v>2077600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696</v>
      </c>
      <c r="E25" s="33"/>
      <c r="F25" t="s">
        <v>697</v>
      </c>
      <c r="G25" t="s">
        <v>93</v>
      </c>
      <c r="H25">
        <f t="shared" si="0"/>
        <v>8</v>
      </c>
      <c r="I25" s="4">
        <v>4433400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11" t="s">
        <v>698</v>
      </c>
      <c r="E26" s="33"/>
      <c r="F26" t="s">
        <v>92</v>
      </c>
      <c r="G26" t="s">
        <v>93</v>
      </c>
      <c r="H26">
        <f t="shared" si="0"/>
        <v>2</v>
      </c>
      <c r="I26" s="4">
        <v>1978000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347</v>
      </c>
      <c r="E27" s="33"/>
      <c r="F27" t="s">
        <v>147</v>
      </c>
      <c r="G27" t="s">
        <v>93</v>
      </c>
      <c r="H27">
        <f t="shared" si="0"/>
        <v>4</v>
      </c>
      <c r="I27" s="4">
        <v>2111111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>u</v>
      </c>
      <c r="D28" s="11" t="s">
        <v>699</v>
      </c>
      <c r="E28" s="33"/>
      <c r="F28" t="s">
        <v>704</v>
      </c>
      <c r="G28" t="s">
        <v>333</v>
      </c>
      <c r="H28">
        <f t="shared" si="0"/>
        <v>1</v>
      </c>
      <c r="I28" s="4">
        <v>1930000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 t="s">
        <v>700</v>
      </c>
      <c r="E29" s="33"/>
      <c r="F29" t="s">
        <v>95</v>
      </c>
      <c r="G29" t="s">
        <v>93</v>
      </c>
      <c r="H29">
        <f t="shared" si="0"/>
        <v>7</v>
      </c>
      <c r="I29" s="4">
        <v>2987000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 t="s">
        <v>701</v>
      </c>
      <c r="E30" s="33"/>
      <c r="F30" t="s">
        <v>702</v>
      </c>
      <c r="G30" t="s">
        <v>93</v>
      </c>
      <c r="H30">
        <f t="shared" si="0"/>
        <v>5</v>
      </c>
      <c r="I30" s="4">
        <v>2386477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 t="s">
        <v>703</v>
      </c>
      <c r="E31" s="33"/>
      <c r="F31" t="s">
        <v>413</v>
      </c>
      <c r="G31" t="s">
        <v>93</v>
      </c>
      <c r="H31">
        <f t="shared" si="0"/>
        <v>6</v>
      </c>
      <c r="I31" s="4">
        <v>2393400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ref="E34:E43" si="2">IF(H34=1,"t","")</f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887" priority="10" operator="containsText" text="FAIL">
      <formula>NOT(ISERROR(SEARCH("FAIL",I9)))</formula>
    </cfRule>
  </conditionalFormatting>
  <conditionalFormatting sqref="I9">
    <cfRule type="containsText" dxfId="886" priority="9" operator="containsText" text="GOOD">
      <formula>NOT(ISERROR(SEARCH("GOOD",I9)))</formula>
    </cfRule>
  </conditionalFormatting>
  <conditionalFormatting sqref="F11">
    <cfRule type="containsText" dxfId="885" priority="8" operator="containsText" text="FAIL">
      <formula>NOT(ISERROR(SEARCH("FAIL",F11)))</formula>
    </cfRule>
  </conditionalFormatting>
  <conditionalFormatting sqref="F11">
    <cfRule type="containsText" dxfId="884" priority="7" operator="containsText" text="GOOD">
      <formula>NOT(ISERROR(SEARCH("GOOD",F11)))</formula>
    </cfRule>
  </conditionalFormatting>
  <conditionalFormatting sqref="D25">
    <cfRule type="expression" dxfId="883" priority="6" stopIfTrue="1">
      <formula>IF($H$25=1,0)</formula>
    </cfRule>
  </conditionalFormatting>
  <conditionalFormatting sqref="D23:D43">
    <cfRule type="expression" dxfId="882" priority="5">
      <formula>H23=1</formula>
    </cfRule>
  </conditionalFormatting>
  <conditionalFormatting sqref="C23:C43">
    <cfRule type="expression" dxfId="881" priority="4">
      <formula>H23=1</formula>
    </cfRule>
  </conditionalFormatting>
  <conditionalFormatting sqref="E23:E43">
    <cfRule type="expression" dxfId="880" priority="3">
      <formula>H23=1</formula>
    </cfRule>
  </conditionalFormatting>
  <conditionalFormatting sqref="F11">
    <cfRule type="containsText" dxfId="879" priority="2" operator="containsText" text="FAIL">
      <formula>NOT(ISERROR(SEARCH("FAIL",F11)))</formula>
    </cfRule>
  </conditionalFormatting>
  <conditionalFormatting sqref="F11">
    <cfRule type="containsText" dxfId="878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2:O47"/>
  <sheetViews>
    <sheetView workbookViewId="0">
      <selection activeCell="L33" sqref="L3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691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692</v>
      </c>
    </row>
    <row r="6" spans="1:11" x14ac:dyDescent="0.25">
      <c r="D6" s="2" t="s">
        <v>2</v>
      </c>
      <c r="F6" s="6">
        <v>42579</v>
      </c>
      <c r="H6" s="11"/>
    </row>
    <row r="7" spans="1:11" x14ac:dyDescent="0.25">
      <c r="D7" s="2" t="s">
        <v>3</v>
      </c>
      <c r="F7" s="5">
        <f>+I7+J7</f>
        <v>1636000</v>
      </c>
      <c r="G7" s="2" t="s">
        <v>693</v>
      </c>
      <c r="H7" s="11"/>
      <c r="I7" s="19">
        <v>530000</v>
      </c>
      <c r="J7" s="19">
        <v>1106000</v>
      </c>
    </row>
    <row r="8" spans="1:11" x14ac:dyDescent="0.25">
      <c r="D8" s="2" t="s">
        <v>18</v>
      </c>
      <c r="F8" s="5">
        <f>MIN(K23:K43)</f>
        <v>1365000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-271000</v>
      </c>
      <c r="G9" s="16">
        <f>+F9/F7</f>
        <v>-0.1656479217603912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-213733.66666666674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1849733.6666666667</v>
      </c>
      <c r="G12" s="14"/>
      <c r="H12" s="11">
        <f>COUNT(K23:K43)</f>
        <v>3</v>
      </c>
      <c r="I12" s="1" t="s">
        <v>31</v>
      </c>
      <c r="J12" s="4">
        <f>+F8*0.9</f>
        <v>1228500</v>
      </c>
      <c r="K12" s="1" t="s">
        <v>69</v>
      </c>
    </row>
    <row r="13" spans="1:11" x14ac:dyDescent="0.25">
      <c r="D13" s="2" t="s">
        <v>29</v>
      </c>
      <c r="F13" s="4">
        <f>MAX(K23:K43)-MIN(K23:K43)</f>
        <v>1263645</v>
      </c>
      <c r="G13" s="269">
        <f>MEDIAN(K23:K43)</f>
        <v>1555556</v>
      </c>
      <c r="H13" s="270"/>
      <c r="I13" s="1" t="s">
        <v>30</v>
      </c>
      <c r="J13" s="4">
        <f>+F12*1.1</f>
        <v>2034707.0333333337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5.5457627118644069E-2</v>
      </c>
    </row>
    <row r="18" spans="3:15" x14ac:dyDescent="0.25">
      <c r="F18" s="4">
        <f>+F7</f>
        <v>1636000</v>
      </c>
      <c r="G18" s="1" t="s">
        <v>12</v>
      </c>
      <c r="H18" s="11"/>
      <c r="I18" t="s">
        <v>16</v>
      </c>
      <c r="J18" s="7">
        <f>+F8/F18</f>
        <v>0.83435207823960877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4.5499999999999999E-2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347</v>
      </c>
      <c r="E23" s="33"/>
      <c r="F23" t="s">
        <v>147</v>
      </c>
      <c r="G23" t="s">
        <v>93</v>
      </c>
      <c r="H23">
        <f>RANK(K23,K$23:K$43,1)</f>
        <v>2</v>
      </c>
      <c r="I23" s="4">
        <v>441600</v>
      </c>
      <c r="J23" s="4">
        <v>1113956</v>
      </c>
      <c r="K23" s="4">
        <f>+J23+I23</f>
        <v>1555556</v>
      </c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429</v>
      </c>
      <c r="E24" s="33"/>
      <c r="F24" t="s">
        <v>131</v>
      </c>
      <c r="G24" t="s">
        <v>25</v>
      </c>
      <c r="H24">
        <f>RANK(K24,K$23:K$43,1)</f>
        <v>1</v>
      </c>
      <c r="I24" s="4">
        <v>609490</v>
      </c>
      <c r="J24" s="4">
        <v>755510</v>
      </c>
      <c r="K24" s="4">
        <f>+J24+I24</f>
        <v>1365000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427</v>
      </c>
      <c r="E25" s="33"/>
      <c r="F25" t="s">
        <v>85</v>
      </c>
      <c r="G25" t="s">
        <v>25</v>
      </c>
      <c r="H25">
        <f>RANK(K25,K$23:K$43,1)</f>
        <v>3</v>
      </c>
      <c r="I25" s="4">
        <v>1352100</v>
      </c>
      <c r="J25" s="4">
        <v>1276545</v>
      </c>
      <c r="K25" s="4">
        <f>+J25+I25</f>
        <v>2628645</v>
      </c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/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/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/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/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/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/>
      <c r="D34" s="11"/>
      <c r="E34" s="33"/>
      <c r="I34" s="4"/>
      <c r="J34" s="4"/>
      <c r="K34" s="4"/>
      <c r="M34" s="21"/>
      <c r="N34" s="21"/>
      <c r="O34" s="21"/>
    </row>
    <row r="35" spans="3:15" x14ac:dyDescent="0.25">
      <c r="C35" s="33"/>
      <c r="D35" s="11"/>
      <c r="E35" s="33"/>
      <c r="I35" s="4"/>
      <c r="J35" s="4"/>
      <c r="K35" s="4"/>
      <c r="M35" s="21"/>
      <c r="N35" s="21"/>
      <c r="O35" s="21"/>
    </row>
    <row r="36" spans="3:15" x14ac:dyDescent="0.25">
      <c r="C36" s="33" t="str">
        <f t="shared" ref="C36:C43" si="0">IF(H36=1,"u","")</f>
        <v/>
      </c>
      <c r="D36" s="11"/>
      <c r="E36" s="33" t="str">
        <f t="shared" ref="E36:E43" si="1">IF(H36=1,"t","")</f>
        <v/>
      </c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877" priority="23" operator="containsText" text="FAIL">
      <formula>NOT(ISERROR(SEARCH("FAIL",I9)))</formula>
    </cfRule>
  </conditionalFormatting>
  <conditionalFormatting sqref="I9">
    <cfRule type="containsText" dxfId="876" priority="22" operator="containsText" text="GOOD">
      <formula>NOT(ISERROR(SEARCH("GOOD",I9)))</formula>
    </cfRule>
  </conditionalFormatting>
  <conditionalFormatting sqref="I9">
    <cfRule type="containsText" dxfId="875" priority="21" operator="containsText" text="FAIL">
      <formula>NOT(ISERROR(SEARCH("FAIL",I9)))</formula>
    </cfRule>
  </conditionalFormatting>
  <conditionalFormatting sqref="I9">
    <cfRule type="containsText" dxfId="874" priority="20" operator="containsText" text="GOOD">
      <formula>NOT(ISERROR(SEARCH("GOOD",I9)))</formula>
    </cfRule>
  </conditionalFormatting>
  <conditionalFormatting sqref="I9">
    <cfRule type="containsText" dxfId="873" priority="19" operator="containsText" text="FAIL">
      <formula>NOT(ISERROR(SEARCH("FAIL",I9)))</formula>
    </cfRule>
  </conditionalFormatting>
  <conditionalFormatting sqref="I9">
    <cfRule type="containsText" dxfId="872" priority="18" operator="containsText" text="GOOD">
      <formula>NOT(ISERROR(SEARCH("GOOD",I9)))</formula>
    </cfRule>
  </conditionalFormatting>
  <conditionalFormatting sqref="F11">
    <cfRule type="containsText" dxfId="871" priority="17" operator="containsText" text="FAIL">
      <formula>NOT(ISERROR(SEARCH("FAIL",F11)))</formula>
    </cfRule>
  </conditionalFormatting>
  <conditionalFormatting sqref="F11">
    <cfRule type="containsText" dxfId="870" priority="16" operator="containsText" text="GOOD">
      <formula>NOT(ISERROR(SEARCH("GOOD",F11)))</formula>
    </cfRule>
  </conditionalFormatting>
  <conditionalFormatting sqref="I9">
    <cfRule type="containsText" dxfId="869" priority="15" operator="containsText" text="FAIL">
      <formula>NOT(ISERROR(SEARCH("FAIL",I9)))</formula>
    </cfRule>
  </conditionalFormatting>
  <conditionalFormatting sqref="I9">
    <cfRule type="containsText" dxfId="868" priority="14" operator="containsText" text="GOOD">
      <formula>NOT(ISERROR(SEARCH("GOOD",I9)))</formula>
    </cfRule>
  </conditionalFormatting>
  <conditionalFormatting sqref="F11">
    <cfRule type="containsText" dxfId="867" priority="13" operator="containsText" text="FAIL">
      <formula>NOT(ISERROR(SEARCH("FAIL",F11)))</formula>
    </cfRule>
  </conditionalFormatting>
  <conditionalFormatting sqref="F11">
    <cfRule type="containsText" dxfId="866" priority="12" operator="containsText" text="GOOD">
      <formula>NOT(ISERROR(SEARCH("GOOD",F11)))</formula>
    </cfRule>
  </conditionalFormatting>
  <conditionalFormatting sqref="D25">
    <cfRule type="expression" dxfId="865" priority="11" stopIfTrue="1">
      <formula>IF($H$25=1,0)</formula>
    </cfRule>
  </conditionalFormatting>
  <conditionalFormatting sqref="D23:D33 D36:D43">
    <cfRule type="expression" dxfId="864" priority="10">
      <formula>H23=1</formula>
    </cfRule>
  </conditionalFormatting>
  <conditionalFormatting sqref="C23:C33 C36:C43">
    <cfRule type="expression" dxfId="863" priority="9">
      <formula>H23=1</formula>
    </cfRule>
  </conditionalFormatting>
  <conditionalFormatting sqref="E23:E33 E36:E43">
    <cfRule type="expression" dxfId="862" priority="8">
      <formula>H23=1</formula>
    </cfRule>
  </conditionalFormatting>
  <conditionalFormatting sqref="E23:E33 E36:E43">
    <cfRule type="expression" dxfId="861" priority="7">
      <formula>H23=1</formula>
    </cfRule>
  </conditionalFormatting>
  <conditionalFormatting sqref="F11">
    <cfRule type="containsText" dxfId="860" priority="6" operator="containsText" text="FAIL">
      <formula>NOT(ISERROR(SEARCH("FAIL",F11)))</formula>
    </cfRule>
  </conditionalFormatting>
  <conditionalFormatting sqref="F11">
    <cfRule type="containsText" dxfId="859" priority="5" operator="containsText" text="GOOD">
      <formula>NOT(ISERROR(SEARCH("GOOD",F11)))</formula>
    </cfRule>
  </conditionalFormatting>
  <conditionalFormatting sqref="D34:D35">
    <cfRule type="expression" dxfId="858" priority="4">
      <formula>H34=1</formula>
    </cfRule>
  </conditionalFormatting>
  <conditionalFormatting sqref="C34:C35">
    <cfRule type="expression" dxfId="857" priority="3">
      <formula>H34=1</formula>
    </cfRule>
  </conditionalFormatting>
  <conditionalFormatting sqref="E34:E35">
    <cfRule type="expression" dxfId="856" priority="2">
      <formula>H34=1</formula>
    </cfRule>
  </conditionalFormatting>
  <conditionalFormatting sqref="E34:E35">
    <cfRule type="expression" dxfId="855" priority="1">
      <formula>H34=1</formula>
    </cfRule>
  </conditionalFormatting>
  <pageMargins left="0.7" right="0.7" top="0.75" bottom="0.75" header="0.3" footer="0.3"/>
  <pageSetup orientation="portrait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2:O47"/>
  <sheetViews>
    <sheetView workbookViewId="0">
      <selection activeCell="L7" sqref="L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670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671</v>
      </c>
    </row>
    <row r="6" spans="1:11" x14ac:dyDescent="0.25">
      <c r="D6" s="2" t="s">
        <v>2</v>
      </c>
      <c r="F6" s="6">
        <v>42538</v>
      </c>
      <c r="H6" s="11"/>
    </row>
    <row r="7" spans="1:11" x14ac:dyDescent="0.25">
      <c r="D7" s="2" t="s">
        <v>3</v>
      </c>
      <c r="F7" s="5">
        <f>+I7+J7</f>
        <v>1800000</v>
      </c>
      <c r="G7" s="2" t="s">
        <v>34</v>
      </c>
      <c r="H7" s="11"/>
      <c r="I7" s="19">
        <v>750000</v>
      </c>
      <c r="J7" s="19">
        <v>1050000</v>
      </c>
    </row>
    <row r="8" spans="1:11" x14ac:dyDescent="0.25">
      <c r="D8" s="2" t="s">
        <v>18</v>
      </c>
      <c r="F8" s="5">
        <f>MIN(K23:K43)</f>
        <v>1628370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-171630</v>
      </c>
      <c r="G9" s="16">
        <f>+F9/F7</f>
        <v>-9.5350000000000004E-2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1" x14ac:dyDescent="0.25">
      <c r="D10" s="2" t="s">
        <v>68</v>
      </c>
      <c r="F10" s="4">
        <f>+F7-F12</f>
        <v>-1593286.076923077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3393286.076923077</v>
      </c>
      <c r="G12" s="14"/>
      <c r="H12" s="11">
        <f>COUNT(K23:K43)</f>
        <v>13</v>
      </c>
      <c r="I12" s="1" t="s">
        <v>31</v>
      </c>
      <c r="J12" s="4">
        <f>+F8*0.9</f>
        <v>1465533</v>
      </c>
      <c r="K12" s="1" t="s">
        <v>69</v>
      </c>
    </row>
    <row r="13" spans="1:11" x14ac:dyDescent="0.25">
      <c r="D13" s="2" t="s">
        <v>29</v>
      </c>
      <c r="F13" s="4">
        <f>MAX(K23:K43)-MIN(K23:K43)</f>
        <v>6342090</v>
      </c>
      <c r="G13" s="269">
        <f>MEDIAN(K23:K43)</f>
        <v>2846450</v>
      </c>
      <c r="H13" s="270"/>
      <c r="I13" s="1" t="s">
        <v>30</v>
      </c>
      <c r="J13" s="4">
        <f>+F12*1.1</f>
        <v>3732614.6846153848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6.1016949152542375E-2</v>
      </c>
    </row>
    <row r="18" spans="3:15" x14ac:dyDescent="0.25">
      <c r="F18" s="4">
        <f>+F7</f>
        <v>1800000</v>
      </c>
      <c r="G18" s="1" t="s">
        <v>12</v>
      </c>
      <c r="H18" s="11"/>
      <c r="I18" t="s">
        <v>16</v>
      </c>
      <c r="J18" s="7">
        <f>+F8/F18</f>
        <v>0.90464999999999995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5.4279000000000001E-2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672</v>
      </c>
      <c r="E23" s="33"/>
      <c r="F23" t="s">
        <v>276</v>
      </c>
      <c r="G23" t="s">
        <v>25</v>
      </c>
      <c r="H23">
        <f>RANK(K23,K$23:K$43,1)</f>
        <v>2</v>
      </c>
      <c r="I23" s="4">
        <v>712520</v>
      </c>
      <c r="J23" s="4">
        <v>1279601</v>
      </c>
      <c r="K23" s="4">
        <f>+J23+I23</f>
        <v>1992121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673</v>
      </c>
      <c r="E24" s="33"/>
      <c r="F24" t="s">
        <v>167</v>
      </c>
      <c r="G24" t="s">
        <v>93</v>
      </c>
      <c r="H24">
        <f t="shared" ref="H24:H33" si="0">RANK(K24,K$23:K$43,1)</f>
        <v>13</v>
      </c>
      <c r="I24" s="4">
        <v>1401360</v>
      </c>
      <c r="J24" s="4">
        <v>6569100</v>
      </c>
      <c r="K24" s="4">
        <f t="shared" ref="K24:K33" si="1">+J24+I24</f>
        <v>7970460</v>
      </c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606</v>
      </c>
      <c r="E25" s="33"/>
      <c r="F25" t="s">
        <v>100</v>
      </c>
      <c r="G25" t="s">
        <v>93</v>
      </c>
      <c r="H25">
        <f t="shared" si="0"/>
        <v>1</v>
      </c>
      <c r="I25" s="4">
        <v>970370</v>
      </c>
      <c r="J25" s="4">
        <v>658000</v>
      </c>
      <c r="K25" s="4">
        <f t="shared" si="1"/>
        <v>1628370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11" t="s">
        <v>491</v>
      </c>
      <c r="E26" s="33"/>
      <c r="F26" t="s">
        <v>203</v>
      </c>
      <c r="G26" t="s">
        <v>204</v>
      </c>
      <c r="H26">
        <f t="shared" si="0"/>
        <v>4</v>
      </c>
      <c r="I26" s="4">
        <v>1219850</v>
      </c>
      <c r="J26" s="4">
        <v>1470150</v>
      </c>
      <c r="K26" s="4">
        <f t="shared" si="1"/>
        <v>2690000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11" t="s">
        <v>674</v>
      </c>
      <c r="E27" s="33"/>
      <c r="F27" t="s">
        <v>675</v>
      </c>
      <c r="G27" t="s">
        <v>93</v>
      </c>
      <c r="H27">
        <f t="shared" si="0"/>
        <v>10</v>
      </c>
      <c r="I27" s="4">
        <v>1493250</v>
      </c>
      <c r="J27" s="4">
        <v>2263426</v>
      </c>
      <c r="K27" s="4">
        <f t="shared" si="1"/>
        <v>3756676</v>
      </c>
      <c r="L27" s="4"/>
      <c r="M27" s="22"/>
      <c r="N27" s="22"/>
      <c r="O27" s="22"/>
    </row>
    <row r="28" spans="3:15" x14ac:dyDescent="0.25">
      <c r="C28" s="33" t="str">
        <f t="shared" si="2"/>
        <v/>
      </c>
      <c r="D28" s="11" t="s">
        <v>676</v>
      </c>
      <c r="E28" s="33"/>
      <c r="F28" t="s">
        <v>85</v>
      </c>
      <c r="G28" t="s">
        <v>25</v>
      </c>
      <c r="H28">
        <f t="shared" si="0"/>
        <v>3</v>
      </c>
      <c r="I28" s="4">
        <v>1208290</v>
      </c>
      <c r="J28" s="4">
        <v>1048000</v>
      </c>
      <c r="K28" s="4">
        <f t="shared" si="1"/>
        <v>2256290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11" t="s">
        <v>556</v>
      </c>
      <c r="E29" s="33"/>
      <c r="F29" t="s">
        <v>201</v>
      </c>
      <c r="G29" t="s">
        <v>25</v>
      </c>
      <c r="H29">
        <f t="shared" si="0"/>
        <v>12</v>
      </c>
      <c r="I29" s="4">
        <v>2017790</v>
      </c>
      <c r="J29" s="4">
        <v>2961000</v>
      </c>
      <c r="K29" s="4">
        <f t="shared" si="1"/>
        <v>4978790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11" t="s">
        <v>677</v>
      </c>
      <c r="E30" s="33"/>
      <c r="F30" t="s">
        <v>287</v>
      </c>
      <c r="G30" t="s">
        <v>25</v>
      </c>
      <c r="H30">
        <f t="shared" si="0"/>
        <v>5</v>
      </c>
      <c r="I30" s="4">
        <v>1836670</v>
      </c>
      <c r="J30" s="4">
        <v>935042</v>
      </c>
      <c r="K30" s="4">
        <f t="shared" si="1"/>
        <v>2771712</v>
      </c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 t="s">
        <v>678</v>
      </c>
      <c r="E31" s="33"/>
      <c r="F31" t="s">
        <v>92</v>
      </c>
      <c r="G31" t="s">
        <v>93</v>
      </c>
      <c r="H31">
        <f t="shared" si="0"/>
        <v>11</v>
      </c>
      <c r="I31" s="4">
        <v>1812650</v>
      </c>
      <c r="J31" s="4">
        <v>2485000</v>
      </c>
      <c r="K31" s="4">
        <f t="shared" si="1"/>
        <v>4297650</v>
      </c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 t="s">
        <v>679</v>
      </c>
      <c r="E32" s="33"/>
      <c r="F32" t="s">
        <v>137</v>
      </c>
      <c r="G32" t="s">
        <v>25</v>
      </c>
      <c r="H32">
        <f t="shared" si="0"/>
        <v>9</v>
      </c>
      <c r="I32" s="4">
        <v>1776900</v>
      </c>
      <c r="J32" s="4">
        <v>1390100</v>
      </c>
      <c r="K32" s="4">
        <f t="shared" si="1"/>
        <v>3167000</v>
      </c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 t="s">
        <v>680</v>
      </c>
      <c r="E33" s="33"/>
      <c r="F33" t="s">
        <v>532</v>
      </c>
      <c r="G33" t="s">
        <v>93</v>
      </c>
      <c r="H33">
        <f t="shared" si="0"/>
        <v>7</v>
      </c>
      <c r="I33" s="4">
        <v>1016450</v>
      </c>
      <c r="J33" s="4">
        <v>1830000</v>
      </c>
      <c r="K33" s="4">
        <f t="shared" si="1"/>
        <v>2846450</v>
      </c>
      <c r="M33" s="21"/>
      <c r="N33" s="21"/>
      <c r="O33" s="21"/>
    </row>
    <row r="34" spans="3:15" x14ac:dyDescent="0.25">
      <c r="C34" s="33" t="str">
        <f>IF(H34=1,"u","")</f>
        <v/>
      </c>
      <c r="D34" s="11" t="s">
        <v>681</v>
      </c>
      <c r="E34" s="33"/>
      <c r="F34" t="s">
        <v>199</v>
      </c>
      <c r="G34" t="s">
        <v>93</v>
      </c>
      <c r="H34">
        <f>RANK(K34,K$23:K$43,1)</f>
        <v>8</v>
      </c>
      <c r="I34" s="4">
        <v>1490700</v>
      </c>
      <c r="J34" s="4">
        <v>1492000</v>
      </c>
      <c r="K34" s="4">
        <f>+J34+I34</f>
        <v>2982700</v>
      </c>
      <c r="M34" s="21"/>
      <c r="N34" s="21"/>
      <c r="O34" s="21"/>
    </row>
    <row r="35" spans="3:15" x14ac:dyDescent="0.25">
      <c r="C35" s="33" t="str">
        <f>IF(H35=1,"u","")</f>
        <v/>
      </c>
      <c r="D35" s="11" t="s">
        <v>521</v>
      </c>
      <c r="E35" s="33"/>
      <c r="F35" t="s">
        <v>251</v>
      </c>
      <c r="G35" t="s">
        <v>25</v>
      </c>
      <c r="H35">
        <f>RANK(K35,K$23:K$43,1)</f>
        <v>6</v>
      </c>
      <c r="I35" s="4">
        <v>1157000</v>
      </c>
      <c r="J35" s="4">
        <v>1617500</v>
      </c>
      <c r="K35" s="4">
        <f>+J35+I35</f>
        <v>2774500</v>
      </c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 t="str">
        <f t="shared" ref="E36:E43" si="3">IF(H36=1,"t","")</f>
        <v/>
      </c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854" priority="23" operator="containsText" text="FAIL">
      <formula>NOT(ISERROR(SEARCH("FAIL",I9)))</formula>
    </cfRule>
  </conditionalFormatting>
  <conditionalFormatting sqref="I9">
    <cfRule type="containsText" dxfId="853" priority="22" operator="containsText" text="GOOD">
      <formula>NOT(ISERROR(SEARCH("GOOD",I9)))</formula>
    </cfRule>
  </conditionalFormatting>
  <conditionalFormatting sqref="I9">
    <cfRule type="containsText" dxfId="852" priority="21" operator="containsText" text="FAIL">
      <formula>NOT(ISERROR(SEARCH("FAIL",I9)))</formula>
    </cfRule>
  </conditionalFormatting>
  <conditionalFormatting sqref="I9">
    <cfRule type="containsText" dxfId="851" priority="20" operator="containsText" text="GOOD">
      <formula>NOT(ISERROR(SEARCH("GOOD",I9)))</formula>
    </cfRule>
  </conditionalFormatting>
  <conditionalFormatting sqref="I9">
    <cfRule type="containsText" dxfId="850" priority="19" operator="containsText" text="FAIL">
      <formula>NOT(ISERROR(SEARCH("FAIL",I9)))</formula>
    </cfRule>
  </conditionalFormatting>
  <conditionalFormatting sqref="I9">
    <cfRule type="containsText" dxfId="849" priority="18" operator="containsText" text="GOOD">
      <formula>NOT(ISERROR(SEARCH("GOOD",I9)))</formula>
    </cfRule>
  </conditionalFormatting>
  <conditionalFormatting sqref="F11">
    <cfRule type="containsText" dxfId="848" priority="17" operator="containsText" text="FAIL">
      <formula>NOT(ISERROR(SEARCH("FAIL",F11)))</formula>
    </cfRule>
  </conditionalFormatting>
  <conditionalFormatting sqref="F11">
    <cfRule type="containsText" dxfId="847" priority="16" operator="containsText" text="GOOD">
      <formula>NOT(ISERROR(SEARCH("GOOD",F11)))</formula>
    </cfRule>
  </conditionalFormatting>
  <conditionalFormatting sqref="I9">
    <cfRule type="containsText" dxfId="846" priority="15" operator="containsText" text="FAIL">
      <formula>NOT(ISERROR(SEARCH("FAIL",I9)))</formula>
    </cfRule>
  </conditionalFormatting>
  <conditionalFormatting sqref="I9">
    <cfRule type="containsText" dxfId="845" priority="14" operator="containsText" text="GOOD">
      <formula>NOT(ISERROR(SEARCH("GOOD",I9)))</formula>
    </cfRule>
  </conditionalFormatting>
  <conditionalFormatting sqref="F11">
    <cfRule type="containsText" dxfId="844" priority="13" operator="containsText" text="FAIL">
      <formula>NOT(ISERROR(SEARCH("FAIL",F11)))</formula>
    </cfRule>
  </conditionalFormatting>
  <conditionalFormatting sqref="F11">
    <cfRule type="containsText" dxfId="843" priority="12" operator="containsText" text="GOOD">
      <formula>NOT(ISERROR(SEARCH("GOOD",F11)))</formula>
    </cfRule>
  </conditionalFormatting>
  <conditionalFormatting sqref="D25">
    <cfRule type="expression" dxfId="842" priority="11" stopIfTrue="1">
      <formula>IF($H$25=1,0)</formula>
    </cfRule>
  </conditionalFormatting>
  <conditionalFormatting sqref="D23:D33 D36:D43">
    <cfRule type="expression" dxfId="841" priority="10">
      <formula>H23=1</formula>
    </cfRule>
  </conditionalFormatting>
  <conditionalFormatting sqref="C23:C33 C36:C43">
    <cfRule type="expression" dxfId="840" priority="9">
      <formula>H23=1</formula>
    </cfRule>
  </conditionalFormatting>
  <conditionalFormatting sqref="E23:E33 E36:E43">
    <cfRule type="expression" dxfId="839" priority="8">
      <formula>H23=1</formula>
    </cfRule>
  </conditionalFormatting>
  <conditionalFormatting sqref="E23:E33 E36:E43">
    <cfRule type="expression" dxfId="838" priority="7">
      <formula>H23=1</formula>
    </cfRule>
  </conditionalFormatting>
  <conditionalFormatting sqref="F11">
    <cfRule type="containsText" dxfId="837" priority="6" operator="containsText" text="FAIL">
      <formula>NOT(ISERROR(SEARCH("FAIL",F11)))</formula>
    </cfRule>
  </conditionalFormatting>
  <conditionalFormatting sqref="F11">
    <cfRule type="containsText" dxfId="836" priority="5" operator="containsText" text="GOOD">
      <formula>NOT(ISERROR(SEARCH("GOOD",F11)))</formula>
    </cfRule>
  </conditionalFormatting>
  <conditionalFormatting sqref="D34:D35">
    <cfRule type="expression" dxfId="835" priority="4">
      <formula>H34=1</formula>
    </cfRule>
  </conditionalFormatting>
  <conditionalFormatting sqref="C34:C35">
    <cfRule type="expression" dxfId="834" priority="3">
      <formula>H34=1</formula>
    </cfRule>
  </conditionalFormatting>
  <conditionalFormatting sqref="E34:E35">
    <cfRule type="expression" dxfId="833" priority="2">
      <formula>H34=1</formula>
    </cfRule>
  </conditionalFormatting>
  <conditionalFormatting sqref="E34:E35">
    <cfRule type="expression" dxfId="832" priority="1">
      <formula>H34=1</formula>
    </cfRule>
  </conditionalFormatting>
  <pageMargins left="0.7" right="0.7" top="0.75" bottom="0.75" header="0.3" footer="0.3"/>
  <pageSetup orientation="portrait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2:O47"/>
  <sheetViews>
    <sheetView zoomScaleNormal="100" workbookViewId="0">
      <selection activeCell="G8" sqref="G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682</v>
      </c>
      <c r="I4" s="2" t="s">
        <v>4</v>
      </c>
      <c r="J4" t="s">
        <v>634</v>
      </c>
    </row>
    <row r="5" spans="1:11" x14ac:dyDescent="0.25">
      <c r="D5" s="2" t="s">
        <v>1</v>
      </c>
      <c r="F5" t="s">
        <v>688</v>
      </c>
    </row>
    <row r="6" spans="1:11" x14ac:dyDescent="0.25">
      <c r="D6" s="2" t="s">
        <v>2</v>
      </c>
      <c r="F6" s="6">
        <v>42523</v>
      </c>
      <c r="H6" s="11"/>
    </row>
    <row r="7" spans="1:11" x14ac:dyDescent="0.25">
      <c r="D7" s="2" t="s">
        <v>3</v>
      </c>
      <c r="F7" s="5">
        <v>2253000</v>
      </c>
      <c r="G7" s="2" t="s">
        <v>689</v>
      </c>
      <c r="H7" s="11"/>
    </row>
    <row r="8" spans="1:11" x14ac:dyDescent="0.25">
      <c r="D8" s="2" t="s">
        <v>18</v>
      </c>
      <c r="F8" s="5">
        <f>MIN(I23:I43)</f>
        <v>2665637</v>
      </c>
      <c r="H8" s="11"/>
    </row>
    <row r="9" spans="1:11" x14ac:dyDescent="0.25">
      <c r="D9" s="2" t="s">
        <v>67</v>
      </c>
      <c r="F9" s="4">
        <f>+F8-F7</f>
        <v>412637</v>
      </c>
      <c r="G9" s="16">
        <f>+F9/F7</f>
        <v>0.18315002219263204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-884033.75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3137033.75</v>
      </c>
      <c r="G12" s="14"/>
      <c r="H12" s="11">
        <f>COUNT(I23:I43)</f>
        <v>4</v>
      </c>
      <c r="I12" s="1" t="s">
        <v>31</v>
      </c>
      <c r="J12" s="4">
        <f>+F8*0.9</f>
        <v>2399073.3000000003</v>
      </c>
      <c r="K12" s="1" t="s">
        <v>69</v>
      </c>
    </row>
    <row r="13" spans="1:11" x14ac:dyDescent="0.25">
      <c r="D13" s="2" t="s">
        <v>29</v>
      </c>
      <c r="F13" s="4">
        <f>MAX(I23:I43)-MIN(I23:I43)</f>
        <v>1196763</v>
      </c>
      <c r="G13" s="269">
        <f>MEDIAN(I23:I43)</f>
        <v>3010049</v>
      </c>
      <c r="H13" s="270"/>
      <c r="I13" s="1" t="s">
        <v>30</v>
      </c>
      <c r="J13" s="4">
        <f>+F12*1.1</f>
        <v>3450737.1250000005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683</v>
      </c>
      <c r="E23" s="33"/>
      <c r="F23" t="s">
        <v>201</v>
      </c>
      <c r="G23" t="s">
        <v>25</v>
      </c>
      <c r="H23">
        <f>RANK(I23,I$23:I$43,1)</f>
        <v>4</v>
      </c>
      <c r="I23" s="4">
        <v>3862400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684</v>
      </c>
      <c r="E24" s="33"/>
      <c r="F24" t="s">
        <v>685</v>
      </c>
      <c r="G24" t="s">
        <v>25</v>
      </c>
      <c r="H24">
        <f>RANK(I24,I$23:I$43,1)</f>
        <v>2</v>
      </c>
      <c r="I24" s="4">
        <v>2702598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686</v>
      </c>
      <c r="E25" s="33"/>
      <c r="F25" t="s">
        <v>645</v>
      </c>
      <c r="G25" t="s">
        <v>25</v>
      </c>
      <c r="H25">
        <f>RANK(I25,I$23:I$43,1)</f>
        <v>1</v>
      </c>
      <c r="I25" s="4">
        <v>2665637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 t="s">
        <v>687</v>
      </c>
      <c r="E26" s="33"/>
      <c r="F26" t="s">
        <v>201</v>
      </c>
      <c r="G26" t="s">
        <v>25</v>
      </c>
      <c r="H26">
        <f>RANK(I26,I$23:I$43,1)</f>
        <v>3</v>
      </c>
      <c r="I26" s="4">
        <v>3317500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831" priority="10" operator="containsText" text="FAIL">
      <formula>NOT(ISERROR(SEARCH("FAIL",I9)))</formula>
    </cfRule>
  </conditionalFormatting>
  <conditionalFormatting sqref="I9">
    <cfRule type="containsText" dxfId="830" priority="9" operator="containsText" text="GOOD">
      <formula>NOT(ISERROR(SEARCH("GOOD",I9)))</formula>
    </cfRule>
  </conditionalFormatting>
  <conditionalFormatting sqref="F11">
    <cfRule type="containsText" dxfId="829" priority="8" operator="containsText" text="FAIL">
      <formula>NOT(ISERROR(SEARCH("FAIL",F11)))</formula>
    </cfRule>
  </conditionalFormatting>
  <conditionalFormatting sqref="F11">
    <cfRule type="containsText" dxfId="828" priority="7" operator="containsText" text="GOOD">
      <formula>NOT(ISERROR(SEARCH("GOOD",F11)))</formula>
    </cfRule>
  </conditionalFormatting>
  <conditionalFormatting sqref="D25">
    <cfRule type="expression" dxfId="827" priority="6" stopIfTrue="1">
      <formula>IF($H$25=1,0)</formula>
    </cfRule>
  </conditionalFormatting>
  <conditionalFormatting sqref="D23:D43">
    <cfRule type="expression" dxfId="826" priority="5">
      <formula>H23=1</formula>
    </cfRule>
  </conditionalFormatting>
  <conditionalFormatting sqref="C23:C43">
    <cfRule type="expression" dxfId="825" priority="4">
      <formula>H23=1</formula>
    </cfRule>
  </conditionalFormatting>
  <conditionalFormatting sqref="E23:E43">
    <cfRule type="expression" dxfId="824" priority="3">
      <formula>H23=1</formula>
    </cfRule>
  </conditionalFormatting>
  <conditionalFormatting sqref="F11">
    <cfRule type="containsText" dxfId="823" priority="2" operator="containsText" text="FAIL">
      <formula>NOT(ISERROR(SEARCH("FAIL",F11)))</formula>
    </cfRule>
  </conditionalFormatting>
  <conditionalFormatting sqref="F11">
    <cfRule type="containsText" dxfId="822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2:O47"/>
  <sheetViews>
    <sheetView topLeftCell="C1" zoomScaleNormal="100" workbookViewId="0">
      <selection activeCell="L9" sqref="L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668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669</v>
      </c>
    </row>
    <row r="6" spans="1:11" x14ac:dyDescent="0.25">
      <c r="D6" s="2" t="s">
        <v>2</v>
      </c>
      <c r="F6" s="6">
        <v>42517</v>
      </c>
      <c r="H6" s="11"/>
    </row>
    <row r="7" spans="1:11" x14ac:dyDescent="0.25">
      <c r="D7" s="2" t="s">
        <v>3</v>
      </c>
      <c r="F7" s="5">
        <f>+I7+J7</f>
        <v>2800000</v>
      </c>
      <c r="G7" s="2" t="s">
        <v>34</v>
      </c>
      <c r="H7" s="11"/>
      <c r="I7" s="19">
        <v>1890000</v>
      </c>
      <c r="J7" s="19">
        <v>910000</v>
      </c>
    </row>
    <row r="8" spans="1:11" x14ac:dyDescent="0.25">
      <c r="D8" s="2" t="s">
        <v>18</v>
      </c>
      <c r="F8" s="5">
        <f>MIN(K23:K43)</f>
        <v>3295274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495274</v>
      </c>
      <c r="G9" s="16">
        <f>+F9/F7</f>
        <v>0.17688357142857142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-1825451.5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SUM(K23:K43)/H12</f>
        <v>4625451.5</v>
      </c>
      <c r="G12" s="14"/>
      <c r="H12" s="11">
        <f>COUNT(K23:K43)</f>
        <v>6</v>
      </c>
      <c r="I12" s="1" t="s">
        <v>31</v>
      </c>
      <c r="J12" s="4">
        <f>+F8*0.9</f>
        <v>2965746.6</v>
      </c>
      <c r="K12" s="1" t="s">
        <v>69</v>
      </c>
    </row>
    <row r="13" spans="1:11" x14ac:dyDescent="0.25">
      <c r="D13" s="2" t="s">
        <v>29</v>
      </c>
      <c r="F13" s="4">
        <f>MAX(K23:K43)-MIN(K23:K43)</f>
        <v>3025926</v>
      </c>
      <c r="G13" s="269">
        <f>MEDIAN(K23:K43)</f>
        <v>4315862.5</v>
      </c>
      <c r="H13" s="270"/>
      <c r="I13" s="1" t="s">
        <v>30</v>
      </c>
      <c r="J13" s="4">
        <f>+F12*1.1</f>
        <v>5087996.6500000004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502</v>
      </c>
      <c r="E23" s="33"/>
      <c r="F23" t="s">
        <v>95</v>
      </c>
      <c r="G23" t="s">
        <v>93</v>
      </c>
      <c r="H23">
        <f t="shared" ref="H23:H28" si="0">RANK(K23,K$23:K$43,1)</f>
        <v>6</v>
      </c>
      <c r="I23" s="4">
        <v>1145670</v>
      </c>
      <c r="J23" s="4">
        <v>5175530</v>
      </c>
      <c r="K23" s="4">
        <f t="shared" ref="K23:K28" si="1">+J23+I23</f>
        <v>6321200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533</v>
      </c>
      <c r="E24" s="33"/>
      <c r="F24" t="s">
        <v>92</v>
      </c>
      <c r="G24" t="s">
        <v>93</v>
      </c>
      <c r="H24">
        <f t="shared" si="0"/>
        <v>4</v>
      </c>
      <c r="I24" s="4">
        <v>3009085</v>
      </c>
      <c r="J24" s="4">
        <v>1345000</v>
      </c>
      <c r="K24" s="4">
        <f t="shared" si="1"/>
        <v>4354085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491</v>
      </c>
      <c r="E25" s="33"/>
      <c r="F25" t="s">
        <v>203</v>
      </c>
      <c r="G25" t="s">
        <v>204</v>
      </c>
      <c r="H25">
        <f t="shared" si="0"/>
        <v>2</v>
      </c>
      <c r="I25" s="4">
        <v>2785650</v>
      </c>
      <c r="J25" s="4">
        <v>1414000</v>
      </c>
      <c r="K25" s="4">
        <f t="shared" si="1"/>
        <v>4199650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11" t="s">
        <v>528</v>
      </c>
      <c r="E26" s="33"/>
      <c r="F26" t="s">
        <v>159</v>
      </c>
      <c r="G26" t="s">
        <v>93</v>
      </c>
      <c r="H26">
        <f t="shared" si="0"/>
        <v>5</v>
      </c>
      <c r="I26" s="4">
        <v>2404860</v>
      </c>
      <c r="J26" s="4">
        <v>2900000</v>
      </c>
      <c r="K26" s="4">
        <f t="shared" si="1"/>
        <v>5304860</v>
      </c>
      <c r="L26" s="4"/>
      <c r="M26" s="22"/>
      <c r="N26" s="22"/>
      <c r="O26" s="22"/>
    </row>
    <row r="27" spans="3:15" x14ac:dyDescent="0.25">
      <c r="C27" s="33" t="str">
        <f t="shared" si="2"/>
        <v>u</v>
      </c>
      <c r="D27" s="11" t="s">
        <v>556</v>
      </c>
      <c r="E27" s="33"/>
      <c r="F27" t="s">
        <v>201</v>
      </c>
      <c r="G27" t="s">
        <v>25</v>
      </c>
      <c r="H27">
        <f t="shared" si="0"/>
        <v>1</v>
      </c>
      <c r="I27" s="4">
        <v>2169774</v>
      </c>
      <c r="J27" s="4">
        <v>1125500</v>
      </c>
      <c r="K27" s="4">
        <f t="shared" si="1"/>
        <v>3295274</v>
      </c>
      <c r="L27" s="4"/>
      <c r="M27" s="22"/>
      <c r="N27" s="22"/>
      <c r="O27" s="22"/>
    </row>
    <row r="28" spans="3:15" x14ac:dyDescent="0.25">
      <c r="C28" s="33" t="str">
        <f t="shared" si="2"/>
        <v/>
      </c>
      <c r="D28" s="11" t="s">
        <v>522</v>
      </c>
      <c r="E28" s="33"/>
      <c r="F28" t="s">
        <v>100</v>
      </c>
      <c r="G28" t="s">
        <v>93</v>
      </c>
      <c r="H28">
        <f t="shared" si="0"/>
        <v>3</v>
      </c>
      <c r="I28" s="4">
        <v>3255140</v>
      </c>
      <c r="J28" s="4">
        <v>1022500</v>
      </c>
      <c r="K28" s="4">
        <f t="shared" si="1"/>
        <v>4277640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2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 t="str">
        <f t="shared" ref="E34:E43" si="3">IF(H34=1,"t","")</f>
        <v/>
      </c>
      <c r="K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 t="str">
        <f t="shared" si="3"/>
        <v/>
      </c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 t="str">
        <f t="shared" si="3"/>
        <v/>
      </c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821" priority="19" operator="containsText" text="FAIL">
      <formula>NOT(ISERROR(SEARCH("FAIL",I9)))</formula>
    </cfRule>
  </conditionalFormatting>
  <conditionalFormatting sqref="I9">
    <cfRule type="containsText" dxfId="820" priority="18" operator="containsText" text="GOOD">
      <formula>NOT(ISERROR(SEARCH("GOOD",I9)))</formula>
    </cfRule>
  </conditionalFormatting>
  <conditionalFormatting sqref="I9">
    <cfRule type="containsText" dxfId="819" priority="17" operator="containsText" text="FAIL">
      <formula>NOT(ISERROR(SEARCH("FAIL",I9)))</formula>
    </cfRule>
  </conditionalFormatting>
  <conditionalFormatting sqref="I9">
    <cfRule type="containsText" dxfId="818" priority="16" operator="containsText" text="GOOD">
      <formula>NOT(ISERROR(SEARCH("GOOD",I9)))</formula>
    </cfRule>
  </conditionalFormatting>
  <conditionalFormatting sqref="I9">
    <cfRule type="containsText" dxfId="817" priority="15" operator="containsText" text="FAIL">
      <formula>NOT(ISERROR(SEARCH("FAIL",I9)))</formula>
    </cfRule>
  </conditionalFormatting>
  <conditionalFormatting sqref="I9">
    <cfRule type="containsText" dxfId="816" priority="14" operator="containsText" text="GOOD">
      <formula>NOT(ISERROR(SEARCH("GOOD",I9)))</formula>
    </cfRule>
  </conditionalFormatting>
  <conditionalFormatting sqref="F11">
    <cfRule type="containsText" dxfId="815" priority="13" operator="containsText" text="FAIL">
      <formula>NOT(ISERROR(SEARCH("FAIL",F11)))</formula>
    </cfRule>
  </conditionalFormatting>
  <conditionalFormatting sqref="F11">
    <cfRule type="containsText" dxfId="814" priority="12" operator="containsText" text="GOOD">
      <formula>NOT(ISERROR(SEARCH("GOOD",F11)))</formula>
    </cfRule>
  </conditionalFormatting>
  <conditionalFormatting sqref="I9">
    <cfRule type="containsText" dxfId="813" priority="11" operator="containsText" text="FAIL">
      <formula>NOT(ISERROR(SEARCH("FAIL",I9)))</formula>
    </cfRule>
  </conditionalFormatting>
  <conditionalFormatting sqref="I9">
    <cfRule type="containsText" dxfId="812" priority="10" operator="containsText" text="GOOD">
      <formula>NOT(ISERROR(SEARCH("GOOD",I9)))</formula>
    </cfRule>
  </conditionalFormatting>
  <conditionalFormatting sqref="F11">
    <cfRule type="containsText" dxfId="811" priority="9" operator="containsText" text="FAIL">
      <formula>NOT(ISERROR(SEARCH("FAIL",F11)))</formula>
    </cfRule>
  </conditionalFormatting>
  <conditionalFormatting sqref="F11">
    <cfRule type="containsText" dxfId="810" priority="8" operator="containsText" text="GOOD">
      <formula>NOT(ISERROR(SEARCH("GOOD",F11)))</formula>
    </cfRule>
  </conditionalFormatting>
  <conditionalFormatting sqref="D25">
    <cfRule type="expression" dxfId="809" priority="7" stopIfTrue="1">
      <formula>IF($H$25=1,0)</formula>
    </cfRule>
  </conditionalFormatting>
  <conditionalFormatting sqref="D23:D43">
    <cfRule type="expression" dxfId="808" priority="6">
      <formula>H23=1</formula>
    </cfRule>
  </conditionalFormatting>
  <conditionalFormatting sqref="C23:C43">
    <cfRule type="expression" dxfId="807" priority="5">
      <formula>H23=1</formula>
    </cfRule>
  </conditionalFormatting>
  <conditionalFormatting sqref="E23:E43">
    <cfRule type="expression" dxfId="806" priority="4">
      <formula>H23=1</formula>
    </cfRule>
  </conditionalFormatting>
  <conditionalFormatting sqref="E23:E43">
    <cfRule type="expression" dxfId="805" priority="3">
      <formula>H23=1</formula>
    </cfRule>
  </conditionalFormatting>
  <conditionalFormatting sqref="F11">
    <cfRule type="containsText" dxfId="804" priority="2" operator="containsText" text="FAIL">
      <formula>NOT(ISERROR(SEARCH("FAIL",F11)))</formula>
    </cfRule>
  </conditionalFormatting>
  <conditionalFormatting sqref="F11">
    <cfRule type="containsText" dxfId="803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2:O47"/>
  <sheetViews>
    <sheetView zoomScaleNormal="100" workbookViewId="0">
      <selection activeCell="J24" sqref="J2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663</v>
      </c>
      <c r="I4" s="2" t="s">
        <v>4</v>
      </c>
      <c r="J4" t="s">
        <v>666</v>
      </c>
    </row>
    <row r="5" spans="1:11" x14ac:dyDescent="0.25">
      <c r="D5" s="2" t="s">
        <v>1</v>
      </c>
      <c r="F5" t="s">
        <v>664</v>
      </c>
    </row>
    <row r="6" spans="1:11" x14ac:dyDescent="0.25">
      <c r="D6" s="2" t="s">
        <v>2</v>
      </c>
      <c r="F6" s="6">
        <v>42514</v>
      </c>
      <c r="H6" s="11"/>
    </row>
    <row r="7" spans="1:11" x14ac:dyDescent="0.25">
      <c r="D7" s="2" t="s">
        <v>3</v>
      </c>
      <c r="F7" s="5">
        <v>1930000</v>
      </c>
      <c r="G7" s="2" t="s">
        <v>190</v>
      </c>
      <c r="H7" s="11"/>
    </row>
    <row r="8" spans="1:11" x14ac:dyDescent="0.25">
      <c r="D8" s="2" t="s">
        <v>18</v>
      </c>
      <c r="F8" s="5">
        <f>MIN(I23:I43)</f>
        <v>2277000</v>
      </c>
      <c r="H8" s="11"/>
    </row>
    <row r="9" spans="1:11" x14ac:dyDescent="0.25">
      <c r="D9" s="2" t="s">
        <v>67</v>
      </c>
      <c r="F9" s="4">
        <f>+F8-F7</f>
        <v>347000</v>
      </c>
      <c r="G9" s="16">
        <f>+F9/F7</f>
        <v>0.17979274611398963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-806160.75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2736160.75</v>
      </c>
      <c r="G12" s="14"/>
      <c r="H12" s="11">
        <f>COUNT(I23:I43)</f>
        <v>4</v>
      </c>
      <c r="I12" s="1" t="s">
        <v>31</v>
      </c>
      <c r="J12" s="4">
        <f>+F8*0.9</f>
        <v>2049300</v>
      </c>
      <c r="K12" s="1" t="s">
        <v>69</v>
      </c>
    </row>
    <row r="13" spans="1:11" x14ac:dyDescent="0.25">
      <c r="D13" s="2" t="s">
        <v>29</v>
      </c>
      <c r="F13" s="4">
        <f>MAX(I23:I43)-MIN(I23:I43)</f>
        <v>766643</v>
      </c>
      <c r="G13" s="269">
        <f>MEDIAN(I23:I43)</f>
        <v>2812000</v>
      </c>
      <c r="H13" s="270"/>
      <c r="I13" s="1" t="s">
        <v>30</v>
      </c>
      <c r="J13" s="4">
        <f>+F12*1.1</f>
        <v>3009776.8250000002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665</v>
      </c>
      <c r="E23" s="33"/>
      <c r="F23" t="s">
        <v>413</v>
      </c>
      <c r="G23" t="s">
        <v>93</v>
      </c>
      <c r="H23">
        <f>RANK(I23,I$23:I$43,1)</f>
        <v>4</v>
      </c>
      <c r="I23" s="4">
        <v>3043643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541</v>
      </c>
      <c r="E24" s="33"/>
      <c r="F24" t="s">
        <v>159</v>
      </c>
      <c r="G24" t="s">
        <v>93</v>
      </c>
      <c r="H24">
        <f>RANK(I24,I$23:I$43,1)</f>
        <v>1</v>
      </c>
      <c r="I24" s="4">
        <v>2277000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542</v>
      </c>
      <c r="E25" s="33"/>
      <c r="F25" t="s">
        <v>161</v>
      </c>
      <c r="G25" t="s">
        <v>93</v>
      </c>
      <c r="H25">
        <f>RANK(I25,I$23:I$43,1)</f>
        <v>3</v>
      </c>
      <c r="I25" s="4">
        <v>3037000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 t="s">
        <v>540</v>
      </c>
      <c r="E26" s="33"/>
      <c r="F26" t="s">
        <v>195</v>
      </c>
      <c r="G26" t="s">
        <v>93</v>
      </c>
      <c r="H26">
        <f>RANK(I26,I$23:I$43,1)</f>
        <v>2</v>
      </c>
      <c r="I26" s="4">
        <v>2587000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802" priority="10" operator="containsText" text="FAIL">
      <formula>NOT(ISERROR(SEARCH("FAIL",I9)))</formula>
    </cfRule>
  </conditionalFormatting>
  <conditionalFormatting sqref="I9">
    <cfRule type="containsText" dxfId="801" priority="9" operator="containsText" text="GOOD">
      <formula>NOT(ISERROR(SEARCH("GOOD",I9)))</formula>
    </cfRule>
  </conditionalFormatting>
  <conditionalFormatting sqref="F11">
    <cfRule type="containsText" dxfId="800" priority="8" operator="containsText" text="FAIL">
      <formula>NOT(ISERROR(SEARCH("FAIL",F11)))</formula>
    </cfRule>
  </conditionalFormatting>
  <conditionalFormatting sqref="F11">
    <cfRule type="containsText" dxfId="799" priority="7" operator="containsText" text="GOOD">
      <formula>NOT(ISERROR(SEARCH("GOOD",F11)))</formula>
    </cfRule>
  </conditionalFormatting>
  <conditionalFormatting sqref="D25">
    <cfRule type="expression" dxfId="798" priority="6" stopIfTrue="1">
      <formula>IF($H$25=1,0)</formula>
    </cfRule>
  </conditionalFormatting>
  <conditionalFormatting sqref="D23:D43">
    <cfRule type="expression" dxfId="797" priority="5">
      <formula>H23=1</formula>
    </cfRule>
  </conditionalFormatting>
  <conditionalFormatting sqref="C23:C43">
    <cfRule type="expression" dxfId="796" priority="4">
      <formula>H23=1</formula>
    </cfRule>
  </conditionalFormatting>
  <conditionalFormatting sqref="E23:E43">
    <cfRule type="expression" dxfId="795" priority="3">
      <formula>H23=1</formula>
    </cfRule>
  </conditionalFormatting>
  <conditionalFormatting sqref="F11">
    <cfRule type="containsText" dxfId="794" priority="2" operator="containsText" text="FAIL">
      <formula>NOT(ISERROR(SEARCH("FAIL",F11)))</formula>
    </cfRule>
  </conditionalFormatting>
  <conditionalFormatting sqref="F11">
    <cfRule type="containsText" dxfId="793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2:O47"/>
  <sheetViews>
    <sheetView topLeftCell="C1" zoomScaleNormal="100" workbookViewId="0">
      <selection activeCell="O18" sqref="O1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648</v>
      </c>
      <c r="I4" s="2" t="s">
        <v>4</v>
      </c>
      <c r="J4" t="s">
        <v>442</v>
      </c>
    </row>
    <row r="5" spans="1:11" x14ac:dyDescent="0.25">
      <c r="D5" s="2" t="s">
        <v>1</v>
      </c>
      <c r="F5" t="s">
        <v>649</v>
      </c>
    </row>
    <row r="6" spans="1:11" x14ac:dyDescent="0.25">
      <c r="D6" s="2" t="s">
        <v>2</v>
      </c>
      <c r="F6" s="6">
        <v>42500</v>
      </c>
      <c r="H6" s="11"/>
    </row>
    <row r="7" spans="1:11" x14ac:dyDescent="0.25">
      <c r="D7" s="2" t="s">
        <v>3</v>
      </c>
      <c r="F7" s="5">
        <f>+I7+J7</f>
        <v>4000000</v>
      </c>
      <c r="G7" s="2" t="s">
        <v>34</v>
      </c>
      <c r="H7" s="11"/>
      <c r="I7" s="19">
        <v>3600000</v>
      </c>
      <c r="J7" s="19">
        <v>400000</v>
      </c>
    </row>
    <row r="8" spans="1:11" x14ac:dyDescent="0.25">
      <c r="D8" s="2" t="s">
        <v>18</v>
      </c>
      <c r="F8" s="5">
        <f>MIN(K23:K43)</f>
        <v>3838287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-161713</v>
      </c>
      <c r="G9" s="16">
        <f>+F9/F7</f>
        <v>-4.0428249999999999E-2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1" x14ac:dyDescent="0.25">
      <c r="D10" s="2" t="s">
        <v>68</v>
      </c>
      <c r="F10" s="4">
        <f>+F7-F12</f>
        <v>-1748930.4545454541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5748930.4545454541</v>
      </c>
      <c r="G12" s="14"/>
      <c r="H12" s="11">
        <f>COUNT(K23:K43)</f>
        <v>11</v>
      </c>
      <c r="I12" s="1" t="s">
        <v>31</v>
      </c>
      <c r="J12" s="4">
        <f>+F8*0.9</f>
        <v>3454458.3000000003</v>
      </c>
      <c r="K12" s="1" t="s">
        <v>69</v>
      </c>
    </row>
    <row r="13" spans="1:11" x14ac:dyDescent="0.25">
      <c r="D13" s="2" t="s">
        <v>29</v>
      </c>
      <c r="F13" s="4">
        <f>MAX(K23:K43)-MIN(K23:K43)</f>
        <v>3536261</v>
      </c>
      <c r="G13" s="269">
        <f>MEDIAN(K23:K43)</f>
        <v>5708850</v>
      </c>
      <c r="H13" s="270"/>
      <c r="I13" s="1" t="s">
        <v>30</v>
      </c>
      <c r="J13" s="4">
        <f>+F12*1.1</f>
        <v>6323823.5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650</v>
      </c>
      <c r="E23" s="33"/>
      <c r="F23" t="s">
        <v>308</v>
      </c>
      <c r="G23" t="s">
        <v>25</v>
      </c>
      <c r="H23">
        <f>RANK(K23,K$23:K$43,1)</f>
        <v>2</v>
      </c>
      <c r="I23" s="4">
        <v>1796500</v>
      </c>
      <c r="J23" s="4">
        <v>2895000</v>
      </c>
      <c r="K23" s="4">
        <f>+J23+I23</f>
        <v>4691500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568</v>
      </c>
      <c r="E24" s="33"/>
      <c r="F24" t="s">
        <v>292</v>
      </c>
      <c r="G24" t="s">
        <v>25</v>
      </c>
      <c r="H24">
        <f t="shared" ref="H24:H33" si="0">RANK(K24,K$23:K$43,1)</f>
        <v>3</v>
      </c>
      <c r="I24" s="4">
        <v>2100000</v>
      </c>
      <c r="J24" s="4">
        <v>3057400</v>
      </c>
      <c r="K24" s="4">
        <f t="shared" ref="K24:K33" si="1">+J24+I24</f>
        <v>5157400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651</v>
      </c>
      <c r="E25" s="33"/>
      <c r="F25" t="s">
        <v>208</v>
      </c>
      <c r="G25" t="s">
        <v>93</v>
      </c>
      <c r="H25">
        <f t="shared" si="0"/>
        <v>9</v>
      </c>
      <c r="I25" s="4">
        <v>1180680</v>
      </c>
      <c r="J25" s="4">
        <v>5199320</v>
      </c>
      <c r="K25" s="4">
        <f t="shared" si="1"/>
        <v>6380000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>u</v>
      </c>
      <c r="D26" s="11" t="s">
        <v>652</v>
      </c>
      <c r="E26" s="33"/>
      <c r="F26" t="s">
        <v>292</v>
      </c>
      <c r="G26" t="s">
        <v>25</v>
      </c>
      <c r="H26">
        <f t="shared" si="0"/>
        <v>1</v>
      </c>
      <c r="I26" s="4">
        <v>2495780</v>
      </c>
      <c r="J26" s="4">
        <v>1342507</v>
      </c>
      <c r="K26" s="4">
        <f t="shared" si="1"/>
        <v>3838287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11" t="s">
        <v>653</v>
      </c>
      <c r="E27" s="33"/>
      <c r="F27" t="s">
        <v>391</v>
      </c>
      <c r="G27" t="s">
        <v>93</v>
      </c>
      <c r="H27">
        <f t="shared" si="0"/>
        <v>10</v>
      </c>
      <c r="I27" s="4">
        <v>1584000</v>
      </c>
      <c r="J27" s="4">
        <v>5710000</v>
      </c>
      <c r="K27" s="4">
        <f t="shared" si="1"/>
        <v>7294000</v>
      </c>
      <c r="L27" s="4"/>
      <c r="M27" s="22"/>
      <c r="N27" s="22"/>
      <c r="O27" s="22"/>
    </row>
    <row r="28" spans="3:15" x14ac:dyDescent="0.25">
      <c r="C28" s="33" t="str">
        <f t="shared" si="2"/>
        <v/>
      </c>
      <c r="D28" s="11" t="s">
        <v>654</v>
      </c>
      <c r="E28" s="33"/>
      <c r="F28" t="s">
        <v>305</v>
      </c>
      <c r="G28" t="s">
        <v>25</v>
      </c>
      <c r="H28">
        <f t="shared" si="0"/>
        <v>11</v>
      </c>
      <c r="I28" s="4">
        <v>2564470</v>
      </c>
      <c r="J28" s="4">
        <v>4810078</v>
      </c>
      <c r="K28" s="4">
        <f t="shared" si="1"/>
        <v>7374548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11" t="s">
        <v>655</v>
      </c>
      <c r="E29" s="33"/>
      <c r="F29" t="s">
        <v>135</v>
      </c>
      <c r="G29" t="s">
        <v>25</v>
      </c>
      <c r="H29">
        <f t="shared" si="0"/>
        <v>4</v>
      </c>
      <c r="I29" s="4">
        <v>3525200</v>
      </c>
      <c r="J29" s="4">
        <v>1700050</v>
      </c>
      <c r="K29" s="4">
        <f t="shared" si="1"/>
        <v>5225250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11" t="s">
        <v>656</v>
      </c>
      <c r="E30" s="33"/>
      <c r="F30" t="s">
        <v>312</v>
      </c>
      <c r="G30" t="s">
        <v>25</v>
      </c>
      <c r="H30">
        <f t="shared" si="0"/>
        <v>6</v>
      </c>
      <c r="I30" s="4">
        <v>3386000</v>
      </c>
      <c r="J30" s="4">
        <v>2322850</v>
      </c>
      <c r="K30" s="4">
        <f t="shared" si="1"/>
        <v>5708850</v>
      </c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 t="s">
        <v>657</v>
      </c>
      <c r="E31" s="33"/>
      <c r="F31" t="s">
        <v>658</v>
      </c>
      <c r="G31" t="s">
        <v>93</v>
      </c>
      <c r="H31">
        <f t="shared" si="0"/>
        <v>5</v>
      </c>
      <c r="I31" s="4">
        <v>3588000</v>
      </c>
      <c r="J31" s="4">
        <v>2099000</v>
      </c>
      <c r="K31" s="4">
        <f t="shared" si="1"/>
        <v>5687000</v>
      </c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 t="s">
        <v>659</v>
      </c>
      <c r="E32" s="33"/>
      <c r="F32" t="s">
        <v>661</v>
      </c>
      <c r="G32" t="s">
        <v>93</v>
      </c>
      <c r="H32">
        <f t="shared" si="0"/>
        <v>8</v>
      </c>
      <c r="I32" s="4">
        <v>4072500</v>
      </c>
      <c r="J32" s="4">
        <v>1900000</v>
      </c>
      <c r="K32" s="4">
        <f t="shared" si="1"/>
        <v>5972500</v>
      </c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 t="s">
        <v>660</v>
      </c>
      <c r="E33" s="33"/>
      <c r="F33" t="s">
        <v>572</v>
      </c>
      <c r="G33" t="s">
        <v>321</v>
      </c>
      <c r="H33">
        <f t="shared" si="0"/>
        <v>7</v>
      </c>
      <c r="I33" s="4">
        <v>2658900</v>
      </c>
      <c r="J33" s="4">
        <v>3250000</v>
      </c>
      <c r="K33" s="4">
        <f t="shared" si="1"/>
        <v>5908900</v>
      </c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 t="str">
        <f t="shared" ref="E34:E43" si="3">IF(H34=1,"t","")</f>
        <v/>
      </c>
      <c r="K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 t="str">
        <f t="shared" si="3"/>
        <v/>
      </c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 t="str">
        <f t="shared" si="3"/>
        <v/>
      </c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792" priority="19" operator="containsText" text="FAIL">
      <formula>NOT(ISERROR(SEARCH("FAIL",I9)))</formula>
    </cfRule>
  </conditionalFormatting>
  <conditionalFormatting sqref="I9">
    <cfRule type="containsText" dxfId="791" priority="18" operator="containsText" text="GOOD">
      <formula>NOT(ISERROR(SEARCH("GOOD",I9)))</formula>
    </cfRule>
  </conditionalFormatting>
  <conditionalFormatting sqref="I9">
    <cfRule type="containsText" dxfId="790" priority="17" operator="containsText" text="FAIL">
      <formula>NOT(ISERROR(SEARCH("FAIL",I9)))</formula>
    </cfRule>
  </conditionalFormatting>
  <conditionalFormatting sqref="I9">
    <cfRule type="containsText" dxfId="789" priority="16" operator="containsText" text="GOOD">
      <formula>NOT(ISERROR(SEARCH("GOOD",I9)))</formula>
    </cfRule>
  </conditionalFormatting>
  <conditionalFormatting sqref="I9">
    <cfRule type="containsText" dxfId="788" priority="15" operator="containsText" text="FAIL">
      <formula>NOT(ISERROR(SEARCH("FAIL",I9)))</formula>
    </cfRule>
  </conditionalFormatting>
  <conditionalFormatting sqref="I9">
    <cfRule type="containsText" dxfId="787" priority="14" operator="containsText" text="GOOD">
      <formula>NOT(ISERROR(SEARCH("GOOD",I9)))</formula>
    </cfRule>
  </conditionalFormatting>
  <conditionalFormatting sqref="F11">
    <cfRule type="containsText" dxfId="786" priority="13" operator="containsText" text="FAIL">
      <formula>NOT(ISERROR(SEARCH("FAIL",F11)))</formula>
    </cfRule>
  </conditionalFormatting>
  <conditionalFormatting sqref="F11">
    <cfRule type="containsText" dxfId="785" priority="12" operator="containsText" text="GOOD">
      <formula>NOT(ISERROR(SEARCH("GOOD",F11)))</formula>
    </cfRule>
  </conditionalFormatting>
  <conditionalFormatting sqref="I9">
    <cfRule type="containsText" dxfId="784" priority="11" operator="containsText" text="FAIL">
      <formula>NOT(ISERROR(SEARCH("FAIL",I9)))</formula>
    </cfRule>
  </conditionalFormatting>
  <conditionalFormatting sqref="I9">
    <cfRule type="containsText" dxfId="783" priority="10" operator="containsText" text="GOOD">
      <formula>NOT(ISERROR(SEARCH("GOOD",I9)))</formula>
    </cfRule>
  </conditionalFormatting>
  <conditionalFormatting sqref="F11">
    <cfRule type="containsText" dxfId="782" priority="9" operator="containsText" text="FAIL">
      <formula>NOT(ISERROR(SEARCH("FAIL",F11)))</formula>
    </cfRule>
  </conditionalFormatting>
  <conditionalFormatting sqref="F11">
    <cfRule type="containsText" dxfId="781" priority="8" operator="containsText" text="GOOD">
      <formula>NOT(ISERROR(SEARCH("GOOD",F11)))</formula>
    </cfRule>
  </conditionalFormatting>
  <conditionalFormatting sqref="D25">
    <cfRule type="expression" dxfId="780" priority="7" stopIfTrue="1">
      <formula>IF($H$25=1,0)</formula>
    </cfRule>
  </conditionalFormatting>
  <conditionalFormatting sqref="D23:D43">
    <cfRule type="expression" dxfId="779" priority="6">
      <formula>H23=1</formula>
    </cfRule>
  </conditionalFormatting>
  <conditionalFormatting sqref="C23:C43">
    <cfRule type="expression" dxfId="778" priority="5">
      <formula>H23=1</formula>
    </cfRule>
  </conditionalFormatting>
  <conditionalFormatting sqref="E23:E43">
    <cfRule type="expression" dxfId="777" priority="4">
      <formula>H23=1</formula>
    </cfRule>
  </conditionalFormatting>
  <conditionalFormatting sqref="E23:E43">
    <cfRule type="expression" dxfId="776" priority="3">
      <formula>H23=1</formula>
    </cfRule>
  </conditionalFormatting>
  <conditionalFormatting sqref="F11">
    <cfRule type="containsText" dxfId="775" priority="2" operator="containsText" text="FAIL">
      <formula>NOT(ISERROR(SEARCH("FAIL",F11)))</formula>
    </cfRule>
  </conditionalFormatting>
  <conditionalFormatting sqref="F11">
    <cfRule type="containsText" dxfId="774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>
    <tabColor rgb="FFFF0000"/>
  </sheetPr>
  <dimension ref="A2:O47"/>
  <sheetViews>
    <sheetView topLeftCell="A19" zoomScaleNormal="100" workbookViewId="0">
      <selection activeCell="I39" sqref="I3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638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639</v>
      </c>
    </row>
    <row r="6" spans="1:11" x14ac:dyDescent="0.25">
      <c r="D6" s="2" t="s">
        <v>2</v>
      </c>
      <c r="F6" s="6">
        <v>42496</v>
      </c>
      <c r="H6" s="11"/>
    </row>
    <row r="7" spans="1:11" x14ac:dyDescent="0.25">
      <c r="D7" s="2" t="s">
        <v>3</v>
      </c>
      <c r="F7" s="5">
        <v>828000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453500</v>
      </c>
      <c r="H8" s="11"/>
    </row>
    <row r="9" spans="1:11" x14ac:dyDescent="0.25">
      <c r="D9" s="2" t="s">
        <v>67</v>
      </c>
      <c r="F9" s="4">
        <f>+F8-F7</f>
        <v>-374500</v>
      </c>
      <c r="G9" s="16">
        <f>+F9/F7</f>
        <v>-0.45229468599033817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163873.88888888888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664126.11111111112</v>
      </c>
      <c r="G12" s="14"/>
      <c r="H12" s="11">
        <f>COUNT(I23:I43)</f>
        <v>9</v>
      </c>
      <c r="I12" s="1" t="s">
        <v>31</v>
      </c>
      <c r="J12" s="4">
        <f>+F8*0.9</f>
        <v>408150</v>
      </c>
      <c r="K12" s="1" t="s">
        <v>69</v>
      </c>
    </row>
    <row r="13" spans="1:11" x14ac:dyDescent="0.25">
      <c r="D13" s="2" t="s">
        <v>29</v>
      </c>
      <c r="F13" s="4">
        <f>MAX(I23:I43)-MIN(I23:I43)</f>
        <v>458178</v>
      </c>
      <c r="G13" s="269">
        <f>MEDIAN(I23:I43)</f>
        <v>628000</v>
      </c>
      <c r="H13" s="270"/>
      <c r="I13" s="1" t="s">
        <v>30</v>
      </c>
      <c r="J13" s="4">
        <f>+F12*1.1</f>
        <v>730538.72222222225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640</v>
      </c>
      <c r="E23" s="33"/>
      <c r="F23" t="s">
        <v>170</v>
      </c>
      <c r="G23" t="s">
        <v>93</v>
      </c>
      <c r="H23">
        <f>RANK(I23,I$23:I$43,1)</f>
        <v>9</v>
      </c>
      <c r="I23" s="4">
        <v>911678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641</v>
      </c>
      <c r="E24" s="33"/>
      <c r="F24" t="s">
        <v>147</v>
      </c>
      <c r="G24" t="s">
        <v>93</v>
      </c>
      <c r="H24">
        <f t="shared" ref="H24:H31" si="0">RANK(I24,I$23:I$43,1)</f>
        <v>2</v>
      </c>
      <c r="I24" s="4">
        <v>491400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487</v>
      </c>
      <c r="E25" s="33"/>
      <c r="F25" t="s">
        <v>113</v>
      </c>
      <c r="G25" t="s">
        <v>25</v>
      </c>
      <c r="H25">
        <f t="shared" si="0"/>
        <v>5</v>
      </c>
      <c r="I25" s="4">
        <v>628000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11" t="s">
        <v>642</v>
      </c>
      <c r="E26" s="33"/>
      <c r="F26" t="s">
        <v>643</v>
      </c>
      <c r="G26" t="s">
        <v>25</v>
      </c>
      <c r="H26">
        <f t="shared" si="0"/>
        <v>8</v>
      </c>
      <c r="I26" s="4">
        <v>790270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>u</v>
      </c>
      <c r="D27" s="11" t="s">
        <v>644</v>
      </c>
      <c r="E27" s="33"/>
      <c r="F27" t="s">
        <v>645</v>
      </c>
      <c r="G27" t="s">
        <v>25</v>
      </c>
      <c r="H27">
        <f t="shared" si="0"/>
        <v>1</v>
      </c>
      <c r="I27" s="4">
        <v>453500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646</v>
      </c>
      <c r="E28" s="33"/>
      <c r="F28" t="s">
        <v>501</v>
      </c>
      <c r="G28" t="s">
        <v>93</v>
      </c>
      <c r="H28">
        <f t="shared" si="0"/>
        <v>3</v>
      </c>
      <c r="I28" s="4">
        <v>594450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 t="s">
        <v>647</v>
      </c>
      <c r="E29" s="33"/>
      <c r="F29" t="s">
        <v>181</v>
      </c>
      <c r="G29" t="s">
        <v>93</v>
      </c>
      <c r="H29">
        <f t="shared" si="0"/>
        <v>7</v>
      </c>
      <c r="I29" s="4">
        <v>748000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 t="s">
        <v>606</v>
      </c>
      <c r="E30" s="33"/>
      <c r="F30" t="s">
        <v>100</v>
      </c>
      <c r="G30" t="s">
        <v>93</v>
      </c>
      <c r="H30">
        <f t="shared" si="0"/>
        <v>6</v>
      </c>
      <c r="I30" s="4">
        <v>747100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 t="s">
        <v>601</v>
      </c>
      <c r="E31" s="33"/>
      <c r="F31" t="s">
        <v>201</v>
      </c>
      <c r="G31" t="s">
        <v>25</v>
      </c>
      <c r="H31">
        <f t="shared" si="0"/>
        <v>4</v>
      </c>
      <c r="I31" s="4">
        <v>612737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ref="E34:E43" si="2">IF(H34=1,"t","")</f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773" priority="10" operator="containsText" text="FAIL">
      <formula>NOT(ISERROR(SEARCH("FAIL",I9)))</formula>
    </cfRule>
  </conditionalFormatting>
  <conditionalFormatting sqref="I9">
    <cfRule type="containsText" dxfId="772" priority="9" operator="containsText" text="GOOD">
      <formula>NOT(ISERROR(SEARCH("GOOD",I9)))</formula>
    </cfRule>
  </conditionalFormatting>
  <conditionalFormatting sqref="F11">
    <cfRule type="containsText" dxfId="771" priority="8" operator="containsText" text="FAIL">
      <formula>NOT(ISERROR(SEARCH("FAIL",F11)))</formula>
    </cfRule>
  </conditionalFormatting>
  <conditionalFormatting sqref="F11">
    <cfRule type="containsText" dxfId="770" priority="7" operator="containsText" text="GOOD">
      <formula>NOT(ISERROR(SEARCH("GOOD",F11)))</formula>
    </cfRule>
  </conditionalFormatting>
  <conditionalFormatting sqref="D25">
    <cfRule type="expression" dxfId="769" priority="6" stopIfTrue="1">
      <formula>IF($H$25=1,0)</formula>
    </cfRule>
  </conditionalFormatting>
  <conditionalFormatting sqref="D23:D43">
    <cfRule type="expression" dxfId="768" priority="5">
      <formula>H23=1</formula>
    </cfRule>
  </conditionalFormatting>
  <conditionalFormatting sqref="C23:C43">
    <cfRule type="expression" dxfId="767" priority="4">
      <formula>H23=1</formula>
    </cfRule>
  </conditionalFormatting>
  <conditionalFormatting sqref="E23:E43">
    <cfRule type="expression" dxfId="766" priority="3">
      <formula>H23=1</formula>
    </cfRule>
  </conditionalFormatting>
  <conditionalFormatting sqref="F11">
    <cfRule type="containsText" dxfId="765" priority="2" operator="containsText" text="FAIL">
      <formula>NOT(ISERROR(SEARCH("FAIL",F11)))</formula>
    </cfRule>
  </conditionalFormatting>
  <conditionalFormatting sqref="F11">
    <cfRule type="containsText" dxfId="764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2:O47"/>
  <sheetViews>
    <sheetView zoomScaleNormal="100" workbookViewId="0">
      <selection activeCell="L9" sqref="L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635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636</v>
      </c>
    </row>
    <row r="6" spans="1:11" x14ac:dyDescent="0.25">
      <c r="D6" s="2" t="s">
        <v>2</v>
      </c>
      <c r="F6" s="6">
        <v>42496</v>
      </c>
      <c r="H6" s="11"/>
    </row>
    <row r="7" spans="1:11" x14ac:dyDescent="0.25">
      <c r="D7" s="2" t="s">
        <v>3</v>
      </c>
      <c r="F7" s="5">
        <v>2000000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2059960</v>
      </c>
      <c r="H8" s="11"/>
    </row>
    <row r="9" spans="1:11" x14ac:dyDescent="0.25">
      <c r="D9" s="2" t="s">
        <v>67</v>
      </c>
      <c r="F9" s="4">
        <f>+F8-F7</f>
        <v>59960</v>
      </c>
      <c r="G9" s="16">
        <f>+F9/F7</f>
        <v>2.998E-2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1" x14ac:dyDescent="0.25">
      <c r="D10" s="2" t="s">
        <v>68</v>
      </c>
      <c r="F10" s="4">
        <f>+F7-F12</f>
        <v>-1206380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3206380</v>
      </c>
      <c r="G12" s="14"/>
      <c r="H12" s="11">
        <f>COUNT(I23:I43)</f>
        <v>2</v>
      </c>
      <c r="I12" s="1" t="s">
        <v>31</v>
      </c>
      <c r="J12" s="4">
        <f>+F8*0.9</f>
        <v>1853964</v>
      </c>
      <c r="K12" s="1" t="s">
        <v>69</v>
      </c>
    </row>
    <row r="13" spans="1:11" x14ac:dyDescent="0.25">
      <c r="D13" s="2" t="s">
        <v>29</v>
      </c>
      <c r="F13" s="4">
        <f>MAX(I23:I43)-MIN(I23:I43)</f>
        <v>2292840</v>
      </c>
      <c r="G13" s="269">
        <f>MEDIAN(I23:I43)</f>
        <v>3206380</v>
      </c>
      <c r="H13" s="270"/>
      <c r="I13" s="1" t="s">
        <v>30</v>
      </c>
      <c r="J13" s="4">
        <f>+F12*1.1</f>
        <v>3527018.0000000005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637</v>
      </c>
      <c r="E23" s="33"/>
      <c r="F23" t="s">
        <v>131</v>
      </c>
      <c r="G23" t="s">
        <v>25</v>
      </c>
      <c r="H23">
        <f>RANK(I23,I$23:I$43,1)</f>
        <v>1</v>
      </c>
      <c r="I23" s="4">
        <v>2059960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541</v>
      </c>
      <c r="E24" s="33"/>
      <c r="F24" t="s">
        <v>159</v>
      </c>
      <c r="G24" t="s">
        <v>93</v>
      </c>
      <c r="H24">
        <f>RANK(I24,I$23:I$43,1)</f>
        <v>2</v>
      </c>
      <c r="I24" s="4">
        <v>4352800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763" priority="10" operator="containsText" text="FAIL">
      <formula>NOT(ISERROR(SEARCH("FAIL",I9)))</formula>
    </cfRule>
  </conditionalFormatting>
  <conditionalFormatting sqref="I9">
    <cfRule type="containsText" dxfId="762" priority="9" operator="containsText" text="GOOD">
      <formula>NOT(ISERROR(SEARCH("GOOD",I9)))</formula>
    </cfRule>
  </conditionalFormatting>
  <conditionalFormatting sqref="F11">
    <cfRule type="containsText" dxfId="761" priority="8" operator="containsText" text="FAIL">
      <formula>NOT(ISERROR(SEARCH("FAIL",F11)))</formula>
    </cfRule>
  </conditionalFormatting>
  <conditionalFormatting sqref="F11">
    <cfRule type="containsText" dxfId="760" priority="7" operator="containsText" text="GOOD">
      <formula>NOT(ISERROR(SEARCH("GOOD",F11)))</formula>
    </cfRule>
  </conditionalFormatting>
  <conditionalFormatting sqref="D25">
    <cfRule type="expression" dxfId="759" priority="6" stopIfTrue="1">
      <formula>IF($H$25=1,0)</formula>
    </cfRule>
  </conditionalFormatting>
  <conditionalFormatting sqref="D23:D43">
    <cfRule type="expression" dxfId="758" priority="5">
      <formula>H23=1</formula>
    </cfRule>
  </conditionalFormatting>
  <conditionalFormatting sqref="C23:C43">
    <cfRule type="expression" dxfId="757" priority="4">
      <formula>H23=1</formula>
    </cfRule>
  </conditionalFormatting>
  <conditionalFormatting sqref="E23:E43">
    <cfRule type="expression" dxfId="756" priority="3">
      <formula>H23=1</formula>
    </cfRule>
  </conditionalFormatting>
  <conditionalFormatting sqref="F11">
    <cfRule type="containsText" dxfId="755" priority="2" operator="containsText" text="FAIL">
      <formula>NOT(ISERROR(SEARCH("FAIL",F11)))</formula>
    </cfRule>
  </conditionalFormatting>
  <conditionalFormatting sqref="F11">
    <cfRule type="containsText" dxfId="754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2:O47"/>
  <sheetViews>
    <sheetView zoomScaleNormal="100" workbookViewId="0">
      <selection activeCell="G8" sqref="G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629</v>
      </c>
      <c r="I4" s="2" t="s">
        <v>4</v>
      </c>
      <c r="J4" t="s">
        <v>630</v>
      </c>
    </row>
    <row r="5" spans="1:11" x14ac:dyDescent="0.25">
      <c r="D5" s="2" t="s">
        <v>1</v>
      </c>
      <c r="F5" t="s">
        <v>633</v>
      </c>
    </row>
    <row r="6" spans="1:11" x14ac:dyDescent="0.25">
      <c r="D6" s="2" t="s">
        <v>2</v>
      </c>
      <c r="F6" s="6">
        <v>42488</v>
      </c>
      <c r="H6" s="11"/>
    </row>
    <row r="7" spans="1:11" x14ac:dyDescent="0.25">
      <c r="D7" s="2" t="s">
        <v>3</v>
      </c>
      <c r="F7" s="5">
        <v>1700000</v>
      </c>
      <c r="G7" s="2" t="s">
        <v>190</v>
      </c>
      <c r="H7" s="11"/>
    </row>
    <row r="8" spans="1:11" x14ac:dyDescent="0.25">
      <c r="D8" s="2" t="s">
        <v>18</v>
      </c>
      <c r="F8" s="5">
        <f>MIN(I23:I43)</f>
        <v>815000</v>
      </c>
      <c r="H8" s="11"/>
    </row>
    <row r="9" spans="1:11" x14ac:dyDescent="0.25">
      <c r="D9" s="2" t="s">
        <v>67</v>
      </c>
      <c r="F9" s="4">
        <f>+F8-F7</f>
        <v>-885000</v>
      </c>
      <c r="G9" s="16">
        <f>+F9/F7</f>
        <v>-0.52058823529411768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328715.57142857136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1371284.4285714286</v>
      </c>
      <c r="G12" s="14"/>
      <c r="H12" s="11">
        <f>COUNT(I23:I43)</f>
        <v>7</v>
      </c>
      <c r="I12" s="1" t="s">
        <v>31</v>
      </c>
      <c r="J12" s="4">
        <f>+F8*0.9</f>
        <v>733500</v>
      </c>
      <c r="K12" s="1" t="s">
        <v>69</v>
      </c>
    </row>
    <row r="13" spans="1:11" x14ac:dyDescent="0.25">
      <c r="D13" s="2" t="s">
        <v>29</v>
      </c>
      <c r="F13" s="4">
        <f>MAX(I23:I43)-MIN(I23:I43)</f>
        <v>1265000</v>
      </c>
      <c r="G13" s="269">
        <f>MEDIAN(I23:I43)</f>
        <v>1396000</v>
      </c>
      <c r="H13" s="270"/>
      <c r="I13" s="1" t="s">
        <v>30</v>
      </c>
      <c r="J13" s="4">
        <f>+F12*1.1</f>
        <v>1508412.8714285716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631</v>
      </c>
      <c r="E23" s="33"/>
      <c r="F23" t="s">
        <v>131</v>
      </c>
      <c r="G23" t="s">
        <v>25</v>
      </c>
      <c r="H23">
        <f>RANK(I23,I$23:I$43,1)</f>
        <v>7</v>
      </c>
      <c r="I23" s="4">
        <v>2080000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628</v>
      </c>
      <c r="E24" s="33"/>
      <c r="F24" t="s">
        <v>95</v>
      </c>
      <c r="G24" t="s">
        <v>93</v>
      </c>
      <c r="H24">
        <f t="shared" ref="H24:H29" si="0">RANK(I24,I$23:I$43,1)</f>
        <v>5</v>
      </c>
      <c r="I24" s="4">
        <v>1437670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605</v>
      </c>
      <c r="E25" s="33"/>
      <c r="F25" t="s">
        <v>120</v>
      </c>
      <c r="G25" t="s">
        <v>25</v>
      </c>
      <c r="H25">
        <f t="shared" si="0"/>
        <v>2</v>
      </c>
      <c r="I25" s="4">
        <v>967120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11" t="s">
        <v>606</v>
      </c>
      <c r="E26" s="33"/>
      <c r="F26" t="s">
        <v>100</v>
      </c>
      <c r="G26" t="s">
        <v>93</v>
      </c>
      <c r="H26">
        <f t="shared" si="0"/>
        <v>6</v>
      </c>
      <c r="I26" s="4">
        <v>1544400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487</v>
      </c>
      <c r="E27" s="33" t="str">
        <f t="shared" ref="E27:E43" si="2">IF(H27=1,"t","")</f>
        <v/>
      </c>
      <c r="F27" t="s">
        <v>113</v>
      </c>
      <c r="G27" t="s">
        <v>25</v>
      </c>
      <c r="H27">
        <f t="shared" si="0"/>
        <v>4</v>
      </c>
      <c r="I27" s="4">
        <v>1396000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>u</v>
      </c>
      <c r="D28" s="11" t="s">
        <v>556</v>
      </c>
      <c r="E28" s="33"/>
      <c r="F28" t="s">
        <v>201</v>
      </c>
      <c r="G28" t="s">
        <v>25</v>
      </c>
      <c r="H28">
        <f t="shared" si="0"/>
        <v>1</v>
      </c>
      <c r="I28" s="4">
        <v>815000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 t="s">
        <v>440</v>
      </c>
      <c r="E29" s="33"/>
      <c r="F29" t="s">
        <v>193</v>
      </c>
      <c r="G29" t="s">
        <v>25</v>
      </c>
      <c r="H29">
        <f t="shared" si="0"/>
        <v>3</v>
      </c>
      <c r="I29" s="4">
        <v>1358801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si="2"/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753" priority="10" operator="containsText" text="FAIL">
      <formula>NOT(ISERROR(SEARCH("FAIL",I9)))</formula>
    </cfRule>
  </conditionalFormatting>
  <conditionalFormatting sqref="I9">
    <cfRule type="containsText" dxfId="752" priority="9" operator="containsText" text="GOOD">
      <formula>NOT(ISERROR(SEARCH("GOOD",I9)))</formula>
    </cfRule>
  </conditionalFormatting>
  <conditionalFormatting sqref="F11">
    <cfRule type="containsText" dxfId="751" priority="8" operator="containsText" text="FAIL">
      <formula>NOT(ISERROR(SEARCH("FAIL",F11)))</formula>
    </cfRule>
  </conditionalFormatting>
  <conditionalFormatting sqref="F11">
    <cfRule type="containsText" dxfId="750" priority="7" operator="containsText" text="GOOD">
      <formula>NOT(ISERROR(SEARCH("GOOD",F11)))</formula>
    </cfRule>
  </conditionalFormatting>
  <conditionalFormatting sqref="D25">
    <cfRule type="expression" dxfId="749" priority="6" stopIfTrue="1">
      <formula>IF($H$25=1,0)</formula>
    </cfRule>
  </conditionalFormatting>
  <conditionalFormatting sqref="D23:D43">
    <cfRule type="expression" dxfId="748" priority="5">
      <formula>H23=1</formula>
    </cfRule>
  </conditionalFormatting>
  <conditionalFormatting sqref="C23:C43">
    <cfRule type="expression" dxfId="747" priority="4">
      <formula>H23=1</formula>
    </cfRule>
  </conditionalFormatting>
  <conditionalFormatting sqref="E23:E43">
    <cfRule type="expression" dxfId="746" priority="3">
      <formula>H23=1</formula>
    </cfRule>
  </conditionalFormatting>
  <conditionalFormatting sqref="F11">
    <cfRule type="containsText" dxfId="745" priority="2" operator="containsText" text="FAIL">
      <formula>NOT(ISERROR(SEARCH("FAIL",F11)))</formula>
    </cfRule>
  </conditionalFormatting>
  <conditionalFormatting sqref="F11">
    <cfRule type="containsText" dxfId="744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2:O47"/>
  <sheetViews>
    <sheetView zoomScaleNormal="100" workbookViewId="0">
      <selection activeCell="F6" sqref="F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625</v>
      </c>
      <c r="I4" s="2" t="s">
        <v>4</v>
      </c>
      <c r="J4" t="s">
        <v>447</v>
      </c>
    </row>
    <row r="5" spans="1:11" x14ac:dyDescent="0.25">
      <c r="D5" s="2" t="s">
        <v>1</v>
      </c>
      <c r="F5" t="s">
        <v>632</v>
      </c>
    </row>
    <row r="6" spans="1:11" x14ac:dyDescent="0.25">
      <c r="D6" s="2" t="s">
        <v>2</v>
      </c>
      <c r="F6" s="6">
        <v>42486</v>
      </c>
      <c r="H6" s="11"/>
    </row>
    <row r="7" spans="1:11" x14ac:dyDescent="0.25">
      <c r="D7" s="2" t="s">
        <v>3</v>
      </c>
      <c r="F7" s="5">
        <v>600000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675000</v>
      </c>
      <c r="H8" s="11"/>
    </row>
    <row r="9" spans="1:11" x14ac:dyDescent="0.25">
      <c r="D9" s="2" t="s">
        <v>67</v>
      </c>
      <c r="F9" s="4">
        <f>+F8-F7</f>
        <v>75000</v>
      </c>
      <c r="G9" s="16">
        <f>+F9/F7</f>
        <v>0.125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-300333.33333333337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900333.33333333337</v>
      </c>
      <c r="G12" s="14"/>
      <c r="H12" s="11">
        <f>COUNT(I23:I43)</f>
        <v>3</v>
      </c>
      <c r="I12" s="1" t="s">
        <v>31</v>
      </c>
      <c r="J12" s="4">
        <f>+F8*0.9</f>
        <v>607500</v>
      </c>
      <c r="K12" s="1" t="s">
        <v>69</v>
      </c>
    </row>
    <row r="13" spans="1:11" x14ac:dyDescent="0.25">
      <c r="D13" s="2" t="s">
        <v>29</v>
      </c>
      <c r="F13" s="4">
        <f>MAX(I23:I43)-MIN(I23:I43)</f>
        <v>665000</v>
      </c>
      <c r="G13" s="269">
        <f>MEDIAN(I23:I43)</f>
        <v>686000</v>
      </c>
      <c r="H13" s="270"/>
      <c r="I13" s="1" t="s">
        <v>30</v>
      </c>
      <c r="J13" s="4">
        <f>+F12*1.1</f>
        <v>990366.66666666674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626</v>
      </c>
      <c r="E23" s="33"/>
      <c r="F23" t="s">
        <v>308</v>
      </c>
      <c r="G23" t="s">
        <v>25</v>
      </c>
      <c r="H23">
        <f>RANK(I23,I$23:I$43,1)</f>
        <v>1</v>
      </c>
      <c r="I23" s="4">
        <v>675000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627</v>
      </c>
      <c r="E24" s="33"/>
      <c r="F24" t="s">
        <v>147</v>
      </c>
      <c r="G24" t="s">
        <v>93</v>
      </c>
      <c r="H24">
        <f>RANK(I24,I$23:I$43,1)</f>
        <v>3</v>
      </c>
      <c r="I24" s="4">
        <v>1340000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628</v>
      </c>
      <c r="E25" s="33"/>
      <c r="F25" t="s">
        <v>95</v>
      </c>
      <c r="G25" t="s">
        <v>93</v>
      </c>
      <c r="H25">
        <f>RANK(I25,I$23:I$43,1)</f>
        <v>2</v>
      </c>
      <c r="I25" s="4">
        <v>686000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743" priority="10" operator="containsText" text="FAIL">
      <formula>NOT(ISERROR(SEARCH("FAIL",I9)))</formula>
    </cfRule>
  </conditionalFormatting>
  <conditionalFormatting sqref="I9">
    <cfRule type="containsText" dxfId="742" priority="9" operator="containsText" text="GOOD">
      <formula>NOT(ISERROR(SEARCH("GOOD",I9)))</formula>
    </cfRule>
  </conditionalFormatting>
  <conditionalFormatting sqref="F11">
    <cfRule type="containsText" dxfId="741" priority="8" operator="containsText" text="FAIL">
      <formula>NOT(ISERROR(SEARCH("FAIL",F11)))</formula>
    </cfRule>
  </conditionalFormatting>
  <conditionalFormatting sqref="F11">
    <cfRule type="containsText" dxfId="740" priority="7" operator="containsText" text="GOOD">
      <formula>NOT(ISERROR(SEARCH("GOOD",F11)))</formula>
    </cfRule>
  </conditionalFormatting>
  <conditionalFormatting sqref="D25">
    <cfRule type="expression" dxfId="739" priority="6" stopIfTrue="1">
      <formula>IF($H$25=1,0)</formula>
    </cfRule>
  </conditionalFormatting>
  <conditionalFormatting sqref="D23:D43">
    <cfRule type="expression" dxfId="738" priority="5">
      <formula>H23=1</formula>
    </cfRule>
  </conditionalFormatting>
  <conditionalFormatting sqref="C23:C43">
    <cfRule type="expression" dxfId="737" priority="4">
      <formula>H23=1</formula>
    </cfRule>
  </conditionalFormatting>
  <conditionalFormatting sqref="E23:E43">
    <cfRule type="expression" dxfId="736" priority="3">
      <formula>H23=1</formula>
    </cfRule>
  </conditionalFormatting>
  <conditionalFormatting sqref="F11">
    <cfRule type="containsText" dxfId="735" priority="2" operator="containsText" text="FAIL">
      <formula>NOT(ISERROR(SEARCH("FAIL",F11)))</formula>
    </cfRule>
  </conditionalFormatting>
  <conditionalFormatting sqref="F11">
    <cfRule type="containsText" dxfId="734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2:O47"/>
  <sheetViews>
    <sheetView zoomScaleNormal="100" workbookViewId="0">
      <selection activeCell="M9" sqref="M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614</v>
      </c>
      <c r="I4" s="2" t="s">
        <v>4</v>
      </c>
      <c r="J4" t="s">
        <v>616</v>
      </c>
    </row>
    <row r="5" spans="1:11" x14ac:dyDescent="0.25">
      <c r="D5" s="2" t="s">
        <v>1</v>
      </c>
      <c r="F5" t="s">
        <v>615</v>
      </c>
    </row>
    <row r="6" spans="1:11" x14ac:dyDescent="0.25">
      <c r="D6" s="2" t="s">
        <v>2</v>
      </c>
      <c r="F6" s="6">
        <v>42479</v>
      </c>
      <c r="H6" s="11"/>
    </row>
    <row r="7" spans="1:11" x14ac:dyDescent="0.25">
      <c r="D7" s="2" t="s">
        <v>3</v>
      </c>
      <c r="F7" s="5">
        <v>670000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897950</v>
      </c>
      <c r="H8" s="11"/>
    </row>
    <row r="9" spans="1:11" x14ac:dyDescent="0.25">
      <c r="D9" s="2" t="s">
        <v>67</v>
      </c>
      <c r="F9" s="4">
        <f>+F8-F7</f>
        <v>227950</v>
      </c>
      <c r="G9" s="16">
        <f>+F9/F7</f>
        <v>0.34022388059701492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-409081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1079081</v>
      </c>
      <c r="G12" s="14"/>
      <c r="H12" s="11">
        <f>COUNT(I23:I43)</f>
        <v>5</v>
      </c>
      <c r="I12" s="1" t="s">
        <v>31</v>
      </c>
      <c r="J12" s="4">
        <f>+F8*0.9</f>
        <v>808155</v>
      </c>
      <c r="K12" s="1" t="s">
        <v>69</v>
      </c>
    </row>
    <row r="13" spans="1:11" x14ac:dyDescent="0.25">
      <c r="D13" s="2" t="s">
        <v>29</v>
      </c>
      <c r="F13" s="4">
        <f>MAX(I23:I43)-MIN(I23:I43)</f>
        <v>647595</v>
      </c>
      <c r="G13" s="269">
        <f>MEDIAN(I23:I43)</f>
        <v>918000</v>
      </c>
      <c r="H13" s="270"/>
      <c r="I13" s="1" t="s">
        <v>30</v>
      </c>
      <c r="J13" s="4">
        <f>+F12*1.1</f>
        <v>1186989.1000000001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556</v>
      </c>
      <c r="E23" s="33"/>
      <c r="F23" t="s">
        <v>201</v>
      </c>
      <c r="G23" t="s">
        <v>25</v>
      </c>
      <c r="H23">
        <f>RANK(I23,I$23:I$43,1)</f>
        <v>4</v>
      </c>
      <c r="I23" s="4">
        <v>1119600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617</v>
      </c>
      <c r="E24" s="33"/>
      <c r="F24" t="s">
        <v>618</v>
      </c>
      <c r="G24" t="s">
        <v>25</v>
      </c>
      <c r="H24">
        <f>RANK(I24,I$23:I$43,1)</f>
        <v>3</v>
      </c>
      <c r="I24" s="4">
        <v>918000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619</v>
      </c>
      <c r="E25" s="33"/>
      <c r="F25" t="s">
        <v>620</v>
      </c>
      <c r="G25" t="s">
        <v>25</v>
      </c>
      <c r="H25">
        <f>RANK(I25,I$23:I$43,1)</f>
        <v>5</v>
      </c>
      <c r="I25" s="4">
        <v>1545545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>u</v>
      </c>
      <c r="D26" s="11" t="s">
        <v>621</v>
      </c>
      <c r="E26" s="33"/>
      <c r="F26" t="s">
        <v>622</v>
      </c>
      <c r="G26" t="s">
        <v>333</v>
      </c>
      <c r="H26">
        <f>RANK(I26,I$23:I$43,1)</f>
        <v>1</v>
      </c>
      <c r="I26" s="4">
        <v>897950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 t="s">
        <v>623</v>
      </c>
      <c r="E27" s="33" t="str">
        <f t="shared" ref="E27:E43" si="1">IF(H27=1,"t","")</f>
        <v/>
      </c>
      <c r="F27" t="s">
        <v>624</v>
      </c>
      <c r="G27" t="s">
        <v>25</v>
      </c>
      <c r="H27">
        <f>RANK(I27,I$23:I$43,1)</f>
        <v>2</v>
      </c>
      <c r="I27" s="4">
        <v>914310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733" priority="10" operator="containsText" text="FAIL">
      <formula>NOT(ISERROR(SEARCH("FAIL",I9)))</formula>
    </cfRule>
  </conditionalFormatting>
  <conditionalFormatting sqref="I9">
    <cfRule type="containsText" dxfId="732" priority="9" operator="containsText" text="GOOD">
      <formula>NOT(ISERROR(SEARCH("GOOD",I9)))</formula>
    </cfRule>
  </conditionalFormatting>
  <conditionalFormatting sqref="F11">
    <cfRule type="containsText" dxfId="731" priority="8" operator="containsText" text="FAIL">
      <formula>NOT(ISERROR(SEARCH("FAIL",F11)))</formula>
    </cfRule>
  </conditionalFormatting>
  <conditionalFormatting sqref="F11">
    <cfRule type="containsText" dxfId="730" priority="7" operator="containsText" text="GOOD">
      <formula>NOT(ISERROR(SEARCH("GOOD",F11)))</formula>
    </cfRule>
  </conditionalFormatting>
  <conditionalFormatting sqref="D25">
    <cfRule type="expression" dxfId="729" priority="6" stopIfTrue="1">
      <formula>IF($H$25=1,0)</formula>
    </cfRule>
  </conditionalFormatting>
  <conditionalFormatting sqref="D23:D43">
    <cfRule type="expression" dxfId="728" priority="5">
      <formula>H23=1</formula>
    </cfRule>
  </conditionalFormatting>
  <conditionalFormatting sqref="C23:C43">
    <cfRule type="expression" dxfId="727" priority="4">
      <formula>H23=1</formula>
    </cfRule>
  </conditionalFormatting>
  <conditionalFormatting sqref="E23:E43">
    <cfRule type="expression" dxfId="726" priority="3">
      <formula>H23=1</formula>
    </cfRule>
  </conditionalFormatting>
  <conditionalFormatting sqref="F11">
    <cfRule type="containsText" dxfId="725" priority="2" operator="containsText" text="FAIL">
      <formula>NOT(ISERROR(SEARCH("FAIL",F11)))</formula>
    </cfRule>
  </conditionalFormatting>
  <conditionalFormatting sqref="F11">
    <cfRule type="containsText" dxfId="724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2:O47"/>
  <sheetViews>
    <sheetView zoomScaleNormal="100" workbookViewId="0">
      <selection activeCell="J5" sqref="J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609</v>
      </c>
      <c r="I4" s="2" t="s">
        <v>4</v>
      </c>
      <c r="J4" t="s">
        <v>442</v>
      </c>
    </row>
    <row r="5" spans="1:11" x14ac:dyDescent="0.25">
      <c r="D5" s="2" t="s">
        <v>1</v>
      </c>
      <c r="F5" t="s">
        <v>443</v>
      </c>
    </row>
    <row r="6" spans="1:11" x14ac:dyDescent="0.25">
      <c r="D6" s="2" t="s">
        <v>2</v>
      </c>
      <c r="F6" s="6">
        <v>42474</v>
      </c>
      <c r="H6" s="11"/>
    </row>
    <row r="7" spans="1:11" x14ac:dyDescent="0.25">
      <c r="D7" s="2" t="s">
        <v>3</v>
      </c>
      <c r="F7" s="5">
        <v>700000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442247</v>
      </c>
      <c r="H8" s="11"/>
    </row>
    <row r="9" spans="1:11" x14ac:dyDescent="0.25">
      <c r="D9" s="2" t="s">
        <v>67</v>
      </c>
      <c r="F9" s="4">
        <f>+F8-F7</f>
        <v>-257753</v>
      </c>
      <c r="G9" s="16">
        <f>+F9/F7</f>
        <v>-0.36821857142857145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-155124.16666666663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855124.16666666663</v>
      </c>
      <c r="G12" s="14"/>
      <c r="H12" s="11">
        <f>COUNT(I23:I43)</f>
        <v>6</v>
      </c>
      <c r="I12" s="1" t="s">
        <v>31</v>
      </c>
      <c r="J12" s="4">
        <f>+F8*0.9</f>
        <v>398022.3</v>
      </c>
      <c r="K12" s="1" t="s">
        <v>69</v>
      </c>
    </row>
    <row r="13" spans="1:11" x14ac:dyDescent="0.25">
      <c r="D13" s="2" t="s">
        <v>29</v>
      </c>
      <c r="F13" s="4">
        <f>MAX(I23:I43)-MIN(I23:I43)</f>
        <v>799631</v>
      </c>
      <c r="G13" s="269">
        <f>MEDIAN(I23:I43)</f>
        <v>930350</v>
      </c>
      <c r="H13" s="270"/>
      <c r="I13" s="1" t="s">
        <v>30</v>
      </c>
      <c r="J13" s="4">
        <f>+F12*1.1</f>
        <v>940636.58333333337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104</v>
      </c>
      <c r="E23" s="33"/>
      <c r="F23" t="s">
        <v>105</v>
      </c>
      <c r="G23" t="s">
        <v>93</v>
      </c>
      <c r="H23">
        <f t="shared" ref="H23:H28" si="0">RANK(I23,I$23:I$43,1)</f>
        <v>6</v>
      </c>
      <c r="I23" s="4">
        <v>1241878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610</v>
      </c>
      <c r="E24" s="33"/>
      <c r="F24" t="s">
        <v>611</v>
      </c>
      <c r="G24" t="s">
        <v>25</v>
      </c>
      <c r="H24">
        <f t="shared" si="0"/>
        <v>5</v>
      </c>
      <c r="I24" s="4">
        <v>1067000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612</v>
      </c>
      <c r="E25" s="33"/>
      <c r="F25" t="s">
        <v>139</v>
      </c>
      <c r="G25" t="s">
        <v>25</v>
      </c>
      <c r="H25">
        <f t="shared" si="0"/>
        <v>1</v>
      </c>
      <c r="I25" s="4">
        <v>442247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11" t="s">
        <v>613</v>
      </c>
      <c r="E26" s="33"/>
      <c r="F26" t="s">
        <v>327</v>
      </c>
      <c r="G26" t="s">
        <v>25</v>
      </c>
      <c r="H26">
        <f t="shared" si="0"/>
        <v>3</v>
      </c>
      <c r="I26" s="4">
        <v>865700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603</v>
      </c>
      <c r="E27" s="33" t="str">
        <f t="shared" ref="E27:E43" si="2">IF(H27=1,"t","")</f>
        <v/>
      </c>
      <c r="F27" t="s">
        <v>85</v>
      </c>
      <c r="G27" t="s">
        <v>25</v>
      </c>
      <c r="H27">
        <f t="shared" si="0"/>
        <v>2</v>
      </c>
      <c r="I27" s="4">
        <v>518920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430</v>
      </c>
      <c r="E28" s="33" t="str">
        <f t="shared" si="2"/>
        <v/>
      </c>
      <c r="F28" t="s">
        <v>186</v>
      </c>
      <c r="G28" t="s">
        <v>25</v>
      </c>
      <c r="H28">
        <f t="shared" si="0"/>
        <v>4</v>
      </c>
      <c r="I28" s="4">
        <v>995000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/>
      <c r="I33" s="4"/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si="2"/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723" priority="10" operator="containsText" text="FAIL">
      <formula>NOT(ISERROR(SEARCH("FAIL",I9)))</formula>
    </cfRule>
  </conditionalFormatting>
  <conditionalFormatting sqref="I9">
    <cfRule type="containsText" dxfId="722" priority="9" operator="containsText" text="GOOD">
      <formula>NOT(ISERROR(SEARCH("GOOD",I9)))</formula>
    </cfRule>
  </conditionalFormatting>
  <conditionalFormatting sqref="F11">
    <cfRule type="containsText" dxfId="721" priority="8" operator="containsText" text="FAIL">
      <formula>NOT(ISERROR(SEARCH("FAIL",F11)))</formula>
    </cfRule>
  </conditionalFormatting>
  <conditionalFormatting sqref="F11">
    <cfRule type="containsText" dxfId="720" priority="7" operator="containsText" text="GOOD">
      <formula>NOT(ISERROR(SEARCH("GOOD",F11)))</formula>
    </cfRule>
  </conditionalFormatting>
  <conditionalFormatting sqref="D25">
    <cfRule type="expression" dxfId="719" priority="6" stopIfTrue="1">
      <formula>IF($H$25=1,0)</formula>
    </cfRule>
  </conditionalFormatting>
  <conditionalFormatting sqref="D23:D43">
    <cfRule type="expression" dxfId="718" priority="5">
      <formula>H23=1</formula>
    </cfRule>
  </conditionalFormatting>
  <conditionalFormatting sqref="C23:C43">
    <cfRule type="expression" dxfId="717" priority="4">
      <formula>H23=1</formula>
    </cfRule>
  </conditionalFormatting>
  <conditionalFormatting sqref="E23:E43">
    <cfRule type="expression" dxfId="716" priority="3">
      <formula>H23=1</formula>
    </cfRule>
  </conditionalFormatting>
  <conditionalFormatting sqref="F11">
    <cfRule type="containsText" dxfId="715" priority="2" operator="containsText" text="FAIL">
      <formula>NOT(ISERROR(SEARCH("FAIL",F11)))</formula>
    </cfRule>
  </conditionalFormatting>
  <conditionalFormatting sqref="F11">
    <cfRule type="containsText" dxfId="714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2:O47"/>
  <sheetViews>
    <sheetView topLeftCell="A7" zoomScaleNormal="100" workbookViewId="0">
      <selection activeCell="K26" sqref="K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599</v>
      </c>
      <c r="I4" s="2" t="s">
        <v>4</v>
      </c>
      <c r="J4" t="s">
        <v>447</v>
      </c>
    </row>
    <row r="5" spans="1:11" x14ac:dyDescent="0.25">
      <c r="D5" s="2" t="s">
        <v>1</v>
      </c>
      <c r="F5" t="s">
        <v>600</v>
      </c>
    </row>
    <row r="6" spans="1:11" x14ac:dyDescent="0.25">
      <c r="D6" s="2" t="s">
        <v>2</v>
      </c>
      <c r="F6" s="6">
        <v>42473</v>
      </c>
      <c r="H6" s="11"/>
    </row>
    <row r="7" spans="1:11" x14ac:dyDescent="0.25">
      <c r="D7" s="2" t="s">
        <v>3</v>
      </c>
      <c r="F7" s="5">
        <v>1900000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1348800</v>
      </c>
      <c r="H8" s="11"/>
    </row>
    <row r="9" spans="1:11" x14ac:dyDescent="0.25">
      <c r="D9" s="2" t="s">
        <v>67</v>
      </c>
      <c r="F9" s="4">
        <f>+F8-F7</f>
        <v>-551200</v>
      </c>
      <c r="G9" s="16">
        <f>+F9/F7</f>
        <v>-0.29010526315789475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-590256.45454545459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2490256.4545454546</v>
      </c>
      <c r="G12" s="14"/>
      <c r="H12" s="11">
        <f>COUNT(I23:I43)</f>
        <v>11</v>
      </c>
      <c r="I12" s="1" t="s">
        <v>31</v>
      </c>
      <c r="J12" s="4">
        <f>+F8*0.9</f>
        <v>1213920</v>
      </c>
      <c r="K12" s="1" t="s">
        <v>69</v>
      </c>
    </row>
    <row r="13" spans="1:11" x14ac:dyDescent="0.25">
      <c r="D13" s="2" t="s">
        <v>29</v>
      </c>
      <c r="F13" s="4">
        <f>MAX(I23:I43)-MIN(I23:I43)</f>
        <v>2186200</v>
      </c>
      <c r="G13" s="269">
        <f>MEDIAN(I23:I43)</f>
        <v>2498000</v>
      </c>
      <c r="H13" s="270"/>
      <c r="I13" s="1" t="s">
        <v>30</v>
      </c>
      <c r="J13" s="4">
        <f>+F12*1.1</f>
        <v>2739282.1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496</v>
      </c>
      <c r="E23" s="33"/>
      <c r="F23" t="s">
        <v>295</v>
      </c>
      <c r="G23" t="s">
        <v>25</v>
      </c>
      <c r="H23">
        <f>RANK(I23,I$23:I$43,1)</f>
        <v>11</v>
      </c>
      <c r="I23" s="4">
        <v>3535000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593</v>
      </c>
      <c r="E24" s="33"/>
      <c r="F24" t="s">
        <v>594</v>
      </c>
      <c r="G24" t="s">
        <v>25</v>
      </c>
      <c r="H24">
        <f t="shared" ref="H24:H33" si="0">RANK(I24,I$23:I$43,1)</f>
        <v>7</v>
      </c>
      <c r="I24" s="4">
        <v>2549999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601</v>
      </c>
      <c r="E25" s="33"/>
      <c r="F25" t="s">
        <v>201</v>
      </c>
      <c r="G25" t="s">
        <v>25</v>
      </c>
      <c r="H25">
        <f t="shared" si="0"/>
        <v>2</v>
      </c>
      <c r="I25" s="4">
        <v>1840100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11" t="s">
        <v>602</v>
      </c>
      <c r="E26" s="33"/>
      <c r="F26" t="s">
        <v>549</v>
      </c>
      <c r="G26" t="s">
        <v>25</v>
      </c>
      <c r="H26">
        <f t="shared" si="0"/>
        <v>10</v>
      </c>
      <c r="I26" s="4">
        <v>3435000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>u</v>
      </c>
      <c r="D27" s="11" t="s">
        <v>603</v>
      </c>
      <c r="E27" s="33" t="str">
        <f t="shared" ref="E27:E43" si="2">IF(H27=1,"t","")</f>
        <v>t</v>
      </c>
      <c r="F27" t="s">
        <v>85</v>
      </c>
      <c r="G27" t="s">
        <v>25</v>
      </c>
      <c r="H27">
        <f t="shared" si="0"/>
        <v>1</v>
      </c>
      <c r="I27" s="4">
        <v>1348800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604</v>
      </c>
      <c r="E28" s="33" t="str">
        <f t="shared" si="2"/>
        <v/>
      </c>
      <c r="F28" t="s">
        <v>113</v>
      </c>
      <c r="G28" t="s">
        <v>25</v>
      </c>
      <c r="H28">
        <f t="shared" si="0"/>
        <v>3</v>
      </c>
      <c r="I28" s="4">
        <v>1870000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 t="s">
        <v>440</v>
      </c>
      <c r="E29" s="33" t="str">
        <f t="shared" si="2"/>
        <v/>
      </c>
      <c r="F29" t="s">
        <v>193</v>
      </c>
      <c r="G29" t="s">
        <v>25</v>
      </c>
      <c r="H29">
        <f t="shared" si="0"/>
        <v>5</v>
      </c>
      <c r="I29" s="4">
        <v>2482000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 t="s">
        <v>605</v>
      </c>
      <c r="E30" s="33" t="str">
        <f t="shared" si="2"/>
        <v/>
      </c>
      <c r="F30" t="s">
        <v>120</v>
      </c>
      <c r="G30" t="s">
        <v>25</v>
      </c>
      <c r="H30">
        <f t="shared" si="0"/>
        <v>4</v>
      </c>
      <c r="I30" s="4">
        <v>1965400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 t="s">
        <v>487</v>
      </c>
      <c r="E31" s="33" t="str">
        <f t="shared" si="2"/>
        <v/>
      </c>
      <c r="F31" t="s">
        <v>113</v>
      </c>
      <c r="G31" t="s">
        <v>25</v>
      </c>
      <c r="H31">
        <f t="shared" si="0"/>
        <v>6</v>
      </c>
      <c r="I31" s="4">
        <v>2498000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 t="s">
        <v>606</v>
      </c>
      <c r="E32" s="33" t="str">
        <f t="shared" si="2"/>
        <v/>
      </c>
      <c r="F32" t="s">
        <v>100</v>
      </c>
      <c r="G32" t="s">
        <v>93</v>
      </c>
      <c r="H32">
        <f t="shared" si="0"/>
        <v>9</v>
      </c>
      <c r="I32" s="4">
        <v>2994200</v>
      </c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 t="s">
        <v>607</v>
      </c>
      <c r="E33" s="33" t="str">
        <f t="shared" si="2"/>
        <v/>
      </c>
      <c r="F33" t="s">
        <v>113</v>
      </c>
      <c r="G33" t="s">
        <v>25</v>
      </c>
      <c r="H33">
        <f t="shared" si="0"/>
        <v>8</v>
      </c>
      <c r="I33" s="4">
        <v>2874322</v>
      </c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si="2"/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713" priority="10" operator="containsText" text="FAIL">
      <formula>NOT(ISERROR(SEARCH("FAIL",I9)))</formula>
    </cfRule>
  </conditionalFormatting>
  <conditionalFormatting sqref="I9">
    <cfRule type="containsText" dxfId="712" priority="9" operator="containsText" text="GOOD">
      <formula>NOT(ISERROR(SEARCH("GOOD",I9)))</formula>
    </cfRule>
  </conditionalFormatting>
  <conditionalFormatting sqref="F11">
    <cfRule type="containsText" dxfId="711" priority="8" operator="containsText" text="FAIL">
      <formula>NOT(ISERROR(SEARCH("FAIL",F11)))</formula>
    </cfRule>
  </conditionalFormatting>
  <conditionalFormatting sqref="F11">
    <cfRule type="containsText" dxfId="710" priority="7" operator="containsText" text="GOOD">
      <formula>NOT(ISERROR(SEARCH("GOOD",F11)))</formula>
    </cfRule>
  </conditionalFormatting>
  <conditionalFormatting sqref="D25">
    <cfRule type="expression" dxfId="709" priority="6" stopIfTrue="1">
      <formula>IF($H$25=1,0)</formula>
    </cfRule>
  </conditionalFormatting>
  <conditionalFormatting sqref="D23:D43">
    <cfRule type="expression" dxfId="708" priority="5">
      <formula>H23=1</formula>
    </cfRule>
  </conditionalFormatting>
  <conditionalFormatting sqref="C23:C43">
    <cfRule type="expression" dxfId="707" priority="4">
      <formula>H23=1</formula>
    </cfRule>
  </conditionalFormatting>
  <conditionalFormatting sqref="E23:E43">
    <cfRule type="expression" dxfId="706" priority="3">
      <formula>H23=1</formula>
    </cfRule>
  </conditionalFormatting>
  <conditionalFormatting sqref="F11">
    <cfRule type="containsText" dxfId="705" priority="2" operator="containsText" text="FAIL">
      <formula>NOT(ISERROR(SEARCH("FAIL",F11)))</formula>
    </cfRule>
  </conditionalFormatting>
  <conditionalFormatting sqref="F11">
    <cfRule type="containsText" dxfId="704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2:O47"/>
  <sheetViews>
    <sheetView zoomScaleNormal="100" workbookViewId="0">
      <selection activeCell="K7" sqref="K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590</v>
      </c>
      <c r="I4" s="2" t="s">
        <v>4</v>
      </c>
      <c r="J4" t="s">
        <v>494</v>
      </c>
    </row>
    <row r="5" spans="1:11" x14ac:dyDescent="0.25">
      <c r="D5" s="2" t="s">
        <v>1</v>
      </c>
      <c r="F5" t="s">
        <v>591</v>
      </c>
    </row>
    <row r="6" spans="1:11" x14ac:dyDescent="0.25">
      <c r="D6" s="2" t="s">
        <v>2</v>
      </c>
      <c r="F6" s="6">
        <v>42465</v>
      </c>
      <c r="H6" s="11"/>
    </row>
    <row r="7" spans="1:11" x14ac:dyDescent="0.25">
      <c r="D7" s="2" t="s">
        <v>3</v>
      </c>
      <c r="F7" s="5">
        <v>1300000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1334000</v>
      </c>
      <c r="H8" s="11"/>
    </row>
    <row r="9" spans="1:11" x14ac:dyDescent="0.25">
      <c r="D9" s="2" t="s">
        <v>67</v>
      </c>
      <c r="F9" s="4">
        <f>+F8-F7</f>
        <v>34000</v>
      </c>
      <c r="G9" s="16">
        <f>+F9/F7</f>
        <v>2.6153846153846153E-2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1" x14ac:dyDescent="0.25">
      <c r="D10" s="2" t="s">
        <v>68</v>
      </c>
      <c r="F10" s="4">
        <f>+F7-F12</f>
        <v>-750240.66666666674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2050240.6666666667</v>
      </c>
      <c r="G12" s="14"/>
      <c r="H12" s="11">
        <f>COUNT(I23:I43)</f>
        <v>6</v>
      </c>
      <c r="I12" s="1" t="s">
        <v>31</v>
      </c>
      <c r="J12" s="4">
        <f>+F8*0.9</f>
        <v>1200600</v>
      </c>
      <c r="K12" s="1" t="s">
        <v>69</v>
      </c>
    </row>
    <row r="13" spans="1:11" x14ac:dyDescent="0.25">
      <c r="D13" s="2" t="s">
        <v>29</v>
      </c>
      <c r="F13" s="4">
        <f>MAX(I23:I43)-MIN(I23:I43)</f>
        <v>1366000</v>
      </c>
      <c r="G13" s="269">
        <f>MEDIAN(I23:I43)</f>
        <v>2211500</v>
      </c>
      <c r="H13" s="270"/>
      <c r="I13" s="1" t="s">
        <v>30</v>
      </c>
      <c r="J13" s="4">
        <f>+F12*1.1</f>
        <v>2255264.7333333334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592</v>
      </c>
      <c r="E23" s="33"/>
      <c r="F23" t="s">
        <v>88</v>
      </c>
      <c r="G23" t="s">
        <v>25</v>
      </c>
      <c r="H23">
        <f t="shared" ref="H23:H28" si="0">RANK(I23,I$23:I$43,1)</f>
        <v>6</v>
      </c>
      <c r="I23" s="4">
        <v>2700000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593</v>
      </c>
      <c r="E24" s="33"/>
      <c r="F24" t="s">
        <v>594</v>
      </c>
      <c r="G24" t="s">
        <v>25</v>
      </c>
      <c r="H24">
        <f t="shared" si="0"/>
        <v>3</v>
      </c>
      <c r="I24" s="4">
        <v>2149000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430</v>
      </c>
      <c r="E25" s="33"/>
      <c r="F25" t="s">
        <v>186</v>
      </c>
      <c r="G25" t="s">
        <v>25</v>
      </c>
      <c r="H25">
        <f t="shared" si="0"/>
        <v>1</v>
      </c>
      <c r="I25" s="4">
        <v>1334000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11" t="s">
        <v>595</v>
      </c>
      <c r="E26" s="33"/>
      <c r="F26" t="s">
        <v>596</v>
      </c>
      <c r="G26" t="s">
        <v>93</v>
      </c>
      <c r="H26">
        <f t="shared" si="0"/>
        <v>5</v>
      </c>
      <c r="I26" s="4">
        <v>2400000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347</v>
      </c>
      <c r="E27" s="33" t="str">
        <f t="shared" ref="E27:E43" si="2">IF(H27=1,"t","")</f>
        <v/>
      </c>
      <c r="F27" t="s">
        <v>147</v>
      </c>
      <c r="G27" t="s">
        <v>93</v>
      </c>
      <c r="H27">
        <f t="shared" si="0"/>
        <v>2</v>
      </c>
      <c r="I27" s="4">
        <v>1444444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597</v>
      </c>
      <c r="E28" s="33" t="str">
        <f t="shared" si="2"/>
        <v/>
      </c>
      <c r="F28" t="s">
        <v>598</v>
      </c>
      <c r="G28" t="s">
        <v>93</v>
      </c>
      <c r="H28">
        <f t="shared" si="0"/>
        <v>4</v>
      </c>
      <c r="I28" s="4">
        <v>2274000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33" t="str">
        <f t="shared" si="2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 t="str">
        <f t="shared" si="2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 t="str">
        <f t="shared" si="2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 t="str">
        <f t="shared" si="2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 t="str">
        <f t="shared" si="2"/>
        <v/>
      </c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si="2"/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703" priority="10" operator="containsText" text="FAIL">
      <formula>NOT(ISERROR(SEARCH("FAIL",I9)))</formula>
    </cfRule>
  </conditionalFormatting>
  <conditionalFormatting sqref="I9">
    <cfRule type="containsText" dxfId="702" priority="9" operator="containsText" text="GOOD">
      <formula>NOT(ISERROR(SEARCH("GOOD",I9)))</formula>
    </cfRule>
  </conditionalFormatting>
  <conditionalFormatting sqref="F11">
    <cfRule type="containsText" dxfId="701" priority="8" operator="containsText" text="FAIL">
      <formula>NOT(ISERROR(SEARCH("FAIL",F11)))</formula>
    </cfRule>
  </conditionalFormatting>
  <conditionalFormatting sqref="F11">
    <cfRule type="containsText" dxfId="700" priority="7" operator="containsText" text="GOOD">
      <formula>NOT(ISERROR(SEARCH("GOOD",F11)))</formula>
    </cfRule>
  </conditionalFormatting>
  <conditionalFormatting sqref="D25">
    <cfRule type="expression" dxfId="699" priority="6" stopIfTrue="1">
      <formula>IF($H$25=1,0)</formula>
    </cfRule>
  </conditionalFormatting>
  <conditionalFormatting sqref="D23:D43">
    <cfRule type="expression" dxfId="698" priority="5">
      <formula>H23=1</formula>
    </cfRule>
  </conditionalFormatting>
  <conditionalFormatting sqref="C23:C43">
    <cfRule type="expression" dxfId="697" priority="4">
      <formula>H23=1</formula>
    </cfRule>
  </conditionalFormatting>
  <conditionalFormatting sqref="E23:E43">
    <cfRule type="expression" dxfId="696" priority="3">
      <formula>H23=1</formula>
    </cfRule>
  </conditionalFormatting>
  <conditionalFormatting sqref="F11">
    <cfRule type="containsText" dxfId="695" priority="2" operator="containsText" text="FAIL">
      <formula>NOT(ISERROR(SEARCH("FAIL",F11)))</formula>
    </cfRule>
  </conditionalFormatting>
  <conditionalFormatting sqref="F11">
    <cfRule type="containsText" dxfId="694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2:O47"/>
  <sheetViews>
    <sheetView view="pageBreakPreview" zoomScale="60" zoomScaleNormal="100" workbookViewId="0">
      <selection activeCell="M19" sqref="M1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565</v>
      </c>
      <c r="I4" s="2" t="s">
        <v>4</v>
      </c>
      <c r="J4" t="s">
        <v>442</v>
      </c>
    </row>
    <row r="5" spans="1:11" x14ac:dyDescent="0.25">
      <c r="D5" s="2" t="s">
        <v>1</v>
      </c>
      <c r="F5" t="s">
        <v>566</v>
      </c>
    </row>
    <row r="6" spans="1:11" x14ac:dyDescent="0.25">
      <c r="D6" s="2" t="s">
        <v>2</v>
      </c>
      <c r="F6" s="6">
        <v>42450</v>
      </c>
      <c r="H6" s="11"/>
    </row>
    <row r="7" spans="1:11" x14ac:dyDescent="0.25">
      <c r="D7" s="2" t="s">
        <v>3</v>
      </c>
      <c r="F7" s="5">
        <v>13100000</v>
      </c>
      <c r="G7" s="2" t="s">
        <v>190</v>
      </c>
      <c r="H7" s="11"/>
    </row>
    <row r="8" spans="1:11" x14ac:dyDescent="0.25">
      <c r="D8" s="2" t="s">
        <v>18</v>
      </c>
      <c r="F8" s="5">
        <f>MIN(I23:I43)</f>
        <v>14145813</v>
      </c>
      <c r="H8" s="11"/>
    </row>
    <row r="9" spans="1:11" x14ac:dyDescent="0.25">
      <c r="D9" s="2" t="s">
        <v>67</v>
      </c>
      <c r="F9" s="4">
        <f>+F8-F7</f>
        <v>1045813</v>
      </c>
      <c r="G9" s="16">
        <f>+F9/F7</f>
        <v>7.9833053435114501E-2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-3560915.5999999996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16660915.6</v>
      </c>
      <c r="G12" s="14"/>
      <c r="H12" s="11">
        <f>COUNT(I23:I43)</f>
        <v>5</v>
      </c>
      <c r="I12" s="1" t="s">
        <v>31</v>
      </c>
      <c r="J12" s="4">
        <f>+F8*0.9</f>
        <v>12731231.700000001</v>
      </c>
      <c r="K12" s="1" t="s">
        <v>69</v>
      </c>
    </row>
    <row r="13" spans="1:11" x14ac:dyDescent="0.25">
      <c r="D13" s="2" t="s">
        <v>29</v>
      </c>
      <c r="F13" s="4">
        <f>MAX(I23:I43)-MIN(I23:I43)</f>
        <v>5244187</v>
      </c>
      <c r="G13" s="269">
        <f>MEDIAN(I23:I43)</f>
        <v>16114265</v>
      </c>
      <c r="H13" s="270"/>
      <c r="I13" s="1" t="s">
        <v>30</v>
      </c>
      <c r="J13" s="4">
        <f>+F12*1.1</f>
        <v>18327007.16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245000</v>
      </c>
      <c r="H19" s="11" t="s">
        <v>567</v>
      </c>
      <c r="I19" t="s">
        <v>41</v>
      </c>
      <c r="J19" s="7" t="e">
        <f>+F8/F15</f>
        <v>#DIV/0!</v>
      </c>
      <c r="K19" s="53">
        <f>+F8/G19</f>
        <v>57.738012244897959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568</v>
      </c>
      <c r="E23" s="33"/>
      <c r="F23" t="s">
        <v>569</v>
      </c>
      <c r="G23" t="s">
        <v>570</v>
      </c>
      <c r="H23">
        <f>RANK(I23,I$23:I$43,1)</f>
        <v>2</v>
      </c>
      <c r="I23" s="4">
        <v>15521750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571</v>
      </c>
      <c r="E24" s="33"/>
      <c r="F24" t="s">
        <v>572</v>
      </c>
      <c r="G24" t="s">
        <v>321</v>
      </c>
      <c r="H24">
        <f>RANK(I24,I$23:I$43,1)</f>
        <v>1</v>
      </c>
      <c r="I24" s="4">
        <v>14145813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573</v>
      </c>
      <c r="E25" s="33"/>
      <c r="F25" t="s">
        <v>490</v>
      </c>
      <c r="G25" t="s">
        <v>25</v>
      </c>
      <c r="H25">
        <f>RANK(I25,I$23:I$43,1)</f>
        <v>5</v>
      </c>
      <c r="I25" s="4">
        <v>19390000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 t="s">
        <v>574</v>
      </c>
      <c r="E26" s="33"/>
      <c r="F26" t="s">
        <v>575</v>
      </c>
      <c r="G26" t="s">
        <v>333</v>
      </c>
      <c r="H26">
        <f>RANK(I26,I$23:I$43,1)</f>
        <v>3</v>
      </c>
      <c r="I26" s="4">
        <v>16114265</v>
      </c>
      <c r="J26" s="4"/>
      <c r="K26" s="4"/>
      <c r="L26" s="4"/>
      <c r="M26" s="22"/>
      <c r="N26" s="22"/>
      <c r="O26" s="22"/>
    </row>
    <row r="27" spans="3:15" x14ac:dyDescent="0.25">
      <c r="C27" s="33" t="str">
        <f>IF(H27=1,"u","")</f>
        <v/>
      </c>
      <c r="D27" s="11" t="s">
        <v>576</v>
      </c>
      <c r="E27" s="33"/>
      <c r="F27" t="s">
        <v>577</v>
      </c>
      <c r="G27" t="s">
        <v>355</v>
      </c>
      <c r="H27">
        <f>RANK(I27,I$23:I$43,1)</f>
        <v>4</v>
      </c>
      <c r="I27" s="4">
        <v>18132750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 t="str">
        <f t="shared" ref="E28:E43" si="1">IF(H28=1,"t","")</f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693" priority="13" operator="containsText" text="FAIL">
      <formula>NOT(ISERROR(SEARCH("FAIL",I9)))</formula>
    </cfRule>
  </conditionalFormatting>
  <conditionalFormatting sqref="I9">
    <cfRule type="containsText" dxfId="692" priority="12" operator="containsText" text="GOOD">
      <formula>NOT(ISERROR(SEARCH("GOOD",I9)))</formula>
    </cfRule>
  </conditionalFormatting>
  <conditionalFormatting sqref="F11">
    <cfRule type="containsText" dxfId="691" priority="11" operator="containsText" text="FAIL">
      <formula>NOT(ISERROR(SEARCH("FAIL",F11)))</formula>
    </cfRule>
  </conditionalFormatting>
  <conditionalFormatting sqref="F11">
    <cfRule type="containsText" dxfId="690" priority="10" operator="containsText" text="GOOD">
      <formula>NOT(ISERROR(SEARCH("GOOD",F11)))</formula>
    </cfRule>
  </conditionalFormatting>
  <conditionalFormatting sqref="D25">
    <cfRule type="expression" dxfId="689" priority="9" stopIfTrue="1">
      <formula>IF($H$25=1,0)</formula>
    </cfRule>
  </conditionalFormatting>
  <conditionalFormatting sqref="D23:D26 D28:D43">
    <cfRule type="expression" dxfId="688" priority="8">
      <formula>H23=1</formula>
    </cfRule>
  </conditionalFormatting>
  <conditionalFormatting sqref="C23:C26 C28:C43">
    <cfRule type="expression" dxfId="687" priority="7">
      <formula>H23=1</formula>
    </cfRule>
  </conditionalFormatting>
  <conditionalFormatting sqref="E23:E26 E28:E43">
    <cfRule type="expression" dxfId="686" priority="6">
      <formula>H23=1</formula>
    </cfRule>
  </conditionalFormatting>
  <conditionalFormatting sqref="F11">
    <cfRule type="containsText" dxfId="685" priority="5" operator="containsText" text="FAIL">
      <formula>NOT(ISERROR(SEARCH("FAIL",F11)))</formula>
    </cfRule>
  </conditionalFormatting>
  <conditionalFormatting sqref="F11">
    <cfRule type="containsText" dxfId="684" priority="4" operator="containsText" text="GOOD">
      <formula>NOT(ISERROR(SEARCH("GOOD",F11)))</formula>
    </cfRule>
  </conditionalFormatting>
  <conditionalFormatting sqref="E27">
    <cfRule type="expression" dxfId="683" priority="1">
      <formula>H27=1</formula>
    </cfRule>
  </conditionalFormatting>
  <conditionalFormatting sqref="D27">
    <cfRule type="expression" dxfId="682" priority="3">
      <formula>H27=1</formula>
    </cfRule>
  </conditionalFormatting>
  <conditionalFormatting sqref="C27">
    <cfRule type="expression" dxfId="681" priority="2">
      <formula>H27=1</formula>
    </cfRule>
  </conditionalFormatting>
  <pageMargins left="0.7" right="0.7" top="0.75" bottom="0.75" header="0.3" footer="0.3"/>
  <pageSetup scale="68" orientation="portrait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2:O47"/>
  <sheetViews>
    <sheetView view="pageBreakPreview" zoomScale="60" zoomScaleNormal="100" workbookViewId="0">
      <selection activeCell="O20" sqref="O20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552</v>
      </c>
      <c r="I4" s="2" t="s">
        <v>4</v>
      </c>
      <c r="J4" t="s">
        <v>447</v>
      </c>
    </row>
    <row r="5" spans="1:11" x14ac:dyDescent="0.25">
      <c r="D5" s="2" t="s">
        <v>1</v>
      </c>
      <c r="F5" t="s">
        <v>553</v>
      </c>
    </row>
    <row r="6" spans="1:11" x14ac:dyDescent="0.25">
      <c r="D6" s="2" t="s">
        <v>2</v>
      </c>
      <c r="F6" s="6">
        <v>42438</v>
      </c>
      <c r="H6" s="11"/>
    </row>
    <row r="7" spans="1:11" x14ac:dyDescent="0.25">
      <c r="D7" s="2" t="s">
        <v>3</v>
      </c>
      <c r="F7" s="5">
        <f>+I7+J7</f>
        <v>25210000</v>
      </c>
      <c r="G7" s="2" t="s">
        <v>34</v>
      </c>
      <c r="H7" s="11"/>
      <c r="I7" s="19">
        <v>3772000</v>
      </c>
      <c r="J7" s="19">
        <f>21228000+210000</f>
        <v>21438000</v>
      </c>
    </row>
    <row r="8" spans="1:11" x14ac:dyDescent="0.25">
      <c r="D8" s="2" t="s">
        <v>18</v>
      </c>
      <c r="F8" s="5">
        <f>MIN(K23:K43)</f>
        <v>17827873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-7382127</v>
      </c>
      <c r="G9" s="16">
        <f>+F9/F7</f>
        <v>-0.29282534708449026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3737591.384615384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SUM(K23:K43)/H12</f>
        <v>21472408.615384616</v>
      </c>
      <c r="G12" s="14"/>
      <c r="H12" s="11">
        <f>COUNT(K23:K43)</f>
        <v>13</v>
      </c>
      <c r="I12" s="1" t="s">
        <v>31</v>
      </c>
      <c r="J12" s="4">
        <f>+F8*0.9</f>
        <v>16045085.700000001</v>
      </c>
      <c r="K12" s="1" t="s">
        <v>69</v>
      </c>
    </row>
    <row r="13" spans="1:11" x14ac:dyDescent="0.25">
      <c r="D13" s="2" t="s">
        <v>29</v>
      </c>
      <c r="F13" s="4">
        <f>MAX(K23:K43)-MIN(K23:K43)</f>
        <v>9579922</v>
      </c>
      <c r="G13" s="269">
        <f>MEDIAN(K23:K43)</f>
        <v>20457000</v>
      </c>
      <c r="H13" s="270"/>
      <c r="I13" s="1" t="s">
        <v>30</v>
      </c>
      <c r="J13" s="4">
        <f>+F12*1.1</f>
        <v>23619649.476923078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491</v>
      </c>
      <c r="E23" s="33"/>
      <c r="F23" t="s">
        <v>203</v>
      </c>
      <c r="G23" t="s">
        <v>204</v>
      </c>
      <c r="H23">
        <f>RANK(K23,K$23:K$43,1)</f>
        <v>12</v>
      </c>
      <c r="I23" s="4">
        <v>4043775</v>
      </c>
      <c r="J23" s="4">
        <f>22889905+166320</f>
        <v>23056225</v>
      </c>
      <c r="K23" s="4">
        <f>+J23+I23</f>
        <v>27100000</v>
      </c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554</v>
      </c>
      <c r="E24" s="33"/>
      <c r="F24" t="s">
        <v>397</v>
      </c>
      <c r="G24" t="s">
        <v>25</v>
      </c>
      <c r="H24">
        <f t="shared" ref="H24:H33" si="0">RANK(K24,K$23:K$43,1)</f>
        <v>1</v>
      </c>
      <c r="I24" s="4">
        <v>2992825</v>
      </c>
      <c r="J24" s="4">
        <f>14727048+108000</f>
        <v>14835048</v>
      </c>
      <c r="K24" s="4">
        <f t="shared" ref="K24:K33" si="1">+J24+I24</f>
        <v>17827873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555</v>
      </c>
      <c r="E25" s="33"/>
      <c r="F25" t="s">
        <v>129</v>
      </c>
      <c r="G25" t="s">
        <v>25</v>
      </c>
      <c r="H25">
        <f t="shared" si="0"/>
        <v>3</v>
      </c>
      <c r="I25" s="4">
        <v>3185292</v>
      </c>
      <c r="J25" s="4">
        <f>15597251+144000</f>
        <v>15741251</v>
      </c>
      <c r="K25" s="4">
        <f t="shared" si="1"/>
        <v>18926543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11" t="s">
        <v>556</v>
      </c>
      <c r="E26" s="33"/>
      <c r="F26" t="s">
        <v>201</v>
      </c>
      <c r="G26" t="s">
        <v>25</v>
      </c>
      <c r="H26">
        <f t="shared" si="0"/>
        <v>5</v>
      </c>
      <c r="I26" s="4">
        <v>2656835</v>
      </c>
      <c r="J26" s="4">
        <f>16997806+216000</f>
        <v>17213806</v>
      </c>
      <c r="K26" s="4">
        <f t="shared" si="1"/>
        <v>19870641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11" t="s">
        <v>440</v>
      </c>
      <c r="E27" s="33"/>
      <c r="F27" t="s">
        <v>193</v>
      </c>
      <c r="G27" t="s">
        <v>25</v>
      </c>
      <c r="H27">
        <f t="shared" si="0"/>
        <v>10</v>
      </c>
      <c r="I27" s="4">
        <v>3890095</v>
      </c>
      <c r="J27" s="4">
        <f>18805662+196560</f>
        <v>19002222</v>
      </c>
      <c r="K27" s="4">
        <f t="shared" si="1"/>
        <v>22892317</v>
      </c>
      <c r="L27" s="4"/>
      <c r="M27" s="22"/>
      <c r="N27" s="22"/>
      <c r="O27" s="22"/>
    </row>
    <row r="28" spans="3:15" x14ac:dyDescent="0.25">
      <c r="C28" s="33" t="str">
        <f t="shared" si="2"/>
        <v/>
      </c>
      <c r="D28" s="11" t="s">
        <v>557</v>
      </c>
      <c r="E28" s="33"/>
      <c r="F28" t="s">
        <v>558</v>
      </c>
      <c r="G28" t="s">
        <v>25</v>
      </c>
      <c r="H28">
        <f t="shared" si="0"/>
        <v>2</v>
      </c>
      <c r="I28" s="4">
        <v>2764050</v>
      </c>
      <c r="J28" s="4">
        <f>15808410+90000</f>
        <v>15898410</v>
      </c>
      <c r="K28" s="4">
        <f t="shared" si="1"/>
        <v>18662460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11" t="s">
        <v>559</v>
      </c>
      <c r="E29" s="33"/>
      <c r="F29" t="s">
        <v>302</v>
      </c>
      <c r="G29" t="s">
        <v>25</v>
      </c>
      <c r="H29">
        <f t="shared" si="0"/>
        <v>11</v>
      </c>
      <c r="I29" s="4">
        <v>3075530</v>
      </c>
      <c r="J29" s="4">
        <f>19907485+217800</f>
        <v>20125285</v>
      </c>
      <c r="K29" s="4">
        <f t="shared" si="1"/>
        <v>23200815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11" t="s">
        <v>510</v>
      </c>
      <c r="E30" s="33"/>
      <c r="F30" t="s">
        <v>486</v>
      </c>
      <c r="G30" t="s">
        <v>25</v>
      </c>
      <c r="H30">
        <f t="shared" si="0"/>
        <v>4</v>
      </c>
      <c r="I30" s="4">
        <v>3382695</v>
      </c>
      <c r="J30" s="4">
        <f>16144648+187200</f>
        <v>16331848</v>
      </c>
      <c r="K30" s="4">
        <f t="shared" si="1"/>
        <v>19714543</v>
      </c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 t="s">
        <v>560</v>
      </c>
      <c r="E31" s="33"/>
      <c r="F31" t="s">
        <v>131</v>
      </c>
      <c r="G31" t="s">
        <v>25</v>
      </c>
      <c r="H31">
        <f t="shared" si="0"/>
        <v>6</v>
      </c>
      <c r="I31" s="4">
        <v>2678550</v>
      </c>
      <c r="J31" s="4">
        <f>17161003+144000</f>
        <v>17305003</v>
      </c>
      <c r="K31" s="4">
        <f t="shared" si="1"/>
        <v>19983553</v>
      </c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 t="s">
        <v>561</v>
      </c>
      <c r="E32" s="33"/>
      <c r="F32" t="s">
        <v>215</v>
      </c>
      <c r="G32" t="s">
        <v>25</v>
      </c>
      <c r="H32">
        <f t="shared" si="0"/>
        <v>13</v>
      </c>
      <c r="I32" s="4">
        <v>3333605</v>
      </c>
      <c r="J32" s="4">
        <f>23901390+172800</f>
        <v>24074190</v>
      </c>
      <c r="K32" s="4">
        <f t="shared" si="1"/>
        <v>27407795</v>
      </c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 t="s">
        <v>507</v>
      </c>
      <c r="E33" s="33"/>
      <c r="F33" t="s">
        <v>137</v>
      </c>
      <c r="G33" t="s">
        <v>25</v>
      </c>
      <c r="H33">
        <f t="shared" si="0"/>
        <v>7</v>
      </c>
      <c r="I33" s="4">
        <v>3223200</v>
      </c>
      <c r="J33" s="4">
        <f>16989000+244800</f>
        <v>17233800</v>
      </c>
      <c r="K33" s="4">
        <f t="shared" si="1"/>
        <v>20457000</v>
      </c>
      <c r="M33" s="21"/>
      <c r="N33" s="21"/>
      <c r="O33" s="21"/>
    </row>
    <row r="34" spans="3:15" x14ac:dyDescent="0.25">
      <c r="C34" s="33" t="str">
        <f>IF(H34=1,"u","")</f>
        <v/>
      </c>
      <c r="D34" s="11" t="s">
        <v>562</v>
      </c>
      <c r="E34" s="33"/>
      <c r="F34" t="s">
        <v>563</v>
      </c>
      <c r="G34" t="s">
        <v>25</v>
      </c>
      <c r="H34">
        <f>RANK(K34,K$23:K$43,1)</f>
        <v>8</v>
      </c>
      <c r="I34" s="4">
        <v>3496200</v>
      </c>
      <c r="J34" s="4">
        <f>17445000+36000</f>
        <v>17481000</v>
      </c>
      <c r="K34" s="4">
        <f>+J34+I34</f>
        <v>20977200</v>
      </c>
      <c r="M34" s="21"/>
      <c r="N34" s="21"/>
      <c r="O34" s="21"/>
    </row>
    <row r="35" spans="3:15" x14ac:dyDescent="0.25">
      <c r="C35" s="33" t="str">
        <f>IF(H35=1,"u","")</f>
        <v/>
      </c>
      <c r="D35" s="11" t="s">
        <v>564</v>
      </c>
      <c r="E35" s="33"/>
      <c r="F35" t="s">
        <v>558</v>
      </c>
      <c r="G35" t="s">
        <v>25</v>
      </c>
      <c r="H35">
        <f>RANK(K35,K$23:K$43,1)</f>
        <v>9</v>
      </c>
      <c r="I35" s="4">
        <v>3348685</v>
      </c>
      <c r="J35" s="4">
        <f>18573887+198000</f>
        <v>18771887</v>
      </c>
      <c r="K35" s="4">
        <f>+J35+I35</f>
        <v>22120572</v>
      </c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 t="str">
        <f t="shared" ref="E36:E43" si="3">IF(H36=1,"t","")</f>
        <v/>
      </c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680" priority="23" operator="containsText" text="FAIL">
      <formula>NOT(ISERROR(SEARCH("FAIL",I9)))</formula>
    </cfRule>
  </conditionalFormatting>
  <conditionalFormatting sqref="I9">
    <cfRule type="containsText" dxfId="679" priority="22" operator="containsText" text="GOOD">
      <formula>NOT(ISERROR(SEARCH("GOOD",I9)))</formula>
    </cfRule>
  </conditionalFormatting>
  <conditionalFormatting sqref="I9">
    <cfRule type="containsText" dxfId="678" priority="21" operator="containsText" text="FAIL">
      <formula>NOT(ISERROR(SEARCH("FAIL",I9)))</formula>
    </cfRule>
  </conditionalFormatting>
  <conditionalFormatting sqref="I9">
    <cfRule type="containsText" dxfId="677" priority="20" operator="containsText" text="GOOD">
      <formula>NOT(ISERROR(SEARCH("GOOD",I9)))</formula>
    </cfRule>
  </conditionalFormatting>
  <conditionalFormatting sqref="I9">
    <cfRule type="containsText" dxfId="676" priority="19" operator="containsText" text="FAIL">
      <formula>NOT(ISERROR(SEARCH("FAIL",I9)))</formula>
    </cfRule>
  </conditionalFormatting>
  <conditionalFormatting sqref="I9">
    <cfRule type="containsText" dxfId="675" priority="18" operator="containsText" text="GOOD">
      <formula>NOT(ISERROR(SEARCH("GOOD",I9)))</formula>
    </cfRule>
  </conditionalFormatting>
  <conditionalFormatting sqref="F11">
    <cfRule type="containsText" dxfId="674" priority="17" operator="containsText" text="FAIL">
      <formula>NOT(ISERROR(SEARCH("FAIL",F11)))</formula>
    </cfRule>
  </conditionalFormatting>
  <conditionalFormatting sqref="F11">
    <cfRule type="containsText" dxfId="673" priority="16" operator="containsText" text="GOOD">
      <formula>NOT(ISERROR(SEARCH("GOOD",F11)))</formula>
    </cfRule>
  </conditionalFormatting>
  <conditionalFormatting sqref="I9">
    <cfRule type="containsText" dxfId="672" priority="15" operator="containsText" text="FAIL">
      <formula>NOT(ISERROR(SEARCH("FAIL",I9)))</formula>
    </cfRule>
  </conditionalFormatting>
  <conditionalFormatting sqref="I9">
    <cfRule type="containsText" dxfId="671" priority="14" operator="containsText" text="GOOD">
      <formula>NOT(ISERROR(SEARCH("GOOD",I9)))</formula>
    </cfRule>
  </conditionalFormatting>
  <conditionalFormatting sqref="F11">
    <cfRule type="containsText" dxfId="670" priority="13" operator="containsText" text="FAIL">
      <formula>NOT(ISERROR(SEARCH("FAIL",F11)))</formula>
    </cfRule>
  </conditionalFormatting>
  <conditionalFormatting sqref="F11">
    <cfRule type="containsText" dxfId="669" priority="12" operator="containsText" text="GOOD">
      <formula>NOT(ISERROR(SEARCH("GOOD",F11)))</formula>
    </cfRule>
  </conditionalFormatting>
  <conditionalFormatting sqref="D25">
    <cfRule type="expression" dxfId="668" priority="11" stopIfTrue="1">
      <formula>IF($H$25=1,0)</formula>
    </cfRule>
  </conditionalFormatting>
  <conditionalFormatting sqref="D23:D33 D36:D43">
    <cfRule type="expression" dxfId="667" priority="10">
      <formula>H23=1</formula>
    </cfRule>
  </conditionalFormatting>
  <conditionalFormatting sqref="C23:C33 C36:C43">
    <cfRule type="expression" dxfId="666" priority="9">
      <formula>H23=1</formula>
    </cfRule>
  </conditionalFormatting>
  <conditionalFormatting sqref="E23:E33 E36:E43">
    <cfRule type="expression" dxfId="665" priority="8">
      <formula>H23=1</formula>
    </cfRule>
  </conditionalFormatting>
  <conditionalFormatting sqref="E23:E33 E36:E43">
    <cfRule type="expression" dxfId="664" priority="7">
      <formula>H23=1</formula>
    </cfRule>
  </conditionalFormatting>
  <conditionalFormatting sqref="F11">
    <cfRule type="containsText" dxfId="663" priority="6" operator="containsText" text="FAIL">
      <formula>NOT(ISERROR(SEARCH("FAIL",F11)))</formula>
    </cfRule>
  </conditionalFormatting>
  <conditionalFormatting sqref="F11">
    <cfRule type="containsText" dxfId="662" priority="5" operator="containsText" text="GOOD">
      <formula>NOT(ISERROR(SEARCH("GOOD",F11)))</formula>
    </cfRule>
  </conditionalFormatting>
  <conditionalFormatting sqref="D34:D35">
    <cfRule type="expression" dxfId="661" priority="4">
      <formula>H34=1</formula>
    </cfRule>
  </conditionalFormatting>
  <conditionalFormatting sqref="C34:C35">
    <cfRule type="expression" dxfId="660" priority="3">
      <formula>H34=1</formula>
    </cfRule>
  </conditionalFormatting>
  <conditionalFormatting sqref="E34:E35">
    <cfRule type="expression" dxfId="659" priority="2">
      <formula>H34=1</formula>
    </cfRule>
  </conditionalFormatting>
  <conditionalFormatting sqref="E34:E35">
    <cfRule type="expression" dxfId="658" priority="1">
      <formula>H34=1</formula>
    </cfRule>
  </conditionalFormatting>
  <pageMargins left="0.7" right="0.7" top="0.75" bottom="0.75" header="0.3" footer="0.3"/>
  <pageSetup scale="68" orientation="portrait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2:O47"/>
  <sheetViews>
    <sheetView view="pageBreakPreview" zoomScale="60" zoomScaleNormal="100" workbookViewId="0">
      <selection activeCell="F6" sqref="F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520</v>
      </c>
      <c r="I4" s="2" t="s">
        <v>4</v>
      </c>
      <c r="J4" t="s">
        <v>494</v>
      </c>
    </row>
    <row r="5" spans="1:11" x14ac:dyDescent="0.25">
      <c r="D5" s="2" t="s">
        <v>1</v>
      </c>
      <c r="F5" t="s">
        <v>550</v>
      </c>
    </row>
    <row r="6" spans="1:11" x14ac:dyDescent="0.25">
      <c r="D6" s="2" t="s">
        <v>2</v>
      </c>
      <c r="F6" s="6">
        <v>42418</v>
      </c>
      <c r="H6" s="11"/>
    </row>
    <row r="7" spans="1:11" x14ac:dyDescent="0.25">
      <c r="D7" s="2" t="s">
        <v>3</v>
      </c>
      <c r="F7" s="5">
        <f>+I7+J7</f>
        <v>3250000</v>
      </c>
      <c r="G7" s="2" t="s">
        <v>34</v>
      </c>
      <c r="H7" s="11"/>
      <c r="I7" s="19">
        <v>170000</v>
      </c>
      <c r="J7" s="19">
        <v>3080000</v>
      </c>
    </row>
    <row r="8" spans="1:11" x14ac:dyDescent="0.25">
      <c r="D8" s="2" t="s">
        <v>18</v>
      </c>
      <c r="F8" s="5">
        <f>MIN(K23:K43)</f>
        <v>2849549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-400451</v>
      </c>
      <c r="G9" s="16">
        <f>+F9/F7</f>
        <v>-0.1232156923076923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-947140.83333333302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4197140.833333333</v>
      </c>
      <c r="G12" s="14"/>
      <c r="H12" s="11">
        <f>COUNT(K23:K43)</f>
        <v>12</v>
      </c>
      <c r="I12" s="1" t="s">
        <v>31</v>
      </c>
      <c r="J12" s="4">
        <f>+F8*0.9</f>
        <v>2564594.1</v>
      </c>
      <c r="K12" s="1" t="s">
        <v>69</v>
      </c>
    </row>
    <row r="13" spans="1:11" x14ac:dyDescent="0.25">
      <c r="D13" s="2" t="s">
        <v>29</v>
      </c>
      <c r="F13" s="4">
        <f>MAX(K23:K43)-MIN(K23:K43)</f>
        <v>3264251</v>
      </c>
      <c r="G13" s="269">
        <f>MEDIAN(K23:K43)</f>
        <v>3882500</v>
      </c>
      <c r="H13" s="270"/>
      <c r="I13" s="1" t="s">
        <v>30</v>
      </c>
      <c r="J13" s="4">
        <f>+F12*1.1</f>
        <v>4616854.916666667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521</v>
      </c>
      <c r="E23" s="33"/>
      <c r="F23" t="s">
        <v>251</v>
      </c>
      <c r="G23" t="s">
        <v>25</v>
      </c>
      <c r="H23">
        <f>RANK(K23,K$23:K$43,1)</f>
        <v>5</v>
      </c>
      <c r="I23" s="4">
        <v>96000</v>
      </c>
      <c r="J23" s="4">
        <v>3293000</v>
      </c>
      <c r="K23" s="4">
        <f>+J23+I23</f>
        <v>3389000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522</v>
      </c>
      <c r="E24" s="33"/>
      <c r="F24" t="s">
        <v>100</v>
      </c>
      <c r="G24" t="s">
        <v>93</v>
      </c>
      <c r="H24">
        <f t="shared" ref="H24:H33" si="0">RANK(K24,K$23:K$43,1)</f>
        <v>3</v>
      </c>
      <c r="I24" s="4">
        <v>144000</v>
      </c>
      <c r="J24" s="4">
        <v>3147455</v>
      </c>
      <c r="K24" s="4">
        <f t="shared" ref="K24:K33" si="1">+J24+I24</f>
        <v>3291455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523</v>
      </c>
      <c r="E25" s="33"/>
      <c r="F25" t="s">
        <v>253</v>
      </c>
      <c r="G25" t="s">
        <v>25</v>
      </c>
      <c r="H25">
        <f t="shared" si="0"/>
        <v>9</v>
      </c>
      <c r="I25" s="4">
        <v>360000</v>
      </c>
      <c r="J25" s="4">
        <v>4315000</v>
      </c>
      <c r="K25" s="4">
        <f t="shared" si="1"/>
        <v>4675000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11" t="s">
        <v>524</v>
      </c>
      <c r="E26" s="33"/>
      <c r="F26" t="s">
        <v>525</v>
      </c>
      <c r="G26" t="s">
        <v>93</v>
      </c>
      <c r="H26">
        <f t="shared" si="0"/>
        <v>12</v>
      </c>
      <c r="I26" s="4">
        <v>184800</v>
      </c>
      <c r="J26" s="4">
        <v>5929000</v>
      </c>
      <c r="K26" s="4">
        <f t="shared" si="1"/>
        <v>6113800</v>
      </c>
      <c r="L26" s="4"/>
      <c r="M26" s="22"/>
      <c r="N26" s="22"/>
      <c r="O26" s="22"/>
    </row>
    <row r="27" spans="3:15" x14ac:dyDescent="0.25">
      <c r="C27" s="33" t="str">
        <f t="shared" si="2"/>
        <v>u</v>
      </c>
      <c r="D27" s="11" t="s">
        <v>437</v>
      </c>
      <c r="E27" s="33"/>
      <c r="F27" t="s">
        <v>161</v>
      </c>
      <c r="G27" t="s">
        <v>93</v>
      </c>
      <c r="H27">
        <f t="shared" si="0"/>
        <v>1</v>
      </c>
      <c r="I27" s="4">
        <v>144000</v>
      </c>
      <c r="J27" s="4">
        <v>2705549</v>
      </c>
      <c r="K27" s="4">
        <f t="shared" si="1"/>
        <v>2849549</v>
      </c>
      <c r="L27" s="4"/>
      <c r="M27" s="22"/>
      <c r="N27" s="22"/>
      <c r="O27" s="22"/>
    </row>
    <row r="28" spans="3:15" x14ac:dyDescent="0.25">
      <c r="C28" s="33" t="str">
        <f t="shared" si="2"/>
        <v/>
      </c>
      <c r="D28" s="11" t="s">
        <v>526</v>
      </c>
      <c r="E28" s="33"/>
      <c r="F28" t="s">
        <v>159</v>
      </c>
      <c r="G28" t="s">
        <v>93</v>
      </c>
      <c r="H28">
        <f t="shared" si="0"/>
        <v>4</v>
      </c>
      <c r="I28" s="4">
        <v>268800</v>
      </c>
      <c r="J28" s="4">
        <v>3070157</v>
      </c>
      <c r="K28" s="4">
        <f t="shared" si="1"/>
        <v>3338957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11" t="s">
        <v>527</v>
      </c>
      <c r="E29" s="33"/>
      <c r="F29" t="s">
        <v>208</v>
      </c>
      <c r="G29" t="s">
        <v>93</v>
      </c>
      <c r="H29">
        <f t="shared" si="0"/>
        <v>2</v>
      </c>
      <c r="I29" s="4">
        <v>144000</v>
      </c>
      <c r="J29" s="4">
        <v>3023185</v>
      </c>
      <c r="K29" s="4">
        <f t="shared" si="1"/>
        <v>3167185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11" t="s">
        <v>528</v>
      </c>
      <c r="E30" s="33"/>
      <c r="F30" t="s">
        <v>159</v>
      </c>
      <c r="G30" t="s">
        <v>93</v>
      </c>
      <c r="H30">
        <f t="shared" si="0"/>
        <v>7</v>
      </c>
      <c r="I30" s="4">
        <v>192000</v>
      </c>
      <c r="J30" s="4">
        <v>3750000</v>
      </c>
      <c r="K30" s="4">
        <f t="shared" si="1"/>
        <v>3942000</v>
      </c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 t="s">
        <v>529</v>
      </c>
      <c r="E31" s="33"/>
      <c r="F31" t="s">
        <v>170</v>
      </c>
      <c r="G31" t="s">
        <v>93</v>
      </c>
      <c r="H31">
        <f t="shared" si="0"/>
        <v>10</v>
      </c>
      <c r="I31" s="4">
        <v>360000</v>
      </c>
      <c r="J31" s="4">
        <v>5204700</v>
      </c>
      <c r="K31" s="4">
        <f t="shared" si="1"/>
        <v>5564700</v>
      </c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 t="s">
        <v>530</v>
      </c>
      <c r="E32" s="33"/>
      <c r="F32" t="s">
        <v>95</v>
      </c>
      <c r="G32" t="s">
        <v>93</v>
      </c>
      <c r="H32">
        <f t="shared" si="0"/>
        <v>6</v>
      </c>
      <c r="I32" s="4">
        <v>240000</v>
      </c>
      <c r="J32" s="4">
        <v>3583000</v>
      </c>
      <c r="K32" s="4">
        <f t="shared" si="1"/>
        <v>3823000</v>
      </c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 t="s">
        <v>531</v>
      </c>
      <c r="E33" s="33"/>
      <c r="F33" t="s">
        <v>532</v>
      </c>
      <c r="G33" t="s">
        <v>93</v>
      </c>
      <c r="H33">
        <f t="shared" si="0"/>
        <v>11</v>
      </c>
      <c r="I33" s="4">
        <v>184800</v>
      </c>
      <c r="J33" s="4">
        <v>5803440</v>
      </c>
      <c r="K33" s="4">
        <f t="shared" si="1"/>
        <v>5988240</v>
      </c>
      <c r="M33" s="21"/>
      <c r="N33" s="21"/>
      <c r="O33" s="21"/>
    </row>
    <row r="34" spans="3:15" x14ac:dyDescent="0.25">
      <c r="C34" s="33" t="str">
        <f>IF(H34=1,"u","")</f>
        <v/>
      </c>
      <c r="D34" s="11" t="s">
        <v>533</v>
      </c>
      <c r="E34" s="33"/>
      <c r="F34" t="s">
        <v>92</v>
      </c>
      <c r="G34" t="s">
        <v>93</v>
      </c>
      <c r="H34">
        <f>RANK(K34,K$23:K$43,1)</f>
        <v>8</v>
      </c>
      <c r="I34" s="4">
        <v>300000</v>
      </c>
      <c r="J34" s="4">
        <v>3922804</v>
      </c>
      <c r="K34" s="4">
        <f>+J34+I34</f>
        <v>4222804</v>
      </c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 t="str">
        <f t="shared" ref="E35:E43" si="3">IF(H35=1,"t","")</f>
        <v/>
      </c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 t="str">
        <f t="shared" si="3"/>
        <v/>
      </c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657" priority="23" operator="containsText" text="FAIL">
      <formula>NOT(ISERROR(SEARCH("FAIL",I9)))</formula>
    </cfRule>
  </conditionalFormatting>
  <conditionalFormatting sqref="I9">
    <cfRule type="containsText" dxfId="656" priority="22" operator="containsText" text="GOOD">
      <formula>NOT(ISERROR(SEARCH("GOOD",I9)))</formula>
    </cfRule>
  </conditionalFormatting>
  <conditionalFormatting sqref="I9">
    <cfRule type="containsText" dxfId="655" priority="21" operator="containsText" text="FAIL">
      <formula>NOT(ISERROR(SEARCH("FAIL",I9)))</formula>
    </cfRule>
  </conditionalFormatting>
  <conditionalFormatting sqref="I9">
    <cfRule type="containsText" dxfId="654" priority="20" operator="containsText" text="GOOD">
      <formula>NOT(ISERROR(SEARCH("GOOD",I9)))</formula>
    </cfRule>
  </conditionalFormatting>
  <conditionalFormatting sqref="I9">
    <cfRule type="containsText" dxfId="653" priority="19" operator="containsText" text="FAIL">
      <formula>NOT(ISERROR(SEARCH("FAIL",I9)))</formula>
    </cfRule>
  </conditionalFormatting>
  <conditionalFormatting sqref="I9">
    <cfRule type="containsText" dxfId="652" priority="18" operator="containsText" text="GOOD">
      <formula>NOT(ISERROR(SEARCH("GOOD",I9)))</formula>
    </cfRule>
  </conditionalFormatting>
  <conditionalFormatting sqref="F11">
    <cfRule type="containsText" dxfId="651" priority="17" operator="containsText" text="FAIL">
      <formula>NOT(ISERROR(SEARCH("FAIL",F11)))</formula>
    </cfRule>
  </conditionalFormatting>
  <conditionalFormatting sqref="F11">
    <cfRule type="containsText" dxfId="650" priority="16" operator="containsText" text="GOOD">
      <formula>NOT(ISERROR(SEARCH("GOOD",F11)))</formula>
    </cfRule>
  </conditionalFormatting>
  <conditionalFormatting sqref="I9">
    <cfRule type="containsText" dxfId="649" priority="15" operator="containsText" text="FAIL">
      <formula>NOT(ISERROR(SEARCH("FAIL",I9)))</formula>
    </cfRule>
  </conditionalFormatting>
  <conditionalFormatting sqref="I9">
    <cfRule type="containsText" dxfId="648" priority="14" operator="containsText" text="GOOD">
      <formula>NOT(ISERROR(SEARCH("GOOD",I9)))</formula>
    </cfRule>
  </conditionalFormatting>
  <conditionalFormatting sqref="F11">
    <cfRule type="containsText" dxfId="647" priority="13" operator="containsText" text="FAIL">
      <formula>NOT(ISERROR(SEARCH("FAIL",F11)))</formula>
    </cfRule>
  </conditionalFormatting>
  <conditionalFormatting sqref="F11">
    <cfRule type="containsText" dxfId="646" priority="12" operator="containsText" text="GOOD">
      <formula>NOT(ISERROR(SEARCH("GOOD",F11)))</formula>
    </cfRule>
  </conditionalFormatting>
  <conditionalFormatting sqref="D25">
    <cfRule type="expression" dxfId="645" priority="11" stopIfTrue="1">
      <formula>IF($H$25=1,0)</formula>
    </cfRule>
  </conditionalFormatting>
  <conditionalFormatting sqref="D23:D33 D35:D43">
    <cfRule type="expression" dxfId="644" priority="10">
      <formula>H23=1</formula>
    </cfRule>
  </conditionalFormatting>
  <conditionalFormatting sqref="C23:C33 C35:C43">
    <cfRule type="expression" dxfId="643" priority="9">
      <formula>H23=1</formula>
    </cfRule>
  </conditionalFormatting>
  <conditionalFormatting sqref="E23:E33 E35:E43">
    <cfRule type="expression" dxfId="642" priority="8">
      <formula>H23=1</formula>
    </cfRule>
  </conditionalFormatting>
  <conditionalFormatting sqref="E23:E33 E35:E43">
    <cfRule type="expression" dxfId="641" priority="7">
      <formula>H23=1</formula>
    </cfRule>
  </conditionalFormatting>
  <conditionalFormatting sqref="F11">
    <cfRule type="containsText" dxfId="640" priority="6" operator="containsText" text="FAIL">
      <formula>NOT(ISERROR(SEARCH("FAIL",F11)))</formula>
    </cfRule>
  </conditionalFormatting>
  <conditionalFormatting sqref="F11">
    <cfRule type="containsText" dxfId="639" priority="5" operator="containsText" text="GOOD">
      <formula>NOT(ISERROR(SEARCH("GOOD",F11)))</formula>
    </cfRule>
  </conditionalFormatting>
  <conditionalFormatting sqref="E34">
    <cfRule type="expression" dxfId="638" priority="1">
      <formula>H34=1</formula>
    </cfRule>
  </conditionalFormatting>
  <conditionalFormatting sqref="D34">
    <cfRule type="expression" dxfId="637" priority="4">
      <formula>H34=1</formula>
    </cfRule>
  </conditionalFormatting>
  <conditionalFormatting sqref="C34">
    <cfRule type="expression" dxfId="636" priority="3">
      <formula>H34=1</formula>
    </cfRule>
  </conditionalFormatting>
  <conditionalFormatting sqref="E34">
    <cfRule type="expression" dxfId="635" priority="2">
      <formula>H34=1</formula>
    </cfRule>
  </conditionalFormatting>
  <pageMargins left="0.7" right="0.7" top="0.75" bottom="0.75" header="0.3" footer="0.3"/>
  <pageSetup scale="68" orientation="portrait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2:O55"/>
  <sheetViews>
    <sheetView topLeftCell="A4" zoomScaleNormal="100" workbookViewId="0">
      <selection activeCell="J7" sqref="J7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4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4" ht="18.75" x14ac:dyDescent="0.3">
      <c r="C3" s="3" t="s">
        <v>26</v>
      </c>
      <c r="J3" s="8" t="s">
        <v>48</v>
      </c>
    </row>
    <row r="4" spans="1:14" x14ac:dyDescent="0.25">
      <c r="C4" s="1"/>
      <c r="D4" s="2" t="s">
        <v>0</v>
      </c>
      <c r="E4" s="1"/>
      <c r="F4" t="s">
        <v>503</v>
      </c>
      <c r="I4" s="2" t="s">
        <v>4</v>
      </c>
      <c r="J4" t="s">
        <v>504</v>
      </c>
    </row>
    <row r="5" spans="1:14" x14ac:dyDescent="0.25">
      <c r="D5" s="2" t="s">
        <v>1</v>
      </c>
      <c r="F5" t="s">
        <v>518</v>
      </c>
    </row>
    <row r="6" spans="1:14" x14ac:dyDescent="0.25">
      <c r="D6" s="2" t="s">
        <v>2</v>
      </c>
      <c r="F6" s="6">
        <v>42411</v>
      </c>
      <c r="H6" s="11"/>
    </row>
    <row r="7" spans="1:14" x14ac:dyDescent="0.25">
      <c r="D7" s="2" t="s">
        <v>3</v>
      </c>
      <c r="F7" s="5">
        <f>+K7+J7+I7</f>
        <v>69865000</v>
      </c>
      <c r="G7" s="2" t="s">
        <v>34</v>
      </c>
      <c r="H7" s="11"/>
      <c r="I7" s="19">
        <v>6420000</v>
      </c>
      <c r="J7" s="19">
        <f>55580000+1005000+160000</f>
        <v>56745000</v>
      </c>
      <c r="K7" s="19">
        <f>6700000</f>
        <v>6700000</v>
      </c>
      <c r="L7" s="20">
        <v>0.1</v>
      </c>
    </row>
    <row r="8" spans="1:14" x14ac:dyDescent="0.25">
      <c r="D8" s="2" t="s">
        <v>18</v>
      </c>
      <c r="F8" s="5">
        <f>MIN(L23:L43)</f>
        <v>57000000</v>
      </c>
      <c r="H8" s="11"/>
      <c r="I8" s="18" t="s">
        <v>43</v>
      </c>
      <c r="J8" s="18" t="s">
        <v>44</v>
      </c>
      <c r="K8" s="18" t="s">
        <v>49</v>
      </c>
      <c r="L8" s="18" t="s">
        <v>50</v>
      </c>
    </row>
    <row r="9" spans="1:14" x14ac:dyDescent="0.25">
      <c r="D9" s="2" t="s">
        <v>19</v>
      </c>
      <c r="F9" s="4">
        <f>+F8-F7</f>
        <v>-12865000</v>
      </c>
      <c r="G9" s="16">
        <f>+F9/F7</f>
        <v>-0.18414084305446218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4" x14ac:dyDescent="0.25">
      <c r="D10" s="2" t="s">
        <v>68</v>
      </c>
      <c r="F10" s="4">
        <f>+F7-F12</f>
        <v>-2882881.4545454532</v>
      </c>
      <c r="H10" s="11"/>
      <c r="K10" s="31"/>
      <c r="N10" t="e">
        <f>LOOKUP(1,D23:D43)</f>
        <v>#N/A</v>
      </c>
    </row>
    <row r="11" spans="1:14" x14ac:dyDescent="0.25">
      <c r="A11" s="30"/>
      <c r="D11" s="2" t="s">
        <v>71</v>
      </c>
      <c r="F11" s="11" t="str">
        <f>(IF(F7&lt;J12,"FAIL",IF(F7&gt;J13,"FAIL","GOOD")))</f>
        <v>GOOD</v>
      </c>
      <c r="H11" s="11"/>
      <c r="L11" s="31"/>
      <c r="N11" t="e">
        <f>MATCH(1,D23:H43,0)</f>
        <v>#N/A</v>
      </c>
    </row>
    <row r="12" spans="1:14" x14ac:dyDescent="0.25">
      <c r="D12" s="2" t="s">
        <v>28</v>
      </c>
      <c r="F12" s="4">
        <f>SUM(L23:L43)/H12</f>
        <v>72747881.454545453</v>
      </c>
      <c r="G12" s="14"/>
      <c r="H12" s="11">
        <f>COUNT(L23:L43)</f>
        <v>11</v>
      </c>
      <c r="I12" s="1" t="s">
        <v>31</v>
      </c>
      <c r="J12" s="4">
        <f>+F8*0.9</f>
        <v>51300000</v>
      </c>
      <c r="K12" s="1" t="s">
        <v>69</v>
      </c>
      <c r="N12" t="str">
        <f>INDEX(D23:D43,MATCH(1,H23:H43,0))</f>
        <v>Judlau</v>
      </c>
    </row>
    <row r="13" spans="1:14" x14ac:dyDescent="0.25">
      <c r="D13" s="2" t="s">
        <v>29</v>
      </c>
      <c r="F13" s="4">
        <f>MAX(L23:L43)-MIN(L23:L43)</f>
        <v>29369256</v>
      </c>
      <c r="G13" s="269">
        <f>MEDIAN(L23:L43)</f>
        <v>73387740</v>
      </c>
      <c r="H13" s="270"/>
      <c r="I13" s="1" t="s">
        <v>30</v>
      </c>
      <c r="J13" s="4">
        <f>+F12*1.1</f>
        <v>80022669.600000009</v>
      </c>
      <c r="K13" s="1" t="s">
        <v>70</v>
      </c>
    </row>
    <row r="14" spans="1:14" x14ac:dyDescent="0.25">
      <c r="H14" s="11"/>
    </row>
    <row r="15" spans="1:14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4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42</v>
      </c>
      <c r="L21" s="10" t="s">
        <v>39</v>
      </c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505</v>
      </c>
      <c r="E23" s="33"/>
      <c r="F23" t="s">
        <v>289</v>
      </c>
      <c r="G23" t="s">
        <v>93</v>
      </c>
      <c r="H23">
        <f>RANK(L23,L$23:L$43,1)</f>
        <v>5</v>
      </c>
      <c r="I23" s="4">
        <v>4676450</v>
      </c>
      <c r="J23" s="4">
        <f>55660550+204000</f>
        <v>55864550</v>
      </c>
      <c r="K23" s="7">
        <v>0.1</v>
      </c>
      <c r="L23" s="4">
        <f>+I23+J23+(K23*K$7)+$K$7</f>
        <v>67911000</v>
      </c>
      <c r="M23" s="22"/>
      <c r="N23" s="22"/>
      <c r="O23" s="22"/>
    </row>
    <row r="24" spans="3:15" x14ac:dyDescent="0.25">
      <c r="C24" s="33" t="str">
        <f>IF(H24=1,"u","")</f>
        <v/>
      </c>
      <c r="D24" s="11" t="s">
        <v>506</v>
      </c>
      <c r="E24" s="33"/>
      <c r="F24" t="s">
        <v>40</v>
      </c>
      <c r="G24" t="s">
        <v>25</v>
      </c>
      <c r="H24">
        <f t="shared" ref="H24:H29" si="0">RANK(L24,L$23:L$43,1)</f>
        <v>7</v>
      </c>
      <c r="I24" s="4">
        <v>5482450</v>
      </c>
      <c r="J24" s="4">
        <f>66357550+200000</f>
        <v>66557550</v>
      </c>
      <c r="K24" s="7">
        <v>0.15</v>
      </c>
      <c r="L24" s="4">
        <f t="shared" ref="L24:L29" si="1">+I24+J24+(K24*K$7)+$K$7</f>
        <v>79745000</v>
      </c>
      <c r="M24" s="22"/>
      <c r="N24" s="22"/>
      <c r="O24" s="22"/>
    </row>
    <row r="25" spans="3:15" x14ac:dyDescent="0.25">
      <c r="C25" s="33" t="str">
        <f>IF(H25=1,"u","")</f>
        <v/>
      </c>
      <c r="D25" s="11" t="s">
        <v>507</v>
      </c>
      <c r="E25" s="33"/>
      <c r="F25" t="s">
        <v>137</v>
      </c>
      <c r="G25" t="s">
        <v>25</v>
      </c>
      <c r="H25">
        <f t="shared" si="0"/>
        <v>2</v>
      </c>
      <c r="I25" s="4">
        <v>4838950</v>
      </c>
      <c r="J25" s="4">
        <f>46283250+124800</f>
        <v>46408050</v>
      </c>
      <c r="K25" s="7">
        <v>0.1</v>
      </c>
      <c r="L25" s="4">
        <f t="shared" si="1"/>
        <v>58617000</v>
      </c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11" t="s">
        <v>508</v>
      </c>
      <c r="E26" s="33"/>
      <c r="F26" t="s">
        <v>509</v>
      </c>
      <c r="G26" t="s">
        <v>93</v>
      </c>
      <c r="H26">
        <f t="shared" si="0"/>
        <v>3</v>
      </c>
      <c r="I26" s="4">
        <v>4209150</v>
      </c>
      <c r="J26" s="4">
        <f>49750000+144000</f>
        <v>49894000</v>
      </c>
      <c r="K26" s="7">
        <v>0.05</v>
      </c>
      <c r="L26" s="4">
        <f t="shared" si="1"/>
        <v>61138150</v>
      </c>
      <c r="M26" s="22"/>
      <c r="N26" s="22"/>
      <c r="O26" s="22"/>
    </row>
    <row r="27" spans="3:15" x14ac:dyDescent="0.25">
      <c r="C27" s="33" t="str">
        <f t="shared" si="2"/>
        <v/>
      </c>
      <c r="D27" s="11" t="s">
        <v>510</v>
      </c>
      <c r="E27" s="33"/>
      <c r="F27" t="s">
        <v>486</v>
      </c>
      <c r="G27" t="s">
        <v>25</v>
      </c>
      <c r="H27">
        <f t="shared" si="0"/>
        <v>6</v>
      </c>
      <c r="I27" s="4">
        <v>5147800</v>
      </c>
      <c r="J27" s="4">
        <f>60576940+159000</f>
        <v>60735940</v>
      </c>
      <c r="K27" s="7">
        <v>0.12</v>
      </c>
      <c r="L27" s="4">
        <f t="shared" si="1"/>
        <v>73387740</v>
      </c>
      <c r="M27" s="22"/>
      <c r="N27" s="22"/>
      <c r="O27" s="22"/>
    </row>
    <row r="28" spans="3:15" x14ac:dyDescent="0.25">
      <c r="C28" s="33" t="str">
        <f t="shared" si="2"/>
        <v/>
      </c>
      <c r="D28" s="11" t="s">
        <v>511</v>
      </c>
      <c r="E28" s="33"/>
      <c r="F28" t="s">
        <v>512</v>
      </c>
      <c r="G28" t="s">
        <v>25</v>
      </c>
      <c r="H28">
        <f t="shared" si="0"/>
        <v>8</v>
      </c>
      <c r="I28" s="4">
        <v>5832100</v>
      </c>
      <c r="J28" s="4">
        <f>66981900+84000</f>
        <v>67065900</v>
      </c>
      <c r="K28" s="7">
        <v>0.1</v>
      </c>
      <c r="L28" s="4">
        <f t="shared" si="1"/>
        <v>80268000</v>
      </c>
      <c r="M28" s="22"/>
      <c r="N28" s="22"/>
      <c r="O28" s="22"/>
    </row>
    <row r="29" spans="3:15" x14ac:dyDescent="0.25">
      <c r="C29" s="33" t="str">
        <f t="shared" si="2"/>
        <v/>
      </c>
      <c r="D29" s="11" t="s">
        <v>513</v>
      </c>
      <c r="E29" s="33"/>
      <c r="F29" t="s">
        <v>397</v>
      </c>
      <c r="G29" t="s">
        <v>25</v>
      </c>
      <c r="H29">
        <f t="shared" si="0"/>
        <v>11</v>
      </c>
      <c r="I29" s="4">
        <v>7092700</v>
      </c>
      <c r="J29" s="4">
        <f>71116556+120000</f>
        <v>71236556</v>
      </c>
      <c r="K29" s="7">
        <v>0.2</v>
      </c>
      <c r="L29" s="4">
        <f t="shared" si="1"/>
        <v>86369256</v>
      </c>
      <c r="M29" s="22"/>
      <c r="N29" s="22"/>
      <c r="O29" s="22"/>
    </row>
    <row r="30" spans="3:15" x14ac:dyDescent="0.25">
      <c r="C30" s="33" t="str">
        <f>IF(H30=1,"u","")</f>
        <v/>
      </c>
      <c r="D30" s="11" t="s">
        <v>514</v>
      </c>
      <c r="E30" s="33"/>
      <c r="F30" t="s">
        <v>131</v>
      </c>
      <c r="G30" t="s">
        <v>25</v>
      </c>
      <c r="H30">
        <f>RANK(L30,L$23:L$43,1)</f>
        <v>10</v>
      </c>
      <c r="I30" s="4">
        <v>3452550</v>
      </c>
      <c r="J30" s="4">
        <f>74400000+144000</f>
        <v>74544000</v>
      </c>
      <c r="K30" s="7">
        <v>0.15</v>
      </c>
      <c r="L30" s="4">
        <f>+I30+J30+(K30*K$7)+$K$7</f>
        <v>85701550</v>
      </c>
      <c r="M30" s="22"/>
      <c r="N30" s="22" t="s">
        <v>519</v>
      </c>
      <c r="O30" s="22"/>
    </row>
    <row r="31" spans="3:15" x14ac:dyDescent="0.25">
      <c r="C31" s="33" t="str">
        <f>IF(H31=1,"u","")</f>
        <v>u</v>
      </c>
      <c r="D31" s="11" t="s">
        <v>515</v>
      </c>
      <c r="E31" s="33"/>
      <c r="F31" t="s">
        <v>92</v>
      </c>
      <c r="G31" t="s">
        <v>93</v>
      </c>
      <c r="H31">
        <f>RANK(L31,L$23:L$43,1)</f>
        <v>1</v>
      </c>
      <c r="I31" s="4">
        <v>5318700</v>
      </c>
      <c r="J31" s="4">
        <f>44724180+123120</f>
        <v>44847300</v>
      </c>
      <c r="K31" s="7">
        <v>0.02</v>
      </c>
      <c r="L31" s="4">
        <f>+I31+J31+(K31*K$7)+$K$7</f>
        <v>57000000</v>
      </c>
      <c r="M31" s="22"/>
      <c r="N31" s="22"/>
      <c r="O31" s="22"/>
    </row>
    <row r="32" spans="3:15" x14ac:dyDescent="0.25">
      <c r="C32" s="33" t="str">
        <f>IF(H32=1,"u","")</f>
        <v/>
      </c>
      <c r="D32" s="11" t="s">
        <v>516</v>
      </c>
      <c r="E32" s="33"/>
      <c r="F32" t="s">
        <v>145</v>
      </c>
      <c r="G32" t="s">
        <v>25</v>
      </c>
      <c r="H32">
        <f>RANK(L32,L$23:L$43,1)</f>
        <v>4</v>
      </c>
      <c r="I32" s="4">
        <v>2780600</v>
      </c>
      <c r="J32" s="4">
        <f>54978000+110400</f>
        <v>55088400</v>
      </c>
      <c r="K32" s="7">
        <v>0</v>
      </c>
      <c r="L32" s="4">
        <f>+I32+J32+(K32*K$7)+$K$7</f>
        <v>64569000</v>
      </c>
      <c r="M32" s="22"/>
      <c r="N32" s="22"/>
      <c r="O32" s="22"/>
    </row>
    <row r="33" spans="3:15" x14ac:dyDescent="0.25">
      <c r="C33" s="33" t="str">
        <f>IF(H33=1,"u","")</f>
        <v/>
      </c>
      <c r="D33" s="11" t="s">
        <v>517</v>
      </c>
      <c r="E33" s="33"/>
      <c r="F33" t="s">
        <v>170</v>
      </c>
      <c r="G33" t="s">
        <v>93</v>
      </c>
      <c r="H33">
        <f>RANK(L33,L$23:L$43,1)</f>
        <v>9</v>
      </c>
      <c r="I33" s="4">
        <v>8199900</v>
      </c>
      <c r="J33" s="4">
        <f>69040100+240000</f>
        <v>69280100</v>
      </c>
      <c r="K33" s="7">
        <v>0.2</v>
      </c>
      <c r="L33" s="4">
        <f>+I33+J33+(K33*K$7)+$K$7</f>
        <v>85520000</v>
      </c>
      <c r="M33" s="22"/>
      <c r="N33" s="22"/>
      <c r="O33" s="22"/>
    </row>
    <row r="34" spans="3:15" x14ac:dyDescent="0.25">
      <c r="C34" s="33"/>
      <c r="D34" s="11"/>
      <c r="E34" s="33"/>
      <c r="I34" s="4"/>
      <c r="J34" s="4"/>
      <c r="K34" s="7"/>
      <c r="L34" s="4"/>
      <c r="M34" s="22"/>
      <c r="N34" s="22"/>
      <c r="O34" s="22"/>
    </row>
    <row r="35" spans="3:15" x14ac:dyDescent="0.25">
      <c r="C35" s="33" t="str">
        <f t="shared" si="2"/>
        <v/>
      </c>
      <c r="D35" s="11"/>
      <c r="E35" s="33" t="str">
        <f t="shared" ref="E35:E43" si="3">IF(H35=1,"t","")</f>
        <v/>
      </c>
      <c r="K35" s="7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 t="str">
        <f t="shared" si="3"/>
        <v/>
      </c>
      <c r="K36" s="7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7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7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7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7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7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7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7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  <c r="M47" s="21"/>
      <c r="N47" s="21"/>
      <c r="O47" s="21"/>
    </row>
    <row r="49" spans="3:12" ht="18.75" x14ac:dyDescent="0.3">
      <c r="C49" s="3" t="s">
        <v>534</v>
      </c>
      <c r="I49" s="2" t="s">
        <v>535</v>
      </c>
      <c r="J49" t="s">
        <v>536</v>
      </c>
      <c r="K49" s="2" t="s">
        <v>537</v>
      </c>
      <c r="L49" s="6">
        <v>42424</v>
      </c>
    </row>
    <row r="50" spans="3:12" x14ac:dyDescent="0.25">
      <c r="C50" s="1"/>
      <c r="D50" s="2" t="str">
        <f>+D4</f>
        <v>Project # :</v>
      </c>
      <c r="E50" s="1"/>
      <c r="F50" t="str">
        <f>+F4</f>
        <v>GWB-244.150</v>
      </c>
      <c r="I50" s="2" t="str">
        <f>+I4</f>
        <v>Est Prepared By :</v>
      </c>
      <c r="J50" t="str">
        <f>+J4</f>
        <v>Reddy Gunda and Henry Yu</v>
      </c>
    </row>
    <row r="51" spans="3:12" x14ac:dyDescent="0.25">
      <c r="D51" s="2" t="str">
        <f>+D5</f>
        <v>Project Name :</v>
      </c>
      <c r="F51" t="str">
        <f>+F5</f>
        <v>GWB - Replacement of PIP Helix, et. al.</v>
      </c>
    </row>
    <row r="52" spans="3:12" x14ac:dyDescent="0.25">
      <c r="D52" s="2" t="str">
        <f>+D6</f>
        <v>Bid Date :</v>
      </c>
      <c r="F52" s="6">
        <f>+F6</f>
        <v>42411</v>
      </c>
      <c r="H52" s="2"/>
      <c r="I52" s="6"/>
    </row>
    <row r="53" spans="3:12" x14ac:dyDescent="0.25">
      <c r="D53" s="2" t="str">
        <f t="shared" ref="D53:L53" si="4">+D7</f>
        <v>PANYNJ Engr's Estimate:</v>
      </c>
      <c r="F53" s="5">
        <f t="shared" si="4"/>
        <v>69865000</v>
      </c>
      <c r="G53" s="2" t="str">
        <f t="shared" si="4"/>
        <v>Public</v>
      </c>
      <c r="H53" s="11"/>
      <c r="I53" s="19">
        <f t="shared" si="4"/>
        <v>6420000</v>
      </c>
      <c r="J53" s="19">
        <f t="shared" si="4"/>
        <v>56745000</v>
      </c>
      <c r="K53" s="19">
        <f t="shared" si="4"/>
        <v>6700000</v>
      </c>
      <c r="L53" s="20">
        <f t="shared" si="4"/>
        <v>0.1</v>
      </c>
    </row>
    <row r="54" spans="3:12" x14ac:dyDescent="0.25">
      <c r="D54" s="2" t="str">
        <f>+D8</f>
        <v>Low Bidder :</v>
      </c>
      <c r="F54" s="5">
        <f>+F8</f>
        <v>57000000</v>
      </c>
      <c r="H54" s="11"/>
      <c r="I54" s="18" t="str">
        <f>+I8</f>
        <v>^^ Classified ^^</v>
      </c>
      <c r="J54" s="18" t="str">
        <f>+J8</f>
        <v>^^Unclassified^^</v>
      </c>
      <c r="K54" s="18" t="str">
        <f>+K8</f>
        <v>^^  Net Cost  ^^</v>
      </c>
      <c r="L54" s="18" t="str">
        <f>+L8</f>
        <v>^^  % on Net  ^^</v>
      </c>
    </row>
    <row r="55" spans="3:12" x14ac:dyDescent="0.25">
      <c r="D55" s="2" t="str">
        <f>+D9</f>
        <v>Variance :</v>
      </c>
      <c r="F55" s="5">
        <f>+F9</f>
        <v>-12865000</v>
      </c>
      <c r="G55" s="16"/>
      <c r="H55" s="12"/>
      <c r="I55" s="11"/>
      <c r="J55" s="14"/>
    </row>
  </sheetData>
  <mergeCells count="1">
    <mergeCell ref="G13:H13"/>
  </mergeCells>
  <conditionalFormatting sqref="I9 F11">
    <cfRule type="containsText" dxfId="634" priority="15" operator="containsText" text="FAIL">
      <formula>NOT(ISERROR(SEARCH("FAIL",F9)))</formula>
    </cfRule>
  </conditionalFormatting>
  <conditionalFormatting sqref="I9 F11">
    <cfRule type="containsText" dxfId="633" priority="14" operator="containsText" text="GOOD">
      <formula>NOT(ISERROR(SEARCH("GOOD",F9)))</formula>
    </cfRule>
  </conditionalFormatting>
  <conditionalFormatting sqref="I9">
    <cfRule type="containsText" dxfId="632" priority="13" operator="containsText" text="FAIL">
      <formula>NOT(ISERROR(SEARCH("FAIL",I9)))</formula>
    </cfRule>
  </conditionalFormatting>
  <conditionalFormatting sqref="I9">
    <cfRule type="containsText" dxfId="631" priority="12" operator="containsText" text="GOOD">
      <formula>NOT(ISERROR(SEARCH("GOOD",I9)))</formula>
    </cfRule>
  </conditionalFormatting>
  <conditionalFormatting sqref="D25">
    <cfRule type="expression" dxfId="630" priority="11" stopIfTrue="1">
      <formula>IF($H$25=1,0)</formula>
    </cfRule>
  </conditionalFormatting>
  <conditionalFormatting sqref="D23:D29 D35:D43">
    <cfRule type="expression" dxfId="629" priority="10">
      <formula>H23=1</formula>
    </cfRule>
  </conditionalFormatting>
  <conditionalFormatting sqref="C23:C29 C35:C43">
    <cfRule type="expression" dxfId="628" priority="9">
      <formula>H23=1</formula>
    </cfRule>
  </conditionalFormatting>
  <conditionalFormatting sqref="E23:E29 E35:E43">
    <cfRule type="expression" dxfId="627" priority="8">
      <formula>H23=1</formula>
    </cfRule>
  </conditionalFormatting>
  <conditionalFormatting sqref="E30:E34">
    <cfRule type="expression" dxfId="626" priority="5">
      <formula>H30=1</formula>
    </cfRule>
  </conditionalFormatting>
  <conditionalFormatting sqref="D30:D34">
    <cfRule type="expression" dxfId="625" priority="7">
      <formula>H30=1</formula>
    </cfRule>
  </conditionalFormatting>
  <conditionalFormatting sqref="C30:C34">
    <cfRule type="expression" dxfId="624" priority="6">
      <formula>H30=1</formula>
    </cfRule>
  </conditionalFormatting>
  <conditionalFormatting sqref="I55">
    <cfRule type="containsText" dxfId="623" priority="4" operator="containsText" text="FAIL">
      <formula>NOT(ISERROR(SEARCH("FAIL",I55)))</formula>
    </cfRule>
  </conditionalFormatting>
  <conditionalFormatting sqref="I55">
    <cfRule type="containsText" dxfId="622" priority="3" operator="containsText" text="GOOD">
      <formula>NOT(ISERROR(SEARCH("GOOD",I55)))</formula>
    </cfRule>
  </conditionalFormatting>
  <conditionalFormatting sqref="I55">
    <cfRule type="containsText" dxfId="621" priority="2" operator="containsText" text="FAIL">
      <formula>NOT(ISERROR(SEARCH("FAIL",I55)))</formula>
    </cfRule>
  </conditionalFormatting>
  <conditionalFormatting sqref="I55">
    <cfRule type="containsText" dxfId="620" priority="1" operator="containsText" text="GOOD">
      <formula>NOT(ISERROR(SEARCH("GOOD",I55)))</formula>
    </cfRule>
  </conditionalFormatting>
  <pageMargins left="0.7" right="0.7" top="0.75" bottom="0.75" header="0.3" footer="0.3"/>
  <pageSetup scale="73" orientation="portrait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2:O47"/>
  <sheetViews>
    <sheetView zoomScaleNormal="100" workbookViewId="0">
      <selection activeCell="K23" sqref="K2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538</v>
      </c>
      <c r="I4" s="2" t="s">
        <v>4</v>
      </c>
      <c r="J4" t="s">
        <v>494</v>
      </c>
    </row>
    <row r="5" spans="1:11" x14ac:dyDescent="0.25">
      <c r="D5" s="2" t="s">
        <v>1</v>
      </c>
      <c r="F5" t="s">
        <v>539</v>
      </c>
    </row>
    <row r="6" spans="1:11" x14ac:dyDescent="0.25">
      <c r="D6" s="2" t="s">
        <v>2</v>
      </c>
      <c r="F6" s="6">
        <v>42404</v>
      </c>
      <c r="H6" s="11"/>
    </row>
    <row r="7" spans="1:11" x14ac:dyDescent="0.25">
      <c r="D7" s="2" t="s">
        <v>3</v>
      </c>
      <c r="F7" s="5">
        <f>+I7+J7</f>
        <v>4072000</v>
      </c>
      <c r="G7" s="2" t="s">
        <v>34</v>
      </c>
      <c r="H7" s="11"/>
      <c r="I7" s="19">
        <v>1374000</v>
      </c>
      <c r="J7" s="19">
        <v>2698000</v>
      </c>
    </row>
    <row r="8" spans="1:11" x14ac:dyDescent="0.25">
      <c r="D8" s="2" t="s">
        <v>18</v>
      </c>
      <c r="F8" s="5">
        <f>MIN(K23:K43)</f>
        <v>2733000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-1339000</v>
      </c>
      <c r="G9" s="16">
        <f>+F9/F7</f>
        <v>-0.3288310412573674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657026.33333333349</v>
      </c>
      <c r="H10" s="11"/>
    </row>
    <row r="11" spans="1:11" x14ac:dyDescent="0.25">
      <c r="A11" s="52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SUM(K23:K43)/H12</f>
        <v>3414973.6666666665</v>
      </c>
      <c r="G12" s="14"/>
      <c r="H12" s="11">
        <f>COUNT(K23:K43)</f>
        <v>3</v>
      </c>
      <c r="I12" s="1" t="s">
        <v>31</v>
      </c>
      <c r="J12" s="4">
        <f>+F8*0.9</f>
        <v>2459700</v>
      </c>
      <c r="K12" s="1" t="s">
        <v>69</v>
      </c>
    </row>
    <row r="13" spans="1:11" x14ac:dyDescent="0.25">
      <c r="D13" s="2" t="s">
        <v>29</v>
      </c>
      <c r="F13" s="4">
        <f>MAX(K23:K43)-MIN(K23:K43)</f>
        <v>1631425</v>
      </c>
      <c r="G13" s="269">
        <f>MEDIAN(K23:K43)</f>
        <v>3147496</v>
      </c>
      <c r="H13" s="270"/>
      <c r="I13" s="1" t="s">
        <v>30</v>
      </c>
      <c r="J13" s="4">
        <f>+F12*1.1</f>
        <v>3756471.0333333337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540</v>
      </c>
      <c r="E23" s="33"/>
      <c r="F23" t="s">
        <v>222</v>
      </c>
      <c r="G23" t="s">
        <v>25</v>
      </c>
      <c r="H23">
        <f>RANK(K23,K$23:K$43,1)</f>
        <v>2</v>
      </c>
      <c r="I23" s="4">
        <v>639000</v>
      </c>
      <c r="J23" s="4">
        <v>2508496</v>
      </c>
      <c r="K23" s="4">
        <f>+J23+I23</f>
        <v>3147496</v>
      </c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541</v>
      </c>
      <c r="E24" s="33"/>
      <c r="F24" t="s">
        <v>159</v>
      </c>
      <c r="G24" t="s">
        <v>93</v>
      </c>
      <c r="H24">
        <f>RANK(K24,K$23:K$43,1)</f>
        <v>1</v>
      </c>
      <c r="I24" s="4">
        <v>933000</v>
      </c>
      <c r="J24" s="4">
        <v>1800000</v>
      </c>
      <c r="K24" s="4">
        <f>+J24+I24</f>
        <v>2733000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542</v>
      </c>
      <c r="E25" s="33"/>
      <c r="F25" t="s">
        <v>161</v>
      </c>
      <c r="G25" t="s">
        <v>93</v>
      </c>
      <c r="H25">
        <f>RANK(K25,K$23:K$43,1)</f>
        <v>3</v>
      </c>
      <c r="I25" s="4">
        <v>1192650</v>
      </c>
      <c r="J25" s="4">
        <v>3171775</v>
      </c>
      <c r="K25" s="4">
        <f>+J25+I25</f>
        <v>4364425</v>
      </c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/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/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/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/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/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ref="C34:C43" si="0">IF(H34=1,"u","")</f>
        <v/>
      </c>
      <c r="D34" s="11"/>
      <c r="E34" s="33" t="str">
        <f t="shared" ref="E34:E43" si="1">IF(H34=1,"t","")</f>
        <v/>
      </c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619" priority="19" operator="containsText" text="FAIL">
      <formula>NOT(ISERROR(SEARCH("FAIL",I9)))</formula>
    </cfRule>
  </conditionalFormatting>
  <conditionalFormatting sqref="I9">
    <cfRule type="containsText" dxfId="618" priority="18" operator="containsText" text="GOOD">
      <formula>NOT(ISERROR(SEARCH("GOOD",I9)))</formula>
    </cfRule>
  </conditionalFormatting>
  <conditionalFormatting sqref="I9">
    <cfRule type="containsText" dxfId="617" priority="17" operator="containsText" text="FAIL">
      <formula>NOT(ISERROR(SEARCH("FAIL",I9)))</formula>
    </cfRule>
  </conditionalFormatting>
  <conditionalFormatting sqref="I9">
    <cfRule type="containsText" dxfId="616" priority="16" operator="containsText" text="GOOD">
      <formula>NOT(ISERROR(SEARCH("GOOD",I9)))</formula>
    </cfRule>
  </conditionalFormatting>
  <conditionalFormatting sqref="I9">
    <cfRule type="containsText" dxfId="615" priority="15" operator="containsText" text="FAIL">
      <formula>NOT(ISERROR(SEARCH("FAIL",I9)))</formula>
    </cfRule>
  </conditionalFormatting>
  <conditionalFormatting sqref="I9">
    <cfRule type="containsText" dxfId="614" priority="14" operator="containsText" text="GOOD">
      <formula>NOT(ISERROR(SEARCH("GOOD",I9)))</formula>
    </cfRule>
  </conditionalFormatting>
  <conditionalFormatting sqref="F11">
    <cfRule type="containsText" dxfId="613" priority="13" operator="containsText" text="FAIL">
      <formula>NOT(ISERROR(SEARCH("FAIL",F11)))</formula>
    </cfRule>
  </conditionalFormatting>
  <conditionalFormatting sqref="F11">
    <cfRule type="containsText" dxfId="612" priority="12" operator="containsText" text="GOOD">
      <formula>NOT(ISERROR(SEARCH("GOOD",F11)))</formula>
    </cfRule>
  </conditionalFormatting>
  <conditionalFormatting sqref="I9">
    <cfRule type="containsText" dxfId="611" priority="11" operator="containsText" text="FAIL">
      <formula>NOT(ISERROR(SEARCH("FAIL",I9)))</formula>
    </cfRule>
  </conditionalFormatting>
  <conditionalFormatting sqref="I9">
    <cfRule type="containsText" dxfId="610" priority="10" operator="containsText" text="GOOD">
      <formula>NOT(ISERROR(SEARCH("GOOD",I9)))</formula>
    </cfRule>
  </conditionalFormatting>
  <conditionalFormatting sqref="F11">
    <cfRule type="containsText" dxfId="609" priority="9" operator="containsText" text="FAIL">
      <formula>NOT(ISERROR(SEARCH("FAIL",F11)))</formula>
    </cfRule>
  </conditionalFormatting>
  <conditionalFormatting sqref="F11">
    <cfRule type="containsText" dxfId="608" priority="8" operator="containsText" text="GOOD">
      <formula>NOT(ISERROR(SEARCH("GOOD",F11)))</formula>
    </cfRule>
  </conditionalFormatting>
  <conditionalFormatting sqref="D25">
    <cfRule type="expression" dxfId="607" priority="7" stopIfTrue="1">
      <formula>IF($H$25=1,0)</formula>
    </cfRule>
  </conditionalFormatting>
  <conditionalFormatting sqref="D23:D43">
    <cfRule type="expression" dxfId="606" priority="6">
      <formula>H23=1</formula>
    </cfRule>
  </conditionalFormatting>
  <conditionalFormatting sqref="C23:C43">
    <cfRule type="expression" dxfId="605" priority="5">
      <formula>H23=1</formula>
    </cfRule>
  </conditionalFormatting>
  <conditionalFormatting sqref="E23:E43">
    <cfRule type="expression" dxfId="604" priority="4">
      <formula>H23=1</formula>
    </cfRule>
  </conditionalFormatting>
  <conditionalFormatting sqref="E23:E43">
    <cfRule type="expression" dxfId="603" priority="3">
      <formula>H23=1</formula>
    </cfRule>
  </conditionalFormatting>
  <conditionalFormatting sqref="F11">
    <cfRule type="containsText" dxfId="602" priority="2" operator="containsText" text="FAIL">
      <formula>NOT(ISERROR(SEARCH("FAIL",F11)))</formula>
    </cfRule>
  </conditionalFormatting>
  <conditionalFormatting sqref="F11">
    <cfRule type="containsText" dxfId="601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2:O47"/>
  <sheetViews>
    <sheetView zoomScaleNormal="100" workbookViewId="0">
      <selection activeCell="F4" sqref="F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493</v>
      </c>
      <c r="I4" s="2" t="s">
        <v>4</v>
      </c>
      <c r="J4" t="s">
        <v>494</v>
      </c>
    </row>
    <row r="5" spans="1:11" x14ac:dyDescent="0.25">
      <c r="D5" s="2" t="s">
        <v>1</v>
      </c>
      <c r="F5" t="s">
        <v>495</v>
      </c>
    </row>
    <row r="6" spans="1:11" x14ac:dyDescent="0.25">
      <c r="D6" s="2" t="s">
        <v>2</v>
      </c>
      <c r="F6" s="6">
        <v>42394</v>
      </c>
      <c r="H6" s="11"/>
    </row>
    <row r="7" spans="1:11" x14ac:dyDescent="0.25">
      <c r="D7" s="2" t="s">
        <v>3</v>
      </c>
      <c r="F7" s="5">
        <f>+I7+J7</f>
        <v>2530000</v>
      </c>
      <c r="G7" s="2" t="s">
        <v>34</v>
      </c>
      <c r="H7" s="11"/>
      <c r="I7" s="19">
        <v>5000</v>
      </c>
      <c r="J7" s="19">
        <v>2525000</v>
      </c>
    </row>
    <row r="8" spans="1:11" x14ac:dyDescent="0.25">
      <c r="D8" s="2" t="s">
        <v>18</v>
      </c>
      <c r="F8" s="5">
        <f>MIN(K23:K43)</f>
        <v>1836000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-694000</v>
      </c>
      <c r="G9" s="16">
        <f>+F9/F7</f>
        <v>-0.27430830039525694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-493514.28571428591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3023514.2857142859</v>
      </c>
      <c r="G12" s="14"/>
      <c r="H12" s="11">
        <f>COUNT(K23:K43)</f>
        <v>7</v>
      </c>
      <c r="I12" s="1" t="s">
        <v>31</v>
      </c>
      <c r="J12" s="4">
        <f>+F8*0.9</f>
        <v>1652400</v>
      </c>
      <c r="K12" s="1" t="s">
        <v>69</v>
      </c>
    </row>
    <row r="13" spans="1:11" x14ac:dyDescent="0.25">
      <c r="D13" s="2" t="s">
        <v>29</v>
      </c>
      <c r="F13" s="4">
        <f>MAX(K23:K43)-MIN(K23:K43)</f>
        <v>1939000</v>
      </c>
      <c r="G13" s="269">
        <f>MEDIAN(K23:K43)</f>
        <v>3257000</v>
      </c>
      <c r="H13" s="270"/>
      <c r="I13" s="1" t="s">
        <v>30</v>
      </c>
      <c r="J13" s="4">
        <f>+F12*1.1</f>
        <v>3325865.7142857146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496</v>
      </c>
      <c r="E23" s="33"/>
      <c r="F23" t="s">
        <v>295</v>
      </c>
      <c r="G23" t="s">
        <v>25</v>
      </c>
      <c r="H23">
        <f>RANK(K23,K$23:K$43,1)</f>
        <v>6</v>
      </c>
      <c r="I23" s="4">
        <v>15000</v>
      </c>
      <c r="J23" s="4">
        <v>3725000</v>
      </c>
      <c r="K23" s="4">
        <f>+J23+I23</f>
        <v>3740000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497</v>
      </c>
      <c r="E24" s="33"/>
      <c r="F24" t="s">
        <v>498</v>
      </c>
      <c r="G24" t="s">
        <v>93</v>
      </c>
      <c r="H24">
        <f t="shared" ref="H24:H29" si="0">RANK(K24,K$23:K$43,1)</f>
        <v>5</v>
      </c>
      <c r="I24" s="4">
        <v>7500</v>
      </c>
      <c r="J24" s="4">
        <v>3432500</v>
      </c>
      <c r="K24" s="4">
        <f t="shared" ref="K24:K29" si="1">+J24+I24</f>
        <v>3440000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491</v>
      </c>
      <c r="E25" s="33"/>
      <c r="F25" t="s">
        <v>203</v>
      </c>
      <c r="G25" t="s">
        <v>204</v>
      </c>
      <c r="H25">
        <f t="shared" si="0"/>
        <v>7</v>
      </c>
      <c r="I25" s="4">
        <v>7500</v>
      </c>
      <c r="J25" s="4">
        <v>3767500</v>
      </c>
      <c r="K25" s="4">
        <f t="shared" si="1"/>
        <v>3775000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11" t="s">
        <v>499</v>
      </c>
      <c r="E26" s="33"/>
      <c r="F26" t="s">
        <v>100</v>
      </c>
      <c r="G26" t="s">
        <v>93</v>
      </c>
      <c r="H26">
        <f t="shared" si="0"/>
        <v>3</v>
      </c>
      <c r="I26" s="4">
        <v>10250</v>
      </c>
      <c r="J26" s="4">
        <v>2610850</v>
      </c>
      <c r="K26" s="4">
        <f t="shared" si="1"/>
        <v>2621100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11" t="s">
        <v>500</v>
      </c>
      <c r="E27" s="33"/>
      <c r="F27" t="s">
        <v>501</v>
      </c>
      <c r="G27" t="s">
        <v>93</v>
      </c>
      <c r="H27">
        <f t="shared" si="0"/>
        <v>4</v>
      </c>
      <c r="I27" s="4">
        <v>49900</v>
      </c>
      <c r="J27" s="4">
        <v>3207100</v>
      </c>
      <c r="K27" s="4">
        <f t="shared" si="1"/>
        <v>3257000</v>
      </c>
      <c r="L27" s="4"/>
      <c r="M27" s="22"/>
      <c r="N27" s="22"/>
      <c r="O27" s="22"/>
    </row>
    <row r="28" spans="3:15" x14ac:dyDescent="0.25">
      <c r="C28" s="33" t="str">
        <f t="shared" si="2"/>
        <v>u</v>
      </c>
      <c r="D28" s="11" t="s">
        <v>450</v>
      </c>
      <c r="E28" s="33"/>
      <c r="F28" t="s">
        <v>451</v>
      </c>
      <c r="G28" t="s">
        <v>93</v>
      </c>
      <c r="H28">
        <f t="shared" si="0"/>
        <v>1</v>
      </c>
      <c r="I28" s="4">
        <v>20000</v>
      </c>
      <c r="J28" s="4">
        <v>1816000</v>
      </c>
      <c r="K28" s="4">
        <f t="shared" si="1"/>
        <v>1836000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11" t="s">
        <v>502</v>
      </c>
      <c r="E29" s="33"/>
      <c r="F29" t="s">
        <v>95</v>
      </c>
      <c r="G29" t="s">
        <v>93</v>
      </c>
      <c r="H29">
        <f t="shared" si="0"/>
        <v>2</v>
      </c>
      <c r="I29" s="4">
        <v>4500</v>
      </c>
      <c r="J29" s="4">
        <v>2491000</v>
      </c>
      <c r="K29" s="4">
        <f t="shared" si="1"/>
        <v>2495500</v>
      </c>
      <c r="L29" s="4"/>
      <c r="M29" s="22"/>
      <c r="N29" s="22"/>
      <c r="O29" s="22"/>
    </row>
    <row r="30" spans="3:15" x14ac:dyDescent="0.25">
      <c r="C30" s="33"/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/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/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/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 t="str">
        <f t="shared" ref="E34:E43" si="3">IF(H34=1,"t","")</f>
        <v/>
      </c>
      <c r="K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 t="str">
        <f t="shared" si="3"/>
        <v/>
      </c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 t="str">
        <f t="shared" si="3"/>
        <v/>
      </c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600" priority="19" operator="containsText" text="FAIL">
      <formula>NOT(ISERROR(SEARCH("FAIL",I9)))</formula>
    </cfRule>
  </conditionalFormatting>
  <conditionalFormatting sqref="I9">
    <cfRule type="containsText" dxfId="599" priority="18" operator="containsText" text="GOOD">
      <formula>NOT(ISERROR(SEARCH("GOOD",I9)))</formula>
    </cfRule>
  </conditionalFormatting>
  <conditionalFormatting sqref="I9">
    <cfRule type="containsText" dxfId="598" priority="17" operator="containsText" text="FAIL">
      <formula>NOT(ISERROR(SEARCH("FAIL",I9)))</formula>
    </cfRule>
  </conditionalFormatting>
  <conditionalFormatting sqref="I9">
    <cfRule type="containsText" dxfId="597" priority="16" operator="containsText" text="GOOD">
      <formula>NOT(ISERROR(SEARCH("GOOD",I9)))</formula>
    </cfRule>
  </conditionalFormatting>
  <conditionalFormatting sqref="I9">
    <cfRule type="containsText" dxfId="596" priority="15" operator="containsText" text="FAIL">
      <formula>NOT(ISERROR(SEARCH("FAIL",I9)))</formula>
    </cfRule>
  </conditionalFormatting>
  <conditionalFormatting sqref="I9">
    <cfRule type="containsText" dxfId="595" priority="14" operator="containsText" text="GOOD">
      <formula>NOT(ISERROR(SEARCH("GOOD",I9)))</formula>
    </cfRule>
  </conditionalFormatting>
  <conditionalFormatting sqref="F11">
    <cfRule type="containsText" dxfId="594" priority="13" operator="containsText" text="FAIL">
      <formula>NOT(ISERROR(SEARCH("FAIL",F11)))</formula>
    </cfRule>
  </conditionalFormatting>
  <conditionalFormatting sqref="F11">
    <cfRule type="containsText" dxfId="593" priority="12" operator="containsText" text="GOOD">
      <formula>NOT(ISERROR(SEARCH("GOOD",F11)))</formula>
    </cfRule>
  </conditionalFormatting>
  <conditionalFormatting sqref="I9">
    <cfRule type="containsText" dxfId="592" priority="11" operator="containsText" text="FAIL">
      <formula>NOT(ISERROR(SEARCH("FAIL",I9)))</formula>
    </cfRule>
  </conditionalFormatting>
  <conditionalFormatting sqref="I9">
    <cfRule type="containsText" dxfId="591" priority="10" operator="containsText" text="GOOD">
      <formula>NOT(ISERROR(SEARCH("GOOD",I9)))</formula>
    </cfRule>
  </conditionalFormatting>
  <conditionalFormatting sqref="F11">
    <cfRule type="containsText" dxfId="590" priority="9" operator="containsText" text="FAIL">
      <formula>NOT(ISERROR(SEARCH("FAIL",F11)))</formula>
    </cfRule>
  </conditionalFormatting>
  <conditionalFormatting sqref="F11">
    <cfRule type="containsText" dxfId="589" priority="8" operator="containsText" text="GOOD">
      <formula>NOT(ISERROR(SEARCH("GOOD",F11)))</formula>
    </cfRule>
  </conditionalFormatting>
  <conditionalFormatting sqref="D25">
    <cfRule type="expression" dxfId="588" priority="7" stopIfTrue="1">
      <formula>IF($H$25=1,0)</formula>
    </cfRule>
  </conditionalFormatting>
  <conditionalFormatting sqref="D23:D43">
    <cfRule type="expression" dxfId="587" priority="6">
      <formula>H23=1</formula>
    </cfRule>
  </conditionalFormatting>
  <conditionalFormatting sqref="C23:C43">
    <cfRule type="expression" dxfId="586" priority="5">
      <formula>H23=1</formula>
    </cfRule>
  </conditionalFormatting>
  <conditionalFormatting sqref="E23:E43">
    <cfRule type="expression" dxfId="585" priority="4">
      <formula>H23=1</formula>
    </cfRule>
  </conditionalFormatting>
  <conditionalFormatting sqref="E23:E43">
    <cfRule type="expression" dxfId="584" priority="3">
      <formula>H23=1</formula>
    </cfRule>
  </conditionalFormatting>
  <conditionalFormatting sqref="F11">
    <cfRule type="containsText" dxfId="583" priority="2" operator="containsText" text="FAIL">
      <formula>NOT(ISERROR(SEARCH("FAIL",F11)))</formula>
    </cfRule>
  </conditionalFormatting>
  <conditionalFormatting sqref="F11">
    <cfRule type="containsText" dxfId="582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2:O47"/>
  <sheetViews>
    <sheetView zoomScaleNormal="100" workbookViewId="0">
      <selection activeCell="L28" sqref="L2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543</v>
      </c>
      <c r="I4" s="2" t="s">
        <v>4</v>
      </c>
      <c r="J4" t="s">
        <v>447</v>
      </c>
    </row>
    <row r="5" spans="1:11" x14ac:dyDescent="0.25">
      <c r="D5" s="2" t="s">
        <v>1</v>
      </c>
      <c r="F5" t="s">
        <v>544</v>
      </c>
    </row>
    <row r="6" spans="1:11" x14ac:dyDescent="0.25">
      <c r="D6" s="2" t="s">
        <v>2</v>
      </c>
      <c r="F6" s="6">
        <v>42391</v>
      </c>
      <c r="H6" s="11"/>
    </row>
    <row r="7" spans="1:11" x14ac:dyDescent="0.25">
      <c r="D7" s="2" t="s">
        <v>3</v>
      </c>
      <c r="F7" s="5">
        <v>4574000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3774000</v>
      </c>
      <c r="H8" s="11"/>
    </row>
    <row r="9" spans="1:11" x14ac:dyDescent="0.25">
      <c r="D9" s="2" t="s">
        <v>67</v>
      </c>
      <c r="F9" s="4">
        <f>+F8-F7</f>
        <v>-800000</v>
      </c>
      <c r="G9" s="16">
        <f>+F9/F7</f>
        <v>-0.17490161783996502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191925.25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4382074.75</v>
      </c>
      <c r="G12" s="14"/>
      <c r="H12" s="11">
        <f>COUNT(I23:I43)</f>
        <v>4</v>
      </c>
      <c r="I12" s="1" t="s">
        <v>31</v>
      </c>
      <c r="J12" s="4">
        <f>+F8*0.9</f>
        <v>3396600</v>
      </c>
      <c r="K12" s="1" t="s">
        <v>69</v>
      </c>
    </row>
    <row r="13" spans="1:11" x14ac:dyDescent="0.25">
      <c r="D13" s="2" t="s">
        <v>29</v>
      </c>
      <c r="F13" s="4">
        <f>MAX(I23:I43)-MIN(I23:I43)</f>
        <v>1621000</v>
      </c>
      <c r="G13" s="269">
        <f>MEDIAN(I23:I43)</f>
        <v>4179649.5</v>
      </c>
      <c r="H13" s="270"/>
      <c r="I13" s="1" t="s">
        <v>30</v>
      </c>
      <c r="J13" s="4">
        <f>+F12*1.1</f>
        <v>4820282.2250000006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547</v>
      </c>
      <c r="E23" s="33"/>
      <c r="F23" t="s">
        <v>88</v>
      </c>
      <c r="G23" t="s">
        <v>25</v>
      </c>
      <c r="H23">
        <f>RANK(I23,I$23:I$43,1)</f>
        <v>4</v>
      </c>
      <c r="I23" s="4">
        <v>5395000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545</v>
      </c>
      <c r="E24" s="33"/>
      <c r="F24" t="s">
        <v>546</v>
      </c>
      <c r="G24" t="s">
        <v>25</v>
      </c>
      <c r="H24">
        <f>RANK(I24,I$23:I$43,1)</f>
        <v>2</v>
      </c>
      <c r="I24" s="4">
        <v>4055000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487</v>
      </c>
      <c r="E25" s="33"/>
      <c r="F25" t="s">
        <v>113</v>
      </c>
      <c r="G25" t="s">
        <v>25</v>
      </c>
      <c r="H25">
        <f>RANK(I25,I$23:I$43,1)</f>
        <v>1</v>
      </c>
      <c r="I25" s="4">
        <v>3774000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 t="s">
        <v>548</v>
      </c>
      <c r="E26" s="33"/>
      <c r="F26" t="s">
        <v>549</v>
      </c>
      <c r="G26" t="s">
        <v>25</v>
      </c>
      <c r="H26">
        <f>RANK(I26,I$23:I$43,1)</f>
        <v>3</v>
      </c>
      <c r="I26" s="4">
        <v>4304299</v>
      </c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 t="str">
        <f t="shared" ref="E29:E43" si="1">IF(H29=1,"t","")</f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581" priority="10" operator="containsText" text="FAIL">
      <formula>NOT(ISERROR(SEARCH("FAIL",I9)))</formula>
    </cfRule>
  </conditionalFormatting>
  <conditionalFormatting sqref="I9">
    <cfRule type="containsText" dxfId="580" priority="9" operator="containsText" text="GOOD">
      <formula>NOT(ISERROR(SEARCH("GOOD",I9)))</formula>
    </cfRule>
  </conditionalFormatting>
  <conditionalFormatting sqref="F11">
    <cfRule type="containsText" dxfId="579" priority="8" operator="containsText" text="FAIL">
      <formula>NOT(ISERROR(SEARCH("FAIL",F11)))</formula>
    </cfRule>
  </conditionalFormatting>
  <conditionalFormatting sqref="F11">
    <cfRule type="containsText" dxfId="578" priority="7" operator="containsText" text="GOOD">
      <formula>NOT(ISERROR(SEARCH("GOOD",F11)))</formula>
    </cfRule>
  </conditionalFormatting>
  <conditionalFormatting sqref="D25">
    <cfRule type="expression" dxfId="577" priority="6" stopIfTrue="1">
      <formula>IF($H$25=1,0)</formula>
    </cfRule>
  </conditionalFormatting>
  <conditionalFormatting sqref="D23:D43">
    <cfRule type="expression" dxfId="576" priority="5">
      <formula>H23=1</formula>
    </cfRule>
  </conditionalFormatting>
  <conditionalFormatting sqref="C23:C43">
    <cfRule type="expression" dxfId="575" priority="4">
      <formula>H23=1</formula>
    </cfRule>
  </conditionalFormatting>
  <conditionalFormatting sqref="E23:E43">
    <cfRule type="expression" dxfId="574" priority="3">
      <formula>H23=1</formula>
    </cfRule>
  </conditionalFormatting>
  <conditionalFormatting sqref="F11">
    <cfRule type="containsText" dxfId="573" priority="2" operator="containsText" text="FAIL">
      <formula>NOT(ISERROR(SEARCH("FAIL",F11)))</formula>
    </cfRule>
  </conditionalFormatting>
  <conditionalFormatting sqref="F11">
    <cfRule type="containsText" dxfId="572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2:O47"/>
  <sheetViews>
    <sheetView zoomScaleNormal="100" workbookViewId="0">
      <selection activeCell="J9" sqref="J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481</v>
      </c>
      <c r="I4" s="2" t="s">
        <v>4</v>
      </c>
      <c r="J4" t="s">
        <v>442</v>
      </c>
    </row>
    <row r="5" spans="1:11" x14ac:dyDescent="0.25">
      <c r="D5" s="2" t="s">
        <v>1</v>
      </c>
      <c r="F5" t="s">
        <v>482</v>
      </c>
    </row>
    <row r="6" spans="1:11" x14ac:dyDescent="0.25">
      <c r="D6" s="2" t="s">
        <v>2</v>
      </c>
      <c r="F6" s="6">
        <v>42389</v>
      </c>
      <c r="H6" s="11"/>
    </row>
    <row r="7" spans="1:11" x14ac:dyDescent="0.25">
      <c r="D7" s="2" t="s">
        <v>3</v>
      </c>
      <c r="F7" s="5">
        <v>10000000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6499990</v>
      </c>
      <c r="H8" s="11"/>
    </row>
    <row r="9" spans="1:11" x14ac:dyDescent="0.25">
      <c r="D9" s="2" t="s">
        <v>67</v>
      </c>
      <c r="F9" s="4">
        <f>+F8-F7</f>
        <v>-3500010</v>
      </c>
      <c r="G9" s="16">
        <f>+F9/F7</f>
        <v>-0.35000100000000001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1897885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8102115</v>
      </c>
      <c r="G12" s="14"/>
      <c r="H12" s="11">
        <f>COUNT(I23:I43)</f>
        <v>6</v>
      </c>
      <c r="I12" s="1" t="s">
        <v>31</v>
      </c>
      <c r="J12" s="4">
        <f>+F8*0.9</f>
        <v>5849991</v>
      </c>
      <c r="K12" s="1" t="s">
        <v>69</v>
      </c>
    </row>
    <row r="13" spans="1:11" x14ac:dyDescent="0.25">
      <c r="D13" s="2" t="s">
        <v>29</v>
      </c>
      <c r="F13" s="4">
        <f>MAX(I23:I43)-MIN(I23:I43)</f>
        <v>4435010</v>
      </c>
      <c r="G13" s="269">
        <f>MEDIAN(I23:I43)</f>
        <v>7570350</v>
      </c>
      <c r="H13" s="270"/>
      <c r="I13" s="1" t="s">
        <v>30</v>
      </c>
      <c r="J13" s="4">
        <f>+F12*1.1</f>
        <v>8912326.5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>
        <v>2000000</v>
      </c>
      <c r="G15" s="1" t="s">
        <v>9</v>
      </c>
      <c r="H15" s="11"/>
      <c r="I15" t="s">
        <v>15</v>
      </c>
      <c r="J15" s="7">
        <f>+F16/F15</f>
        <v>1.0249999999999999</v>
      </c>
    </row>
    <row r="16" spans="1:11" x14ac:dyDescent="0.25">
      <c r="F16" s="4">
        <v>2050000</v>
      </c>
      <c r="G16" s="1" t="s">
        <v>10</v>
      </c>
      <c r="H16" s="11"/>
      <c r="I16" t="s">
        <v>14</v>
      </c>
      <c r="J16" s="7">
        <f>+F17/F16</f>
        <v>0.87804878048780488</v>
      </c>
    </row>
    <row r="17" spans="3:15" x14ac:dyDescent="0.25">
      <c r="F17" s="4">
        <v>1800000</v>
      </c>
      <c r="G17" s="1" t="s">
        <v>11</v>
      </c>
      <c r="H17" s="11"/>
      <c r="I17" t="s">
        <v>13</v>
      </c>
      <c r="J17" s="7">
        <f>+F18/F17</f>
        <v>5.5555555555555554</v>
      </c>
      <c r="M17" s="21"/>
      <c r="N17" s="21"/>
      <c r="O17" s="21"/>
    </row>
    <row r="18" spans="3:15" x14ac:dyDescent="0.25">
      <c r="F18" s="4">
        <f>+F7</f>
        <v>10000000</v>
      </c>
      <c r="G18" s="1" t="s">
        <v>12</v>
      </c>
      <c r="H18" s="11"/>
      <c r="I18" t="s">
        <v>16</v>
      </c>
      <c r="J18" s="7">
        <f>+F8/F18</f>
        <v>0.64999899999999999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3.2499950000000002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483</v>
      </c>
      <c r="E23" s="33"/>
      <c r="F23" t="s">
        <v>484</v>
      </c>
      <c r="G23" t="s">
        <v>355</v>
      </c>
      <c r="H23">
        <f t="shared" ref="H23:H28" si="0">RANK(I23,I$23:I$43,1)</f>
        <v>5</v>
      </c>
      <c r="I23" s="4">
        <v>8899000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485</v>
      </c>
      <c r="E24" s="33"/>
      <c r="F24" t="s">
        <v>486</v>
      </c>
      <c r="G24" t="s">
        <v>25</v>
      </c>
      <c r="H24">
        <f t="shared" si="0"/>
        <v>2</v>
      </c>
      <c r="I24" s="4">
        <v>7138000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487</v>
      </c>
      <c r="E25" s="33"/>
      <c r="F25" t="s">
        <v>113</v>
      </c>
      <c r="G25" t="s">
        <v>25</v>
      </c>
      <c r="H25">
        <f t="shared" si="0"/>
        <v>3</v>
      </c>
      <c r="I25" s="4">
        <v>7370000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>u</v>
      </c>
      <c r="D26" s="11" t="s">
        <v>488</v>
      </c>
      <c r="E26" s="33"/>
      <c r="F26" t="s">
        <v>120</v>
      </c>
      <c r="G26" t="s">
        <v>25</v>
      </c>
      <c r="H26">
        <f t="shared" si="0"/>
        <v>1</v>
      </c>
      <c r="I26" s="4">
        <v>6499990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489</v>
      </c>
      <c r="E27" s="33" t="str">
        <f t="shared" ref="E27:E43" si="2">IF(H27=1,"t","")</f>
        <v/>
      </c>
      <c r="F27" t="s">
        <v>490</v>
      </c>
      <c r="G27" t="s">
        <v>25</v>
      </c>
      <c r="H27">
        <f t="shared" si="0"/>
        <v>4</v>
      </c>
      <c r="I27" s="4">
        <v>7770700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491</v>
      </c>
      <c r="E28" s="33" t="str">
        <f t="shared" si="2"/>
        <v/>
      </c>
      <c r="F28" t="s">
        <v>203</v>
      </c>
      <c r="G28" t="s">
        <v>204</v>
      </c>
      <c r="H28">
        <f t="shared" si="0"/>
        <v>6</v>
      </c>
      <c r="I28" s="4">
        <v>10935000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33" t="str">
        <f t="shared" si="2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 t="str">
        <f t="shared" si="2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 t="str">
        <f t="shared" si="2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 t="str">
        <f t="shared" si="2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 t="str">
        <f t="shared" si="2"/>
        <v/>
      </c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si="2"/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571" priority="10" operator="containsText" text="FAIL">
      <formula>NOT(ISERROR(SEARCH("FAIL",I9)))</formula>
    </cfRule>
  </conditionalFormatting>
  <conditionalFormatting sqref="I9">
    <cfRule type="containsText" dxfId="570" priority="9" operator="containsText" text="GOOD">
      <formula>NOT(ISERROR(SEARCH("GOOD",I9)))</formula>
    </cfRule>
  </conditionalFormatting>
  <conditionalFormatting sqref="F11">
    <cfRule type="containsText" dxfId="569" priority="8" operator="containsText" text="FAIL">
      <formula>NOT(ISERROR(SEARCH("FAIL",F11)))</formula>
    </cfRule>
  </conditionalFormatting>
  <conditionalFormatting sqref="F11">
    <cfRule type="containsText" dxfId="568" priority="7" operator="containsText" text="GOOD">
      <formula>NOT(ISERROR(SEARCH("GOOD",F11)))</formula>
    </cfRule>
  </conditionalFormatting>
  <conditionalFormatting sqref="D25">
    <cfRule type="expression" dxfId="567" priority="6" stopIfTrue="1">
      <formula>IF($H$25=1,0)</formula>
    </cfRule>
  </conditionalFormatting>
  <conditionalFormatting sqref="D23:D43">
    <cfRule type="expression" dxfId="566" priority="5">
      <formula>H23=1</formula>
    </cfRule>
  </conditionalFormatting>
  <conditionalFormatting sqref="C23:C43">
    <cfRule type="expression" dxfId="565" priority="4">
      <formula>H23=1</formula>
    </cfRule>
  </conditionalFormatting>
  <conditionalFormatting sqref="E23:E43">
    <cfRule type="expression" dxfId="564" priority="3">
      <formula>H23=1</formula>
    </cfRule>
  </conditionalFormatting>
  <conditionalFormatting sqref="F11">
    <cfRule type="containsText" dxfId="563" priority="2" operator="containsText" text="FAIL">
      <formula>NOT(ISERROR(SEARCH("FAIL",F11)))</formula>
    </cfRule>
  </conditionalFormatting>
  <conditionalFormatting sqref="F11">
    <cfRule type="containsText" dxfId="562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2:O47"/>
  <sheetViews>
    <sheetView view="pageBreakPreview" zoomScale="60" zoomScaleNormal="100" workbookViewId="0">
      <selection activeCell="F35" sqref="F3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448</v>
      </c>
      <c r="I4" s="2" t="s">
        <v>4</v>
      </c>
      <c r="J4" t="s">
        <v>447</v>
      </c>
    </row>
    <row r="5" spans="1:11" x14ac:dyDescent="0.25">
      <c r="D5" s="2" t="s">
        <v>1</v>
      </c>
      <c r="F5" t="s">
        <v>449</v>
      </c>
    </row>
    <row r="6" spans="1:11" x14ac:dyDescent="0.25">
      <c r="D6" s="2" t="s">
        <v>2</v>
      </c>
      <c r="F6" s="6">
        <v>42388</v>
      </c>
      <c r="G6" s="51" t="s">
        <v>480</v>
      </c>
      <c r="H6" s="11"/>
    </row>
    <row r="7" spans="1:11" x14ac:dyDescent="0.25">
      <c r="D7" s="2" t="s">
        <v>3</v>
      </c>
      <c r="F7" s="5">
        <v>9000000</v>
      </c>
      <c r="G7" s="2" t="s">
        <v>190</v>
      </c>
      <c r="H7" s="11"/>
    </row>
    <row r="8" spans="1:11" x14ac:dyDescent="0.25">
      <c r="D8" s="2" t="s">
        <v>18</v>
      </c>
      <c r="F8" s="5">
        <f>MIN(I23:I43)</f>
        <v>8936000</v>
      </c>
      <c r="H8" s="11"/>
    </row>
    <row r="9" spans="1:11" x14ac:dyDescent="0.25">
      <c r="D9" s="2" t="s">
        <v>67</v>
      </c>
      <c r="F9" s="4">
        <f>+F8-F7</f>
        <v>-64000</v>
      </c>
      <c r="G9" s="16">
        <f>+F9/F7</f>
        <v>-7.1111111111111115E-3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1" x14ac:dyDescent="0.25">
      <c r="D10" s="2" t="s">
        <v>68</v>
      </c>
      <c r="F10" s="4">
        <f>+F7-F12</f>
        <v>-1453304.333333334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10453304.333333334</v>
      </c>
      <c r="G12" s="14"/>
      <c r="H12" s="11">
        <f>COUNT(I23:I43)</f>
        <v>3</v>
      </c>
      <c r="I12" s="1" t="s">
        <v>31</v>
      </c>
      <c r="J12" s="4">
        <f>+F8*0.9</f>
        <v>8042400</v>
      </c>
      <c r="K12" s="1" t="s">
        <v>69</v>
      </c>
    </row>
    <row r="13" spans="1:11" x14ac:dyDescent="0.25">
      <c r="D13" s="2" t="s">
        <v>29</v>
      </c>
      <c r="F13" s="4">
        <f>MAX(I23:I43)-MIN(I23:I43)</f>
        <v>4286222</v>
      </c>
      <c r="G13" s="269">
        <f>MEDIAN(I23:I43)</f>
        <v>9201691</v>
      </c>
      <c r="H13" s="270"/>
      <c r="I13" s="1" t="s">
        <v>30</v>
      </c>
      <c r="J13" s="4">
        <f>+F12*1.1</f>
        <v>11498634.766666668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450</v>
      </c>
      <c r="E23" s="33"/>
      <c r="F23" t="s">
        <v>451</v>
      </c>
      <c r="G23" t="s">
        <v>93</v>
      </c>
      <c r="H23">
        <f>RANK(I23,I$23:I$43,1)</f>
        <v>1</v>
      </c>
      <c r="I23" s="4">
        <v>8936000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452</v>
      </c>
      <c r="E24" s="33"/>
      <c r="F24" t="s">
        <v>100</v>
      </c>
      <c r="G24" t="s">
        <v>93</v>
      </c>
      <c r="H24">
        <f>RANK(I24,I$23:I$43,1)</f>
        <v>3</v>
      </c>
      <c r="I24" s="4">
        <v>13222222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453</v>
      </c>
      <c r="E25" s="33"/>
      <c r="F25" t="s">
        <v>181</v>
      </c>
      <c r="G25" t="s">
        <v>93</v>
      </c>
      <c r="H25">
        <f>RANK(I25,I$23:I$43,1)</f>
        <v>2</v>
      </c>
      <c r="I25" s="4">
        <v>9201691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ref="C27:C43" si="0">IF(H27=1,"u","")</f>
        <v/>
      </c>
      <c r="D27" s="11"/>
      <c r="E27" s="33" t="str">
        <f t="shared" ref="E27:E43" si="1">IF(H27=1,"t","")</f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561" priority="10" operator="containsText" text="FAIL">
      <formula>NOT(ISERROR(SEARCH("FAIL",I9)))</formula>
    </cfRule>
  </conditionalFormatting>
  <conditionalFormatting sqref="I9">
    <cfRule type="containsText" dxfId="560" priority="9" operator="containsText" text="GOOD">
      <formula>NOT(ISERROR(SEARCH("GOOD",I9)))</formula>
    </cfRule>
  </conditionalFormatting>
  <conditionalFormatting sqref="F11">
    <cfRule type="containsText" dxfId="559" priority="8" operator="containsText" text="FAIL">
      <formula>NOT(ISERROR(SEARCH("FAIL",F11)))</formula>
    </cfRule>
  </conditionalFormatting>
  <conditionalFormatting sqref="F11">
    <cfRule type="containsText" dxfId="558" priority="7" operator="containsText" text="GOOD">
      <formula>NOT(ISERROR(SEARCH("GOOD",F11)))</formula>
    </cfRule>
  </conditionalFormatting>
  <conditionalFormatting sqref="D25">
    <cfRule type="expression" dxfId="557" priority="6" stopIfTrue="1">
      <formula>IF($H$25=1,0)</formula>
    </cfRule>
  </conditionalFormatting>
  <conditionalFormatting sqref="D23:D43">
    <cfRule type="expression" dxfId="556" priority="5">
      <formula>H23=1</formula>
    </cfRule>
  </conditionalFormatting>
  <conditionalFormatting sqref="C23:C43">
    <cfRule type="expression" dxfId="555" priority="4">
      <formula>H23=1</formula>
    </cfRule>
  </conditionalFormatting>
  <conditionalFormatting sqref="E23:E43">
    <cfRule type="expression" dxfId="554" priority="3">
      <formula>H23=1</formula>
    </cfRule>
  </conditionalFormatting>
  <conditionalFormatting sqref="F11">
    <cfRule type="containsText" dxfId="553" priority="2" operator="containsText" text="FAIL">
      <formula>NOT(ISERROR(SEARCH("FAIL",F11)))</formula>
    </cfRule>
  </conditionalFormatting>
  <conditionalFormatting sqref="F11">
    <cfRule type="containsText" dxfId="552" priority="1" operator="containsText" text="GOOD">
      <formula>NOT(ISERROR(SEARCH("GOOD",F11)))</formula>
    </cfRule>
  </conditionalFormatting>
  <pageMargins left="0.7" right="0.7" top="0.75" bottom="0.75" header="0.3" footer="0.3"/>
  <pageSetup scale="68" orientation="portrait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2:O47"/>
  <sheetViews>
    <sheetView zoomScaleNormal="100" workbookViewId="0">
      <selection activeCell="M17" sqref="M1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467</v>
      </c>
      <c r="I4" s="2" t="s">
        <v>4</v>
      </c>
      <c r="J4" t="s">
        <v>442</v>
      </c>
    </row>
    <row r="5" spans="1:11" x14ac:dyDescent="0.25">
      <c r="D5" s="2" t="s">
        <v>1</v>
      </c>
      <c r="F5" t="s">
        <v>468</v>
      </c>
    </row>
    <row r="6" spans="1:11" x14ac:dyDescent="0.25">
      <c r="D6" s="2" t="s">
        <v>2</v>
      </c>
      <c r="F6" s="6">
        <v>42383</v>
      </c>
      <c r="H6" s="11"/>
    </row>
    <row r="7" spans="1:11" x14ac:dyDescent="0.25">
      <c r="D7" s="2" t="s">
        <v>3</v>
      </c>
      <c r="F7" s="5">
        <v>1200000</v>
      </c>
      <c r="G7" s="2" t="s">
        <v>177</v>
      </c>
      <c r="H7" s="11"/>
    </row>
    <row r="8" spans="1:11" x14ac:dyDescent="0.25">
      <c r="D8" s="2" t="s">
        <v>18</v>
      </c>
      <c r="F8" s="5">
        <f>MIN(I23:I43)</f>
        <v>1050050</v>
      </c>
      <c r="H8" s="11"/>
    </row>
    <row r="9" spans="1:11" x14ac:dyDescent="0.25">
      <c r="D9" s="2" t="s">
        <v>67</v>
      </c>
      <c r="F9" s="4">
        <f>+F8-F7</f>
        <v>-149950</v>
      </c>
      <c r="G9" s="16">
        <f>+F9/F7</f>
        <v>-0.12495833333333334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-77162.666666666744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1277162.6666666667</v>
      </c>
      <c r="G12" s="14"/>
      <c r="H12" s="11">
        <f>COUNT(I23:I43)</f>
        <v>6</v>
      </c>
      <c r="I12" s="1" t="s">
        <v>31</v>
      </c>
      <c r="J12" s="4">
        <f>+F8*0.9</f>
        <v>945045</v>
      </c>
      <c r="K12" s="1" t="s">
        <v>69</v>
      </c>
    </row>
    <row r="13" spans="1:11" x14ac:dyDescent="0.25">
      <c r="D13" s="2" t="s">
        <v>29</v>
      </c>
      <c r="F13" s="4">
        <f>MAX(I23:I43)-MIN(I23:I43)</f>
        <v>500950</v>
      </c>
      <c r="G13" s="269">
        <f>MEDIAN(I23:I43)</f>
        <v>1294823</v>
      </c>
      <c r="H13" s="270"/>
      <c r="I13" s="1" t="s">
        <v>30</v>
      </c>
      <c r="J13" s="4">
        <f>+F12*1.1</f>
        <v>1404878.9333333336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429</v>
      </c>
      <c r="E23" s="33"/>
      <c r="F23" t="s">
        <v>131</v>
      </c>
      <c r="G23" t="s">
        <v>25</v>
      </c>
      <c r="H23">
        <f t="shared" ref="H23:H28" si="0">RANK(I23,I$23:I$43,1)</f>
        <v>6</v>
      </c>
      <c r="I23" s="4">
        <v>1551000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469</v>
      </c>
      <c r="E24" s="33"/>
      <c r="F24" t="s">
        <v>127</v>
      </c>
      <c r="G24" t="s">
        <v>25</v>
      </c>
      <c r="H24">
        <f t="shared" si="0"/>
        <v>2</v>
      </c>
      <c r="I24" s="4">
        <v>1083107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470</v>
      </c>
      <c r="E25" s="33"/>
      <c r="F25" t="s">
        <v>113</v>
      </c>
      <c r="G25" t="s">
        <v>25</v>
      </c>
      <c r="H25">
        <f t="shared" si="0"/>
        <v>5</v>
      </c>
      <c r="I25" s="4">
        <v>1389173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11" t="s">
        <v>430</v>
      </c>
      <c r="E26" s="33"/>
      <c r="F26" t="s">
        <v>186</v>
      </c>
      <c r="G26" t="s">
        <v>25</v>
      </c>
      <c r="H26">
        <f t="shared" si="0"/>
        <v>4</v>
      </c>
      <c r="I26" s="4">
        <v>1356313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347</v>
      </c>
      <c r="E27" s="33" t="str">
        <f t="shared" ref="E27:E43" si="2">IF(H27=1,"t","")</f>
        <v/>
      </c>
      <c r="F27" t="s">
        <v>147</v>
      </c>
      <c r="G27" t="s">
        <v>93</v>
      </c>
      <c r="H27">
        <f t="shared" si="0"/>
        <v>3</v>
      </c>
      <c r="I27" s="4">
        <v>1233333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>u</v>
      </c>
      <c r="D28" s="11" t="s">
        <v>471</v>
      </c>
      <c r="E28" s="33" t="str">
        <f t="shared" si="2"/>
        <v>t</v>
      </c>
      <c r="F28" t="s">
        <v>376</v>
      </c>
      <c r="G28" t="s">
        <v>93</v>
      </c>
      <c r="H28">
        <f t="shared" si="0"/>
        <v>1</v>
      </c>
      <c r="I28" s="4">
        <v>1050050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33" t="str">
        <f t="shared" si="2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 t="str">
        <f t="shared" si="2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 t="str">
        <f t="shared" si="2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 t="str">
        <f t="shared" si="2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 t="str">
        <f t="shared" si="2"/>
        <v/>
      </c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si="2"/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551" priority="10" operator="containsText" text="FAIL">
      <formula>NOT(ISERROR(SEARCH("FAIL",I9)))</formula>
    </cfRule>
  </conditionalFormatting>
  <conditionalFormatting sqref="I9">
    <cfRule type="containsText" dxfId="550" priority="9" operator="containsText" text="GOOD">
      <formula>NOT(ISERROR(SEARCH("GOOD",I9)))</formula>
    </cfRule>
  </conditionalFormatting>
  <conditionalFormatting sqref="F11">
    <cfRule type="containsText" dxfId="549" priority="8" operator="containsText" text="FAIL">
      <formula>NOT(ISERROR(SEARCH("FAIL",F11)))</formula>
    </cfRule>
  </conditionalFormatting>
  <conditionalFormatting sqref="F11">
    <cfRule type="containsText" dxfId="548" priority="7" operator="containsText" text="GOOD">
      <formula>NOT(ISERROR(SEARCH("GOOD",F11)))</formula>
    </cfRule>
  </conditionalFormatting>
  <conditionalFormatting sqref="D25">
    <cfRule type="expression" dxfId="547" priority="6" stopIfTrue="1">
      <formula>IF($H$25=1,0)</formula>
    </cfRule>
  </conditionalFormatting>
  <conditionalFormatting sqref="D23:D43">
    <cfRule type="expression" dxfId="546" priority="5">
      <formula>H23=1</formula>
    </cfRule>
  </conditionalFormatting>
  <conditionalFormatting sqref="C23:C43">
    <cfRule type="expression" dxfId="545" priority="4">
      <formula>H23=1</formula>
    </cfRule>
  </conditionalFormatting>
  <conditionalFormatting sqref="E23:E43">
    <cfRule type="expression" dxfId="544" priority="3">
      <formula>H23=1</formula>
    </cfRule>
  </conditionalFormatting>
  <conditionalFormatting sqref="F11">
    <cfRule type="containsText" dxfId="543" priority="2" operator="containsText" text="FAIL">
      <formula>NOT(ISERROR(SEARCH("FAIL",F11)))</formula>
    </cfRule>
  </conditionalFormatting>
  <conditionalFormatting sqref="F11">
    <cfRule type="containsText" dxfId="542" priority="1" operator="containsText" text="GOOD">
      <formula>NOT(ISERROR(SEARCH("GOOD",F11)))</formula>
    </cfRule>
  </conditionalFormatting>
  <pageMargins left="0.7" right="0.7" top="0.75" bottom="0.75" header="0.3" footer="0.3"/>
  <pageSetup scale="73" orientation="portrait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>
    <tabColor rgb="FFFF0000"/>
  </sheetPr>
  <dimension ref="A2:O47"/>
  <sheetViews>
    <sheetView workbookViewId="0">
      <selection activeCell="K32" sqref="K32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448</v>
      </c>
      <c r="I4" s="2" t="s">
        <v>4</v>
      </c>
      <c r="J4" t="s">
        <v>447</v>
      </c>
    </row>
    <row r="5" spans="1:11" x14ac:dyDescent="0.25">
      <c r="D5" s="2" t="s">
        <v>1</v>
      </c>
      <c r="F5" t="s">
        <v>449</v>
      </c>
    </row>
    <row r="6" spans="1:11" x14ac:dyDescent="0.25">
      <c r="D6" s="2" t="s">
        <v>2</v>
      </c>
      <c r="F6" s="6">
        <v>42374</v>
      </c>
      <c r="H6" s="11"/>
    </row>
    <row r="7" spans="1:11" x14ac:dyDescent="0.25">
      <c r="D7" s="2" t="s">
        <v>3</v>
      </c>
      <c r="F7" s="5">
        <v>9800000</v>
      </c>
      <c r="G7" s="2" t="s">
        <v>190</v>
      </c>
      <c r="H7" s="11"/>
    </row>
    <row r="8" spans="1:11" x14ac:dyDescent="0.25">
      <c r="D8" s="2" t="s">
        <v>18</v>
      </c>
      <c r="F8" s="5">
        <f>MIN(I23:I43)</f>
        <v>7991177</v>
      </c>
      <c r="H8" s="11"/>
    </row>
    <row r="9" spans="1:11" x14ac:dyDescent="0.25">
      <c r="D9" s="2" t="s">
        <v>67</v>
      </c>
      <c r="F9" s="4">
        <f>+F8-F7</f>
        <v>-1808823</v>
      </c>
      <c r="G9" s="16">
        <f>+F9/F7</f>
        <v>-0.18457377551020407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-595725.66666666605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10395725.666666666</v>
      </c>
      <c r="G12" s="14"/>
      <c r="H12" s="11">
        <f>COUNT(I23:I43)</f>
        <v>3</v>
      </c>
      <c r="I12" s="1" t="s">
        <v>31</v>
      </c>
      <c r="J12" s="4">
        <f>+F8*0.9</f>
        <v>7192059.2999999998</v>
      </c>
      <c r="K12" s="1" t="s">
        <v>69</v>
      </c>
    </row>
    <row r="13" spans="1:11" x14ac:dyDescent="0.25">
      <c r="D13" s="2" t="s">
        <v>29</v>
      </c>
      <c r="F13" s="4">
        <f>MAX(I23:I43)-MIN(I23:I43)</f>
        <v>5854823</v>
      </c>
      <c r="G13" s="269">
        <f>MEDIAN(I23:I43)</f>
        <v>9350000</v>
      </c>
      <c r="H13" s="270"/>
      <c r="I13" s="1" t="s">
        <v>30</v>
      </c>
      <c r="J13" s="4">
        <f>+F12*1.1</f>
        <v>11435298.233333334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450</v>
      </c>
      <c r="E23" s="33"/>
      <c r="F23" t="s">
        <v>451</v>
      </c>
      <c r="G23" t="s">
        <v>93</v>
      </c>
      <c r="H23">
        <f>RANK(I23,I$23:I$43,1)</f>
        <v>2</v>
      </c>
      <c r="I23" s="4">
        <v>9350000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452</v>
      </c>
      <c r="E24" s="33"/>
      <c r="F24" t="s">
        <v>100</v>
      </c>
      <c r="G24" t="s">
        <v>93</v>
      </c>
      <c r="H24">
        <f>RANK(I24,I$23:I$43,1)</f>
        <v>3</v>
      </c>
      <c r="I24" s="4">
        <v>13846000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453</v>
      </c>
      <c r="E25" s="33"/>
      <c r="F25" t="s">
        <v>181</v>
      </c>
      <c r="G25" t="s">
        <v>93</v>
      </c>
      <c r="H25">
        <f>RANK(I25,I$23:I$43,1)</f>
        <v>1</v>
      </c>
      <c r="I25" s="4">
        <v>7991177</v>
      </c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ref="C27:C43" si="0">IF(H27=1,"u","")</f>
        <v/>
      </c>
      <c r="D27" s="11"/>
      <c r="E27" s="33" t="str">
        <f t="shared" ref="E27:E43" si="1">IF(H27=1,"t","")</f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541" priority="10" operator="containsText" text="FAIL">
      <formula>NOT(ISERROR(SEARCH("FAIL",I9)))</formula>
    </cfRule>
  </conditionalFormatting>
  <conditionalFormatting sqref="I9">
    <cfRule type="containsText" dxfId="540" priority="9" operator="containsText" text="GOOD">
      <formula>NOT(ISERROR(SEARCH("GOOD",I9)))</formula>
    </cfRule>
  </conditionalFormatting>
  <conditionalFormatting sqref="F11">
    <cfRule type="containsText" dxfId="539" priority="8" operator="containsText" text="FAIL">
      <formula>NOT(ISERROR(SEARCH("FAIL",F11)))</formula>
    </cfRule>
  </conditionalFormatting>
  <conditionalFormatting sqref="F11">
    <cfRule type="containsText" dxfId="538" priority="7" operator="containsText" text="GOOD">
      <formula>NOT(ISERROR(SEARCH("GOOD",F11)))</formula>
    </cfRule>
  </conditionalFormatting>
  <conditionalFormatting sqref="D25">
    <cfRule type="expression" dxfId="537" priority="6" stopIfTrue="1">
      <formula>IF($H$25=1,0)</formula>
    </cfRule>
  </conditionalFormatting>
  <conditionalFormatting sqref="D23:D43">
    <cfRule type="expression" dxfId="536" priority="5">
      <formula>H23=1</formula>
    </cfRule>
  </conditionalFormatting>
  <conditionalFormatting sqref="C23:C43">
    <cfRule type="expression" dxfId="535" priority="4">
      <formula>H23=1</formula>
    </cfRule>
  </conditionalFormatting>
  <conditionalFormatting sqref="E23:E43">
    <cfRule type="expression" dxfId="534" priority="3">
      <formula>H23=1</formula>
    </cfRule>
  </conditionalFormatting>
  <conditionalFormatting sqref="F11">
    <cfRule type="containsText" dxfId="533" priority="2" operator="containsText" text="FAIL">
      <formula>NOT(ISERROR(SEARCH("FAIL",F11)))</formula>
    </cfRule>
  </conditionalFormatting>
  <conditionalFormatting sqref="F11">
    <cfRule type="containsText" dxfId="532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>
    <tabColor rgb="FFFF0000"/>
  </sheetPr>
  <dimension ref="A2:O47"/>
  <sheetViews>
    <sheetView workbookViewId="0">
      <selection activeCell="F5" sqref="F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441</v>
      </c>
      <c r="I4" s="2" t="s">
        <v>4</v>
      </c>
      <c r="J4" t="s">
        <v>442</v>
      </c>
    </row>
    <row r="5" spans="1:11" x14ac:dyDescent="0.25">
      <c r="D5" s="2" t="s">
        <v>1</v>
      </c>
      <c r="F5" t="s">
        <v>443</v>
      </c>
    </row>
    <row r="6" spans="1:11" x14ac:dyDescent="0.25">
      <c r="D6" s="2" t="s">
        <v>2</v>
      </c>
      <c r="F6" s="6">
        <v>42355</v>
      </c>
      <c r="H6" s="11"/>
    </row>
    <row r="7" spans="1:11" x14ac:dyDescent="0.25">
      <c r="D7" s="2" t="s">
        <v>3</v>
      </c>
      <c r="F7" s="5">
        <v>640000</v>
      </c>
      <c r="G7" s="2" t="s">
        <v>177</v>
      </c>
      <c r="H7" s="11"/>
    </row>
    <row r="8" spans="1:11" x14ac:dyDescent="0.25">
      <c r="D8" s="2" t="s">
        <v>18</v>
      </c>
      <c r="F8" s="5">
        <f>MIN(I23:I43)</f>
        <v>898000</v>
      </c>
      <c r="H8" s="11"/>
    </row>
    <row r="9" spans="1:11" x14ac:dyDescent="0.25">
      <c r="D9" s="2" t="s">
        <v>67</v>
      </c>
      <c r="F9" s="4">
        <f>+F8-F7</f>
        <v>258000</v>
      </c>
      <c r="G9" s="16">
        <f>+F9/F7</f>
        <v>0.40312500000000001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-514385.66666666674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1154385.6666666667</v>
      </c>
      <c r="G12" s="14"/>
      <c r="H12" s="11">
        <f>COUNT(I23:I43)</f>
        <v>3</v>
      </c>
      <c r="I12" s="1" t="s">
        <v>31</v>
      </c>
      <c r="J12" s="4">
        <f>+F8*0.9</f>
        <v>808200</v>
      </c>
      <c r="K12" s="1" t="s">
        <v>69</v>
      </c>
    </row>
    <row r="13" spans="1:11" x14ac:dyDescent="0.25">
      <c r="D13" s="2" t="s">
        <v>29</v>
      </c>
      <c r="F13" s="4">
        <f>MAX(I23:I43)-MIN(I23:I43)</f>
        <v>492452</v>
      </c>
      <c r="G13" s="269">
        <f>MEDIAN(I23:I43)</f>
        <v>1174705</v>
      </c>
      <c r="H13" s="270"/>
      <c r="I13" s="1" t="s">
        <v>30</v>
      </c>
      <c r="J13" s="4">
        <f>+F12*1.1</f>
        <v>1269824.2333333336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>
        <v>2000000</v>
      </c>
      <c r="G15" s="1" t="s">
        <v>9</v>
      </c>
      <c r="H15" s="11"/>
      <c r="I15" t="s">
        <v>15</v>
      </c>
      <c r="J15" s="7">
        <f>+F16/F15</f>
        <v>1.0249999999999999</v>
      </c>
    </row>
    <row r="16" spans="1:11" x14ac:dyDescent="0.25">
      <c r="F16" s="4">
        <v>2050000</v>
      </c>
      <c r="G16" s="1" t="s">
        <v>10</v>
      </c>
      <c r="H16" s="11"/>
      <c r="I16" t="s">
        <v>14</v>
      </c>
      <c r="J16" s="7">
        <f>+F17/F16</f>
        <v>0.87804878048780488</v>
      </c>
    </row>
    <row r="17" spans="3:15" x14ac:dyDescent="0.25">
      <c r="F17" s="4">
        <v>1800000</v>
      </c>
      <c r="G17" s="1" t="s">
        <v>11</v>
      </c>
      <c r="H17" s="11"/>
      <c r="I17" t="s">
        <v>13</v>
      </c>
      <c r="J17" s="7">
        <f>+F18/F17</f>
        <v>0.35555555555555557</v>
      </c>
      <c r="M17" s="21"/>
      <c r="N17" s="21"/>
      <c r="O17" s="21"/>
    </row>
    <row r="18" spans="3:15" x14ac:dyDescent="0.25">
      <c r="F18" s="4">
        <f>+F7</f>
        <v>640000</v>
      </c>
      <c r="G18" s="1" t="s">
        <v>12</v>
      </c>
      <c r="H18" s="11"/>
      <c r="I18" t="s">
        <v>16</v>
      </c>
      <c r="J18" s="7">
        <f>+F8/F18</f>
        <v>1.403125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0.44900000000000001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444</v>
      </c>
      <c r="E23" s="33"/>
      <c r="F23" t="s">
        <v>445</v>
      </c>
      <c r="G23" t="s">
        <v>93</v>
      </c>
      <c r="H23">
        <f>RANK(I23,I$23:I$43,1)</f>
        <v>1</v>
      </c>
      <c r="I23" s="4">
        <v>898000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446</v>
      </c>
      <c r="E24" s="33"/>
      <c r="F24" t="s">
        <v>95</v>
      </c>
      <c r="G24" t="s">
        <v>93</v>
      </c>
      <c r="H24">
        <f>RANK(I24,I$23:I$43,1)</f>
        <v>2</v>
      </c>
      <c r="I24" s="4">
        <v>1174705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104</v>
      </c>
      <c r="E25" s="33"/>
      <c r="F25" t="s">
        <v>105</v>
      </c>
      <c r="G25" t="s">
        <v>93</v>
      </c>
      <c r="H25">
        <f>RANK(I25,I$23:I$43,1)</f>
        <v>3</v>
      </c>
      <c r="I25" s="4">
        <v>1390452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 t="str">
        <f t="shared" ref="E27:E43" si="1">IF(H27=1,"t","")</f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531" priority="10" operator="containsText" text="FAIL">
      <formula>NOT(ISERROR(SEARCH("FAIL",I9)))</formula>
    </cfRule>
  </conditionalFormatting>
  <conditionalFormatting sqref="I9">
    <cfRule type="containsText" dxfId="530" priority="9" operator="containsText" text="GOOD">
      <formula>NOT(ISERROR(SEARCH("GOOD",I9)))</formula>
    </cfRule>
  </conditionalFormatting>
  <conditionalFormatting sqref="F11">
    <cfRule type="containsText" dxfId="529" priority="8" operator="containsText" text="FAIL">
      <formula>NOT(ISERROR(SEARCH("FAIL",F11)))</formula>
    </cfRule>
  </conditionalFormatting>
  <conditionalFormatting sqref="F11">
    <cfRule type="containsText" dxfId="528" priority="7" operator="containsText" text="GOOD">
      <formula>NOT(ISERROR(SEARCH("GOOD",F11)))</formula>
    </cfRule>
  </conditionalFormatting>
  <conditionalFormatting sqref="D25">
    <cfRule type="expression" dxfId="527" priority="6" stopIfTrue="1">
      <formula>IF($H$25=1,0)</formula>
    </cfRule>
  </conditionalFormatting>
  <conditionalFormatting sqref="D23:D43">
    <cfRule type="expression" dxfId="526" priority="5">
      <formula>H23=1</formula>
    </cfRule>
  </conditionalFormatting>
  <conditionalFormatting sqref="C23:C43">
    <cfRule type="expression" dxfId="525" priority="4">
      <formula>H23=1</formula>
    </cfRule>
  </conditionalFormatting>
  <conditionalFormatting sqref="E23:E43">
    <cfRule type="expression" dxfId="524" priority="3">
      <formula>H23=1</formula>
    </cfRule>
  </conditionalFormatting>
  <conditionalFormatting sqref="F11">
    <cfRule type="containsText" dxfId="523" priority="2" operator="containsText" text="FAIL">
      <formula>NOT(ISERROR(SEARCH("FAIL",F11)))</formula>
    </cfRule>
  </conditionalFormatting>
  <conditionalFormatting sqref="F11">
    <cfRule type="containsText" dxfId="522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2:O47"/>
  <sheetViews>
    <sheetView workbookViewId="0">
      <selection activeCell="J26" sqref="J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434</v>
      </c>
      <c r="I4" s="2" t="s">
        <v>4</v>
      </c>
      <c r="J4" t="s">
        <v>435</v>
      </c>
    </row>
    <row r="5" spans="1:11" x14ac:dyDescent="0.25">
      <c r="D5" s="2" t="s">
        <v>1</v>
      </c>
      <c r="F5" t="s">
        <v>436</v>
      </c>
    </row>
    <row r="6" spans="1:11" x14ac:dyDescent="0.25">
      <c r="D6" s="2" t="s">
        <v>2</v>
      </c>
      <c r="F6" s="6">
        <v>42342</v>
      </c>
      <c r="H6" s="11"/>
    </row>
    <row r="7" spans="1:11" x14ac:dyDescent="0.25">
      <c r="D7" s="2" t="s">
        <v>3</v>
      </c>
      <c r="F7" s="5">
        <v>2000000</v>
      </c>
      <c r="G7" s="2" t="s">
        <v>190</v>
      </c>
      <c r="H7" s="11"/>
    </row>
    <row r="8" spans="1:11" x14ac:dyDescent="0.25">
      <c r="D8" s="2" t="s">
        <v>18</v>
      </c>
      <c r="F8" s="5">
        <f>MIN(I23:I43)</f>
        <v>2092850</v>
      </c>
      <c r="H8" s="11"/>
    </row>
    <row r="9" spans="1:11" x14ac:dyDescent="0.25">
      <c r="D9" s="2" t="s">
        <v>67</v>
      </c>
      <c r="F9" s="4">
        <f>+F8-F7</f>
        <v>92850</v>
      </c>
      <c r="G9" s="16">
        <f>+F9/F7</f>
        <v>4.6425000000000001E-2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1" x14ac:dyDescent="0.25">
      <c r="D10" s="2" t="s">
        <v>68</v>
      </c>
      <c r="F10" s="4">
        <f>+F7-F12</f>
        <v>-564887.5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2564887.5</v>
      </c>
      <c r="G12" s="14"/>
      <c r="H12" s="11">
        <f>COUNT(I23:I43)</f>
        <v>4</v>
      </c>
      <c r="I12" s="1" t="s">
        <v>31</v>
      </c>
      <c r="J12" s="4">
        <f>+F8*0.9</f>
        <v>1883565</v>
      </c>
      <c r="K12" s="1" t="s">
        <v>69</v>
      </c>
    </row>
    <row r="13" spans="1:11" x14ac:dyDescent="0.25">
      <c r="D13" s="2" t="s">
        <v>29</v>
      </c>
      <c r="F13" s="4">
        <f>MAX(I23:I43)-MIN(I23:I43)</f>
        <v>1092750</v>
      </c>
      <c r="G13" s="269">
        <f>MEDIAN(I23:I43)</f>
        <v>2490550</v>
      </c>
      <c r="H13" s="270"/>
      <c r="I13" s="1" t="s">
        <v>30</v>
      </c>
      <c r="J13" s="4">
        <f>+F12*1.1</f>
        <v>2821376.25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437</v>
      </c>
      <c r="E23" s="33"/>
      <c r="F23" t="s">
        <v>161</v>
      </c>
      <c r="G23" t="s">
        <v>93</v>
      </c>
      <c r="H23">
        <f>RANK(I23,I$23:I$43,1)</f>
        <v>2</v>
      </c>
      <c r="I23" s="4">
        <v>2196300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 t="s">
        <v>438</v>
      </c>
      <c r="E24" s="33"/>
      <c r="F24" t="s">
        <v>131</v>
      </c>
      <c r="G24" t="s">
        <v>25</v>
      </c>
      <c r="H24">
        <f>RANK(I24,I$23:I$43,1)</f>
        <v>1</v>
      </c>
      <c r="I24" s="4">
        <v>2092850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11" t="s">
        <v>439</v>
      </c>
      <c r="E25" s="33"/>
      <c r="F25" t="s">
        <v>147</v>
      </c>
      <c r="G25" t="s">
        <v>93</v>
      </c>
      <c r="H25">
        <f>RANK(I25,I$23:I$43,1)</f>
        <v>4</v>
      </c>
      <c r="I25" s="4">
        <v>3185600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11" t="s">
        <v>440</v>
      </c>
      <c r="E26" s="33"/>
      <c r="F26" t="s">
        <v>193</v>
      </c>
      <c r="G26" t="s">
        <v>25</v>
      </c>
      <c r="H26">
        <f>RANK(I26,I$23:I$43,1)</f>
        <v>3</v>
      </c>
      <c r="I26" s="4">
        <v>2784800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 t="str">
        <f t="shared" ref="E27:E43" si="1">IF(H27=1,"t","")</f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521" priority="10" operator="containsText" text="FAIL">
      <formula>NOT(ISERROR(SEARCH("FAIL",I9)))</formula>
    </cfRule>
  </conditionalFormatting>
  <conditionalFormatting sqref="I9">
    <cfRule type="containsText" dxfId="520" priority="9" operator="containsText" text="GOOD">
      <formula>NOT(ISERROR(SEARCH("GOOD",I9)))</formula>
    </cfRule>
  </conditionalFormatting>
  <conditionalFormatting sqref="F11">
    <cfRule type="containsText" dxfId="519" priority="8" operator="containsText" text="FAIL">
      <formula>NOT(ISERROR(SEARCH("FAIL",F11)))</formula>
    </cfRule>
  </conditionalFormatting>
  <conditionalFormatting sqref="F11">
    <cfRule type="containsText" dxfId="518" priority="7" operator="containsText" text="GOOD">
      <formula>NOT(ISERROR(SEARCH("GOOD",F11)))</formula>
    </cfRule>
  </conditionalFormatting>
  <conditionalFormatting sqref="D25">
    <cfRule type="expression" dxfId="517" priority="6" stopIfTrue="1">
      <formula>IF($H$25=1,0)</formula>
    </cfRule>
  </conditionalFormatting>
  <conditionalFormatting sqref="D23:D43">
    <cfRule type="expression" dxfId="516" priority="5">
      <formula>H23=1</formula>
    </cfRule>
  </conditionalFormatting>
  <conditionalFormatting sqref="C23:C43">
    <cfRule type="expression" dxfId="515" priority="4">
      <formula>H23=1</formula>
    </cfRule>
  </conditionalFormatting>
  <conditionalFormatting sqref="E23:E43">
    <cfRule type="expression" dxfId="514" priority="3">
      <formula>H23=1</formula>
    </cfRule>
  </conditionalFormatting>
  <conditionalFormatting sqref="F11">
    <cfRule type="containsText" dxfId="513" priority="2" operator="containsText" text="FAIL">
      <formula>NOT(ISERROR(SEARCH("FAIL",F11)))</formula>
    </cfRule>
  </conditionalFormatting>
  <conditionalFormatting sqref="F11">
    <cfRule type="containsText" dxfId="512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2:O47"/>
  <sheetViews>
    <sheetView workbookViewId="0">
      <selection activeCell="L18" sqref="L1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425</v>
      </c>
      <c r="I4" s="2" t="s">
        <v>4</v>
      </c>
    </row>
    <row r="5" spans="1:11" x14ac:dyDescent="0.25">
      <c r="D5" s="2" t="s">
        <v>1</v>
      </c>
      <c r="F5" t="s">
        <v>426</v>
      </c>
    </row>
    <row r="6" spans="1:11" x14ac:dyDescent="0.25">
      <c r="D6" s="2" t="s">
        <v>2</v>
      </c>
      <c r="F6" s="6">
        <v>42338</v>
      </c>
      <c r="H6" s="11"/>
    </row>
    <row r="7" spans="1:11" x14ac:dyDescent="0.25">
      <c r="D7" s="2" t="s">
        <v>3</v>
      </c>
      <c r="F7" s="5">
        <v>1200000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1222222</v>
      </c>
      <c r="H8" s="11"/>
    </row>
    <row r="9" spans="1:11" x14ac:dyDescent="0.25">
      <c r="D9" s="2" t="s">
        <v>67</v>
      </c>
      <c r="F9" s="4">
        <f>+F8-F7</f>
        <v>22222</v>
      </c>
      <c r="G9" s="16">
        <f>+F9/F7</f>
        <v>1.8518333333333335E-2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1" x14ac:dyDescent="0.25">
      <c r="D10" s="2" t="s">
        <v>68</v>
      </c>
      <c r="F10" s="4">
        <f>+F7-F12</f>
        <v>-669560.66666666674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1869560.6666666667</v>
      </c>
      <c r="G12" s="14"/>
      <c r="H12" s="11">
        <f>COUNT(I23:I43)</f>
        <v>6</v>
      </c>
      <c r="I12" s="1" t="s">
        <v>31</v>
      </c>
      <c r="J12" s="4">
        <f>+F8*0.9</f>
        <v>1099999.8</v>
      </c>
      <c r="K12" s="1" t="s">
        <v>69</v>
      </c>
    </row>
    <row r="13" spans="1:11" x14ac:dyDescent="0.25">
      <c r="D13" s="2" t="s">
        <v>29</v>
      </c>
      <c r="F13" s="4">
        <f>MAX(I23:I43)-MIN(I23:I43)</f>
        <v>1238778</v>
      </c>
      <c r="G13" s="269">
        <f>MEDIAN(I23:I43)</f>
        <v>1814500</v>
      </c>
      <c r="H13" s="270"/>
      <c r="I13" s="1" t="s">
        <v>30</v>
      </c>
      <c r="J13" s="4">
        <f>+F12*1.1</f>
        <v>2056516.7333333336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/>
      </c>
      <c r="D23" s="11" t="s">
        <v>427</v>
      </c>
      <c r="E23" s="33"/>
      <c r="F23" t="s">
        <v>428</v>
      </c>
      <c r="G23" t="s">
        <v>93</v>
      </c>
      <c r="H23">
        <f t="shared" ref="H23:H28" si="0">RANK(I23,I$23:I$43,1)</f>
        <v>5</v>
      </c>
      <c r="I23" s="4">
        <v>2417142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429</v>
      </c>
      <c r="E24" s="33"/>
      <c r="F24" t="s">
        <v>131</v>
      </c>
      <c r="G24" t="s">
        <v>25</v>
      </c>
      <c r="H24">
        <f t="shared" si="0"/>
        <v>6</v>
      </c>
      <c r="I24" s="4">
        <v>2461000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 t="s">
        <v>347</v>
      </c>
      <c r="E25" s="33"/>
      <c r="F25" t="s">
        <v>147</v>
      </c>
      <c r="G25" t="s">
        <v>93</v>
      </c>
      <c r="H25">
        <f t="shared" si="0"/>
        <v>1</v>
      </c>
      <c r="I25" s="4">
        <v>1222222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11" t="s">
        <v>430</v>
      </c>
      <c r="E26" s="33"/>
      <c r="F26" t="s">
        <v>186</v>
      </c>
      <c r="G26" t="s">
        <v>25</v>
      </c>
      <c r="H26">
        <f t="shared" si="0"/>
        <v>3</v>
      </c>
      <c r="I26" s="4">
        <v>1713000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11" t="s">
        <v>431</v>
      </c>
      <c r="E27" s="33" t="str">
        <f t="shared" ref="E27:E43" si="2">IF(H27=1,"t","")</f>
        <v/>
      </c>
      <c r="F27" t="s">
        <v>432</v>
      </c>
      <c r="G27" t="s">
        <v>93</v>
      </c>
      <c r="H27">
        <f t="shared" si="0"/>
        <v>2</v>
      </c>
      <c r="I27" s="4">
        <v>1488000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11" t="s">
        <v>433</v>
      </c>
      <c r="E28" s="33" t="str">
        <f t="shared" si="2"/>
        <v/>
      </c>
      <c r="F28" t="s">
        <v>92</v>
      </c>
      <c r="G28" t="s">
        <v>93</v>
      </c>
      <c r="H28">
        <f t="shared" si="0"/>
        <v>4</v>
      </c>
      <c r="I28" s="4">
        <v>1916000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11"/>
      <c r="E29" s="33" t="str">
        <f t="shared" si="2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11"/>
      <c r="E30" s="33" t="str">
        <f t="shared" si="2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 t="str">
        <f t="shared" si="2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 t="str">
        <f t="shared" si="2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 t="str">
        <f t="shared" si="2"/>
        <v/>
      </c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si="2"/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511" priority="10" operator="containsText" text="FAIL">
      <formula>NOT(ISERROR(SEARCH("FAIL",I9)))</formula>
    </cfRule>
  </conditionalFormatting>
  <conditionalFormatting sqref="I9">
    <cfRule type="containsText" dxfId="510" priority="9" operator="containsText" text="GOOD">
      <formula>NOT(ISERROR(SEARCH("GOOD",I9)))</formula>
    </cfRule>
  </conditionalFormatting>
  <conditionalFormatting sqref="F11">
    <cfRule type="containsText" dxfId="509" priority="8" operator="containsText" text="FAIL">
      <formula>NOT(ISERROR(SEARCH("FAIL",F11)))</formula>
    </cfRule>
  </conditionalFormatting>
  <conditionalFormatting sqref="F11">
    <cfRule type="containsText" dxfId="508" priority="7" operator="containsText" text="GOOD">
      <formula>NOT(ISERROR(SEARCH("GOOD",F11)))</formula>
    </cfRule>
  </conditionalFormatting>
  <conditionalFormatting sqref="D25">
    <cfRule type="expression" dxfId="507" priority="6" stopIfTrue="1">
      <formula>IF($H$25=1,0)</formula>
    </cfRule>
  </conditionalFormatting>
  <conditionalFormatting sqref="D23:D43">
    <cfRule type="expression" dxfId="506" priority="5">
      <formula>H23=1</formula>
    </cfRule>
  </conditionalFormatting>
  <conditionalFormatting sqref="C23:C43">
    <cfRule type="expression" dxfId="505" priority="4">
      <formula>H23=1</formula>
    </cfRule>
  </conditionalFormatting>
  <conditionalFormatting sqref="E23:E43">
    <cfRule type="expression" dxfId="504" priority="3">
      <formula>H23=1</formula>
    </cfRule>
  </conditionalFormatting>
  <conditionalFormatting sqref="F11">
    <cfRule type="containsText" dxfId="503" priority="2" operator="containsText" text="FAIL">
      <formula>NOT(ISERROR(SEARCH("FAIL",F11)))</formula>
    </cfRule>
  </conditionalFormatting>
  <conditionalFormatting sqref="F11">
    <cfRule type="containsText" dxfId="502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2:O46"/>
  <sheetViews>
    <sheetView workbookViewId="0">
      <selection activeCell="J5" sqref="J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224</v>
      </c>
      <c r="I4" s="2" t="s">
        <v>4</v>
      </c>
      <c r="J4" t="s">
        <v>616</v>
      </c>
    </row>
    <row r="5" spans="1:11" x14ac:dyDescent="0.25">
      <c r="D5" s="2" t="s">
        <v>1</v>
      </c>
      <c r="F5" t="s">
        <v>80</v>
      </c>
    </row>
    <row r="6" spans="1:11" x14ac:dyDescent="0.25">
      <c r="D6" s="2" t="s">
        <v>2</v>
      </c>
      <c r="F6" s="6">
        <v>42312</v>
      </c>
      <c r="H6" s="11"/>
    </row>
    <row r="7" spans="1:11" x14ac:dyDescent="0.25">
      <c r="D7" s="2" t="s">
        <v>3</v>
      </c>
      <c r="F7" s="5">
        <v>8700000</v>
      </c>
      <c r="G7" s="2" t="s">
        <v>34</v>
      </c>
      <c r="H7" s="11"/>
    </row>
    <row r="8" spans="1:11" x14ac:dyDescent="0.25">
      <c r="D8" s="2" t="s">
        <v>18</v>
      </c>
      <c r="F8" s="5">
        <f>MIN(I23:I42)</f>
        <v>10162935</v>
      </c>
      <c r="H8" s="11"/>
    </row>
    <row r="9" spans="1:11" x14ac:dyDescent="0.25">
      <c r="D9" s="2" t="s">
        <v>67</v>
      </c>
      <c r="F9" s="4">
        <f>+F8-F7</f>
        <v>1462935</v>
      </c>
      <c r="G9" s="16">
        <f>+F9/F7</f>
        <v>0.16815344827586207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-2268524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SUM(I23:I42)/H12</f>
        <v>10968524</v>
      </c>
      <c r="G12" s="14"/>
      <c r="H12" s="11">
        <f>COUNT(I23:I42)</f>
        <v>3</v>
      </c>
      <c r="I12" s="1" t="s">
        <v>31</v>
      </c>
      <c r="J12" s="4">
        <f>+F8*0.9</f>
        <v>9146641.5</v>
      </c>
      <c r="K12" s="1" t="s">
        <v>69</v>
      </c>
    </row>
    <row r="13" spans="1:11" x14ac:dyDescent="0.25">
      <c r="D13" s="2" t="s">
        <v>29</v>
      </c>
      <c r="F13" s="4">
        <f>MAX(I23:I42)-MIN(I23:I42)</f>
        <v>1819702</v>
      </c>
      <c r="G13" s="269">
        <f>MEDIAN(I23:I42)</f>
        <v>10760000</v>
      </c>
      <c r="H13" s="270"/>
      <c r="I13" s="1" t="s">
        <v>30</v>
      </c>
      <c r="J13" s="4">
        <f>+F12*1.1</f>
        <v>12065376.4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81</v>
      </c>
      <c r="E23" s="33"/>
      <c r="F23" t="s">
        <v>82</v>
      </c>
      <c r="G23" t="s">
        <v>25</v>
      </c>
      <c r="H23">
        <f>RANK(I23,I$23:I$42,1)</f>
        <v>1</v>
      </c>
      <c r="I23" s="4">
        <v>10162935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83</v>
      </c>
      <c r="E24" s="33"/>
      <c r="F24" t="s">
        <v>40</v>
      </c>
      <c r="G24" t="s">
        <v>25</v>
      </c>
      <c r="H24">
        <f>RANK(I24,I$23:I$42,1)</f>
        <v>2</v>
      </c>
      <c r="I24" s="4">
        <v>10760000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84</v>
      </c>
      <c r="E25" s="33"/>
      <c r="F25" t="s">
        <v>85</v>
      </c>
      <c r="G25" t="s">
        <v>25</v>
      </c>
      <c r="H25">
        <f>RANK(I25,I$23:I$42,1)</f>
        <v>3</v>
      </c>
      <c r="I25" s="4">
        <v>11982637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2" si="0">IF(H26=1,"u","")</f>
        <v/>
      </c>
      <c r="D26" s="11"/>
      <c r="E26" s="33" t="str">
        <f t="shared" ref="E26:E42" si="1">IF(H26=1,"t","")</f>
        <v/>
      </c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 t="str">
        <f t="shared" si="1"/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M32" s="21"/>
      <c r="N32" s="21"/>
      <c r="O32" s="21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ht="6" customHeight="1" x14ac:dyDescent="0.25">
      <c r="C43" s="9"/>
      <c r="D43" s="9"/>
      <c r="E43" s="9"/>
      <c r="F43" s="9"/>
      <c r="G43" s="9"/>
      <c r="H43" s="9"/>
      <c r="I43" s="9"/>
      <c r="J43" s="9"/>
      <c r="K43" s="9"/>
      <c r="L43" s="9"/>
      <c r="M43" s="21"/>
      <c r="N43" s="21"/>
      <c r="O43" s="21"/>
    </row>
    <row r="44" spans="3:15" ht="6" customHeight="1" x14ac:dyDescent="0.25">
      <c r="M44" s="21"/>
      <c r="N44" s="21"/>
      <c r="O44" s="21"/>
    </row>
    <row r="45" spans="3:15" x14ac:dyDescent="0.25">
      <c r="C45" s="15" t="s">
        <v>79</v>
      </c>
      <c r="M45" s="21"/>
      <c r="N45" s="21"/>
      <c r="O45" s="21"/>
    </row>
    <row r="46" spans="3:15" x14ac:dyDescent="0.25">
      <c r="C46" s="15" t="s">
        <v>78</v>
      </c>
    </row>
  </sheetData>
  <mergeCells count="1">
    <mergeCell ref="G13:H13"/>
  </mergeCells>
  <conditionalFormatting sqref="I9">
    <cfRule type="containsText" dxfId="501" priority="10" operator="containsText" text="FAIL">
      <formula>NOT(ISERROR(SEARCH("FAIL",I9)))</formula>
    </cfRule>
  </conditionalFormatting>
  <conditionalFormatting sqref="I9">
    <cfRule type="containsText" dxfId="500" priority="9" operator="containsText" text="GOOD">
      <formula>NOT(ISERROR(SEARCH("GOOD",I9)))</formula>
    </cfRule>
  </conditionalFormatting>
  <conditionalFormatting sqref="F11">
    <cfRule type="containsText" dxfId="499" priority="8" operator="containsText" text="FAIL">
      <formula>NOT(ISERROR(SEARCH("FAIL",F11)))</formula>
    </cfRule>
  </conditionalFormatting>
  <conditionalFormatting sqref="F11">
    <cfRule type="containsText" dxfId="498" priority="7" operator="containsText" text="GOOD">
      <formula>NOT(ISERROR(SEARCH("GOOD",F11)))</formula>
    </cfRule>
  </conditionalFormatting>
  <conditionalFormatting sqref="D25">
    <cfRule type="expression" dxfId="497" priority="6" stopIfTrue="1">
      <formula>IF($H$25=1,0)</formula>
    </cfRule>
  </conditionalFormatting>
  <conditionalFormatting sqref="D23:D42">
    <cfRule type="expression" dxfId="496" priority="5">
      <formula>H23=1</formula>
    </cfRule>
  </conditionalFormatting>
  <conditionalFormatting sqref="C23:C42">
    <cfRule type="expression" dxfId="495" priority="4">
      <formula>H23=1</formula>
    </cfRule>
  </conditionalFormatting>
  <conditionalFormatting sqref="E23:E42">
    <cfRule type="expression" dxfId="494" priority="3">
      <formula>H23=1</formula>
    </cfRule>
  </conditionalFormatting>
  <pageMargins left="0.7" right="0.7" top="0.75" bottom="0.75" header="0.3" footer="0.3"/>
  <pageSetup orientation="portrait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2:O47"/>
  <sheetViews>
    <sheetView zoomScaleNormal="100" workbookViewId="0">
      <selection activeCell="G7" sqref="G7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4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4" ht="18.75" x14ac:dyDescent="0.3">
      <c r="C3" s="3" t="s">
        <v>26</v>
      </c>
      <c r="J3" s="8" t="s">
        <v>48</v>
      </c>
    </row>
    <row r="4" spans="1:14" x14ac:dyDescent="0.25">
      <c r="C4" s="1"/>
      <c r="D4" s="2" t="s">
        <v>0</v>
      </c>
      <c r="E4" s="1"/>
      <c r="F4" t="s">
        <v>188</v>
      </c>
      <c r="I4" s="2" t="s">
        <v>4</v>
      </c>
    </row>
    <row r="5" spans="1:14" x14ac:dyDescent="0.25">
      <c r="D5" s="2" t="s">
        <v>1</v>
      </c>
      <c r="F5" t="s">
        <v>189</v>
      </c>
    </row>
    <row r="6" spans="1:14" x14ac:dyDescent="0.25">
      <c r="D6" s="2" t="s">
        <v>2</v>
      </c>
      <c r="F6" s="6">
        <v>42310</v>
      </c>
      <c r="H6" s="11"/>
    </row>
    <row r="7" spans="1:14" x14ac:dyDescent="0.25">
      <c r="D7" s="2" t="s">
        <v>3</v>
      </c>
      <c r="F7" s="5">
        <f>+(K7*L7)+K7+J7+I7</f>
        <v>7055100</v>
      </c>
      <c r="G7" s="2" t="s">
        <v>190</v>
      </c>
      <c r="H7" s="11"/>
      <c r="I7" s="19">
        <v>5041000</v>
      </c>
      <c r="J7" s="19">
        <v>0</v>
      </c>
      <c r="K7" s="19">
        <v>1831000</v>
      </c>
      <c r="L7" s="20">
        <v>0.1</v>
      </c>
    </row>
    <row r="8" spans="1:14" x14ac:dyDescent="0.25">
      <c r="D8" s="2" t="s">
        <v>18</v>
      </c>
      <c r="F8" s="5">
        <f>MIN(L23:L43)</f>
        <v>5774440</v>
      </c>
      <c r="H8" s="11"/>
      <c r="I8" s="18" t="s">
        <v>43</v>
      </c>
      <c r="J8" s="18" t="s">
        <v>44</v>
      </c>
      <c r="K8" s="18" t="s">
        <v>49</v>
      </c>
      <c r="L8" s="18" t="s">
        <v>50</v>
      </c>
    </row>
    <row r="9" spans="1:14" x14ac:dyDescent="0.25">
      <c r="D9" s="2" t="s">
        <v>19</v>
      </c>
      <c r="F9" s="4">
        <f>+F8-F7</f>
        <v>-1280660</v>
      </c>
      <c r="G9" s="16">
        <f>+F9/F7</f>
        <v>-0.18152258649771089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4" x14ac:dyDescent="0.25">
      <c r="D10" s="2" t="s">
        <v>68</v>
      </c>
      <c r="F10" s="4">
        <f>+F7-F12</f>
        <v>689553.33333333302</v>
      </c>
      <c r="H10" s="11"/>
      <c r="K10" s="31"/>
      <c r="N10" t="e">
        <f>LOOKUP(1,D23:D43)</f>
        <v>#N/A</v>
      </c>
    </row>
    <row r="11" spans="1:14" x14ac:dyDescent="0.25">
      <c r="A11" s="30"/>
      <c r="D11" s="2" t="s">
        <v>71</v>
      </c>
      <c r="F11" s="11" t="str">
        <f>(IF(F7&lt;J12,"FAIL",IF(F7&gt;J13,"FAIL","GOOD")))</f>
        <v>FAIL</v>
      </c>
      <c r="H11" s="11"/>
      <c r="L11" s="31"/>
      <c r="N11" t="e">
        <f>MATCH(1,D23:H43,0)</f>
        <v>#N/A</v>
      </c>
    </row>
    <row r="12" spans="1:14" x14ac:dyDescent="0.25">
      <c r="D12" s="2" t="s">
        <v>28</v>
      </c>
      <c r="F12" s="4">
        <f>SUM(L23:L43)/H12</f>
        <v>6365546.666666667</v>
      </c>
      <c r="G12" s="14"/>
      <c r="H12" s="11">
        <f>COUNT(L23:L43)</f>
        <v>3</v>
      </c>
      <c r="I12" s="1" t="s">
        <v>31</v>
      </c>
      <c r="J12" s="4">
        <f>+F8*0.9</f>
        <v>5196996</v>
      </c>
      <c r="K12" s="1" t="s">
        <v>69</v>
      </c>
      <c r="N12" t="str">
        <f>INDEX(D23:D43,MATCH(1,H23:H43,0))</f>
        <v>Tilcon New York, Inc.</v>
      </c>
    </row>
    <row r="13" spans="1:14" x14ac:dyDescent="0.25">
      <c r="D13" s="2" t="s">
        <v>29</v>
      </c>
      <c r="F13" s="4">
        <f>MAX(L23:L43)-MIN(L23:L43)</f>
        <v>1159810</v>
      </c>
      <c r="G13" s="269">
        <f>MEDIAN(L23:L43)</f>
        <v>6387950</v>
      </c>
      <c r="H13" s="270"/>
      <c r="I13" s="1" t="s">
        <v>30</v>
      </c>
      <c r="J13" s="4">
        <f>+F12*1.1</f>
        <v>7002101.333333334</v>
      </c>
      <c r="K13" s="1" t="s">
        <v>70</v>
      </c>
    </row>
    <row r="14" spans="1:14" x14ac:dyDescent="0.25">
      <c r="H14" s="11"/>
    </row>
    <row r="15" spans="1:14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4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42</v>
      </c>
      <c r="L21" s="10" t="s">
        <v>39</v>
      </c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191</v>
      </c>
      <c r="E23" s="33"/>
      <c r="F23" t="s">
        <v>192</v>
      </c>
      <c r="G23" t="s">
        <v>25</v>
      </c>
      <c r="H23">
        <f>RANK(L23,L$23:L$43,1)</f>
        <v>1</v>
      </c>
      <c r="I23" s="4">
        <v>3851890</v>
      </c>
      <c r="J23" s="4">
        <v>0</v>
      </c>
      <c r="K23" s="7">
        <v>0.05</v>
      </c>
      <c r="L23" s="4">
        <f>+I23+J23+(K23*K$7)+$K$7</f>
        <v>5774440</v>
      </c>
      <c r="M23" s="22"/>
      <c r="N23" s="22"/>
      <c r="O23" s="22"/>
    </row>
    <row r="24" spans="3:15" x14ac:dyDescent="0.25">
      <c r="C24" s="33" t="str">
        <f>IF(H24=1,"u","")</f>
        <v/>
      </c>
      <c r="D24" s="23" t="s">
        <v>138</v>
      </c>
      <c r="E24" s="33"/>
      <c r="F24" t="s">
        <v>193</v>
      </c>
      <c r="G24" t="s">
        <v>25</v>
      </c>
      <c r="H24">
        <f>RANK(L24,L$23:L$43,1)</f>
        <v>2</v>
      </c>
      <c r="I24" s="4">
        <v>4465400</v>
      </c>
      <c r="J24" s="4">
        <v>0</v>
      </c>
      <c r="K24" s="7">
        <v>0.05</v>
      </c>
      <c r="L24" s="4">
        <f>+I24+J24+(K24*K$7)+$K$7</f>
        <v>6387950</v>
      </c>
      <c r="M24" s="22"/>
      <c r="N24" s="22"/>
      <c r="O24" s="22"/>
    </row>
    <row r="25" spans="3:15" x14ac:dyDescent="0.25">
      <c r="C25" s="33" t="str">
        <f>IF(H25=1,"u","")</f>
        <v/>
      </c>
      <c r="D25" s="23" t="s">
        <v>194</v>
      </c>
      <c r="E25" s="33"/>
      <c r="F25" t="s">
        <v>195</v>
      </c>
      <c r="G25" t="s">
        <v>93</v>
      </c>
      <c r="H25">
        <f>RANK(L25,L$23:L$43,1)</f>
        <v>3</v>
      </c>
      <c r="I25" s="4">
        <v>5011700</v>
      </c>
      <c r="J25" s="4">
        <v>0</v>
      </c>
      <c r="K25" s="7">
        <v>0.05</v>
      </c>
      <c r="L25" s="4">
        <f>+I25+J25+(K25*K$7)+$K$7</f>
        <v>6934250</v>
      </c>
      <c r="M25" s="22"/>
      <c r="N25" s="22"/>
      <c r="O25" s="22"/>
    </row>
    <row r="26" spans="3:15" x14ac:dyDescent="0.25">
      <c r="C26" s="33"/>
      <c r="D26" s="23"/>
      <c r="E26" s="33"/>
      <c r="I26" s="4"/>
      <c r="J26" s="4"/>
      <c r="K26" s="7"/>
      <c r="L26" s="4"/>
      <c r="M26" s="22"/>
      <c r="N26" s="22"/>
      <c r="O26" s="22"/>
    </row>
    <row r="27" spans="3:15" x14ac:dyDescent="0.25">
      <c r="C27" s="33"/>
      <c r="D27" s="23"/>
      <c r="E27" s="33"/>
      <c r="I27" s="4"/>
      <c r="J27" s="4"/>
      <c r="K27" s="7"/>
      <c r="L27" s="4"/>
      <c r="M27" s="22"/>
      <c r="N27" s="22"/>
      <c r="O27" s="22"/>
    </row>
    <row r="28" spans="3:15" x14ac:dyDescent="0.25">
      <c r="C28" s="33"/>
      <c r="D28" s="23"/>
      <c r="E28" s="33"/>
      <c r="I28" s="4"/>
      <c r="J28" s="4"/>
      <c r="K28" s="7"/>
      <c r="L28" s="4"/>
      <c r="M28" s="22"/>
      <c r="N28" s="22"/>
      <c r="O28" s="22"/>
    </row>
    <row r="29" spans="3:15" x14ac:dyDescent="0.25">
      <c r="C29" s="33"/>
      <c r="D29" s="23"/>
      <c r="E29" s="33"/>
      <c r="I29" s="4"/>
      <c r="J29" s="4"/>
      <c r="K29" s="7"/>
      <c r="L29" s="4"/>
      <c r="M29" s="22"/>
      <c r="N29" s="22"/>
      <c r="O29" s="22"/>
    </row>
    <row r="30" spans="3:15" x14ac:dyDescent="0.25">
      <c r="C30" s="33"/>
      <c r="D30" s="11"/>
      <c r="E30" s="33"/>
      <c r="I30" s="4"/>
      <c r="J30" s="4"/>
      <c r="K30" s="7"/>
      <c r="L30" s="4"/>
      <c r="M30" s="22"/>
      <c r="N30" s="22"/>
      <c r="O30" s="22"/>
    </row>
    <row r="31" spans="3:15" x14ac:dyDescent="0.25">
      <c r="C31" s="33" t="str">
        <f t="shared" ref="C31:C43" si="0">IF(H31=1,"u","")</f>
        <v/>
      </c>
      <c r="D31" s="11"/>
      <c r="E31" s="33" t="str">
        <f t="shared" ref="E31:E43" si="1">IF(H31=1,"t","")</f>
        <v/>
      </c>
      <c r="I31" s="4"/>
      <c r="J31" s="4"/>
      <c r="K31" s="7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7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I33" s="4"/>
      <c r="J33" s="4"/>
      <c r="K33" s="7"/>
      <c r="L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K34" s="7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K35" s="7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K36" s="7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K37" s="7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K38" s="7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K39" s="7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K40" s="7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K41" s="7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K42" s="7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K43" s="7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  <c r="M47" s="21"/>
      <c r="N47" s="21"/>
      <c r="O47" s="21"/>
    </row>
  </sheetData>
  <mergeCells count="1">
    <mergeCell ref="G13:H13"/>
  </mergeCells>
  <conditionalFormatting sqref="I9 F11">
    <cfRule type="containsText" dxfId="493" priority="8" operator="containsText" text="FAIL">
      <formula>NOT(ISERROR(SEARCH("FAIL",F9)))</formula>
    </cfRule>
  </conditionalFormatting>
  <conditionalFormatting sqref="I9 F11">
    <cfRule type="containsText" dxfId="492" priority="7" operator="containsText" text="GOOD">
      <formula>NOT(ISERROR(SEARCH("GOOD",F9)))</formula>
    </cfRule>
  </conditionalFormatting>
  <conditionalFormatting sqref="I9">
    <cfRule type="containsText" dxfId="491" priority="6" operator="containsText" text="FAIL">
      <formula>NOT(ISERROR(SEARCH("FAIL",I9)))</formula>
    </cfRule>
  </conditionalFormatting>
  <conditionalFormatting sqref="I9">
    <cfRule type="containsText" dxfId="490" priority="5" operator="containsText" text="GOOD">
      <formula>NOT(ISERROR(SEARCH("GOOD",I9)))</formula>
    </cfRule>
  </conditionalFormatting>
  <conditionalFormatting sqref="D25">
    <cfRule type="expression" dxfId="489" priority="4" stopIfTrue="1">
      <formula>IF($H$25=1,0)</formula>
    </cfRule>
  </conditionalFormatting>
  <conditionalFormatting sqref="D23:D43">
    <cfRule type="expression" dxfId="488" priority="3">
      <formula>H23=1</formula>
    </cfRule>
  </conditionalFormatting>
  <conditionalFormatting sqref="C23:C43">
    <cfRule type="expression" dxfId="487" priority="2">
      <formula>H23=1</formula>
    </cfRule>
  </conditionalFormatting>
  <conditionalFormatting sqref="E23:E43">
    <cfRule type="expression" dxfId="486" priority="1">
      <formula>H23=1</formula>
    </cfRule>
  </conditionalFormatting>
  <pageMargins left="0.7" right="0.7" top="0.75" bottom="0.75" header="0.3" footer="0.3"/>
  <pageSetup orientation="portrait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2:O47"/>
  <sheetViews>
    <sheetView workbookViewId="0">
      <selection activeCell="K33" sqref="K3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196</v>
      </c>
      <c r="I4" s="2" t="s">
        <v>4</v>
      </c>
    </row>
    <row r="5" spans="1:11" x14ac:dyDescent="0.25">
      <c r="D5" s="2" t="s">
        <v>1</v>
      </c>
      <c r="F5" t="s">
        <v>197</v>
      </c>
    </row>
    <row r="6" spans="1:11" x14ac:dyDescent="0.25">
      <c r="D6" s="2" t="s">
        <v>2</v>
      </c>
      <c r="F6" s="6">
        <v>42307</v>
      </c>
      <c r="H6" s="11"/>
    </row>
    <row r="7" spans="1:11" x14ac:dyDescent="0.25">
      <c r="D7" s="2" t="s">
        <v>3</v>
      </c>
      <c r="F7" s="5">
        <f>+I7+J7</f>
        <v>7100000</v>
      </c>
      <c r="G7" s="2" t="s">
        <v>34</v>
      </c>
      <c r="H7" s="11"/>
      <c r="I7" s="19">
        <v>4310000</v>
      </c>
      <c r="J7" s="19">
        <v>2790000</v>
      </c>
    </row>
    <row r="8" spans="1:11" x14ac:dyDescent="0.25">
      <c r="D8" s="2" t="s">
        <v>18</v>
      </c>
      <c r="F8" s="5">
        <f>MIN(K23:K43)</f>
        <v>6676400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-423600</v>
      </c>
      <c r="G9" s="16">
        <f>+F9/F7</f>
        <v>-5.9661971830985913E-2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1" x14ac:dyDescent="0.25">
      <c r="D10" s="2" t="s">
        <v>68</v>
      </c>
      <c r="F10" s="4">
        <f>+F7-F12</f>
        <v>-4890432.1363636367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11990432.136363637</v>
      </c>
      <c r="G12" s="14"/>
      <c r="H12" s="11">
        <f>COUNT(K23:K43)</f>
        <v>11</v>
      </c>
      <c r="I12" s="1" t="s">
        <v>31</v>
      </c>
      <c r="J12" s="4">
        <f>+F8*0.9</f>
        <v>6008760</v>
      </c>
      <c r="K12" s="1" t="s">
        <v>69</v>
      </c>
    </row>
    <row r="13" spans="1:11" x14ac:dyDescent="0.25">
      <c r="D13" s="2" t="s">
        <v>29</v>
      </c>
      <c r="F13" s="4">
        <f>MAX(K23:K43)-MIN(K23:K43)</f>
        <v>10048600</v>
      </c>
      <c r="G13" s="269">
        <f>MEDIAN(K23:K43)</f>
        <v>10740000</v>
      </c>
      <c r="H13" s="270"/>
      <c r="I13" s="1" t="s">
        <v>30</v>
      </c>
      <c r="J13" s="4">
        <f>+F12*1.1</f>
        <v>13189475.350000001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99</v>
      </c>
      <c r="E23" s="33"/>
      <c r="F23" t="s">
        <v>100</v>
      </c>
      <c r="G23" t="s">
        <v>93</v>
      </c>
      <c r="H23">
        <f>RANK(K23,K$23:K$43,1)</f>
        <v>1</v>
      </c>
      <c r="I23" s="4">
        <v>6460000</v>
      </c>
      <c r="J23" s="4">
        <v>216400</v>
      </c>
      <c r="K23" s="4">
        <f>+J23+I23</f>
        <v>6676400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198</v>
      </c>
      <c r="E24" s="33"/>
      <c r="F24" t="s">
        <v>199</v>
      </c>
      <c r="G24" t="s">
        <v>93</v>
      </c>
      <c r="H24">
        <f t="shared" ref="H24:H33" si="0">RANK(K24,K$23:K$43,1)</f>
        <v>2</v>
      </c>
      <c r="I24" s="4">
        <v>7232900</v>
      </c>
      <c r="J24" s="4">
        <v>1533000</v>
      </c>
      <c r="K24" s="4">
        <f t="shared" ref="K24:K33" si="1">+J24+I24</f>
        <v>8765900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178</v>
      </c>
      <c r="E25" s="33"/>
      <c r="F25" t="s">
        <v>179</v>
      </c>
      <c r="G25" t="s">
        <v>25</v>
      </c>
      <c r="H25">
        <f t="shared" si="0"/>
        <v>3</v>
      </c>
      <c r="I25" s="4">
        <v>8295278.5</v>
      </c>
      <c r="J25" s="4">
        <v>650000</v>
      </c>
      <c r="K25" s="4">
        <f t="shared" si="1"/>
        <v>8945278.5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23" t="s">
        <v>91</v>
      </c>
      <c r="E26" s="33"/>
      <c r="F26" t="s">
        <v>92</v>
      </c>
      <c r="G26" t="s">
        <v>93</v>
      </c>
      <c r="H26">
        <f t="shared" si="0"/>
        <v>4</v>
      </c>
      <c r="I26" s="4">
        <v>8501150</v>
      </c>
      <c r="J26" s="4">
        <v>1296000</v>
      </c>
      <c r="K26" s="4">
        <f t="shared" si="1"/>
        <v>9797150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23" t="s">
        <v>200</v>
      </c>
      <c r="E27" s="33"/>
      <c r="F27" t="s">
        <v>201</v>
      </c>
      <c r="G27" t="s">
        <v>25</v>
      </c>
      <c r="H27">
        <f t="shared" si="0"/>
        <v>5</v>
      </c>
      <c r="I27" s="4">
        <v>8748550</v>
      </c>
      <c r="J27" s="4">
        <v>1705000</v>
      </c>
      <c r="K27" s="4">
        <f t="shared" si="1"/>
        <v>10453550</v>
      </c>
      <c r="L27" s="4"/>
      <c r="M27" s="22"/>
      <c r="N27" s="22"/>
      <c r="O27" s="22"/>
    </row>
    <row r="28" spans="3:15" x14ac:dyDescent="0.25">
      <c r="C28" s="33" t="str">
        <f t="shared" si="2"/>
        <v/>
      </c>
      <c r="D28" s="23" t="s">
        <v>202</v>
      </c>
      <c r="E28" s="33"/>
      <c r="F28" t="s">
        <v>203</v>
      </c>
      <c r="G28" t="s">
        <v>204</v>
      </c>
      <c r="H28">
        <f t="shared" si="0"/>
        <v>6</v>
      </c>
      <c r="I28" s="4">
        <v>7913000</v>
      </c>
      <c r="J28" s="4">
        <v>2827000</v>
      </c>
      <c r="K28" s="4">
        <f t="shared" si="1"/>
        <v>10740000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23" t="s">
        <v>205</v>
      </c>
      <c r="E29" s="33"/>
      <c r="F29" t="s">
        <v>161</v>
      </c>
      <c r="G29" t="s">
        <v>93</v>
      </c>
      <c r="H29">
        <f t="shared" si="0"/>
        <v>7</v>
      </c>
      <c r="I29" s="4">
        <v>12278350</v>
      </c>
      <c r="J29" s="4">
        <v>1853775</v>
      </c>
      <c r="K29" s="4">
        <f t="shared" si="1"/>
        <v>14132125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23" t="s">
        <v>206</v>
      </c>
      <c r="E30" s="33"/>
      <c r="F30" t="s">
        <v>165</v>
      </c>
      <c r="G30" t="s">
        <v>93</v>
      </c>
      <c r="H30">
        <f t="shared" si="0"/>
        <v>8</v>
      </c>
      <c r="I30" s="4">
        <v>12081462</v>
      </c>
      <c r="J30" s="4">
        <v>2804538</v>
      </c>
      <c r="K30" s="4">
        <f t="shared" si="1"/>
        <v>14886000</v>
      </c>
      <c r="L30" s="4"/>
      <c r="M30" s="22"/>
      <c r="N30" s="22"/>
      <c r="O30" s="22"/>
    </row>
    <row r="31" spans="3:15" x14ac:dyDescent="0.25">
      <c r="C31" s="33" t="str">
        <f t="shared" si="2"/>
        <v/>
      </c>
      <c r="D31" s="23" t="s">
        <v>207</v>
      </c>
      <c r="E31" s="33"/>
      <c r="F31" t="s">
        <v>208</v>
      </c>
      <c r="G31" t="s">
        <v>93</v>
      </c>
      <c r="H31">
        <f t="shared" si="0"/>
        <v>9</v>
      </c>
      <c r="I31" s="4">
        <v>11631350</v>
      </c>
      <c r="J31" s="4">
        <v>3310000</v>
      </c>
      <c r="K31" s="4">
        <f t="shared" si="1"/>
        <v>14941350</v>
      </c>
      <c r="L31" s="4"/>
      <c r="M31" s="22"/>
      <c r="N31" s="22"/>
      <c r="O31" s="22"/>
    </row>
    <row r="32" spans="3:15" x14ac:dyDescent="0.25">
      <c r="C32" s="33" t="str">
        <f t="shared" si="2"/>
        <v/>
      </c>
      <c r="D32" s="23" t="s">
        <v>209</v>
      </c>
      <c r="E32" s="33"/>
      <c r="F32" t="s">
        <v>139</v>
      </c>
      <c r="G32" t="s">
        <v>25</v>
      </c>
      <c r="H32">
        <f t="shared" si="0"/>
        <v>10</v>
      </c>
      <c r="I32" s="4">
        <v>12928315</v>
      </c>
      <c r="J32" s="4">
        <v>2903685</v>
      </c>
      <c r="K32" s="4">
        <f t="shared" si="1"/>
        <v>15832000</v>
      </c>
      <c r="L32" s="4"/>
      <c r="M32" s="22"/>
      <c r="N32" s="22"/>
      <c r="O32" s="22"/>
    </row>
    <row r="33" spans="3:15" x14ac:dyDescent="0.25">
      <c r="C33" s="33" t="str">
        <f t="shared" si="2"/>
        <v/>
      </c>
      <c r="D33" s="23" t="s">
        <v>210</v>
      </c>
      <c r="E33" s="33"/>
      <c r="F33" t="s">
        <v>145</v>
      </c>
      <c r="G33" t="s">
        <v>25</v>
      </c>
      <c r="H33">
        <f t="shared" si="0"/>
        <v>11</v>
      </c>
      <c r="I33" s="4">
        <v>8679800</v>
      </c>
      <c r="J33" s="4">
        <v>8045200</v>
      </c>
      <c r="K33" s="4">
        <f t="shared" si="1"/>
        <v>16725000</v>
      </c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 t="str">
        <f t="shared" ref="E34:E43" si="3">IF(H34=1,"t","")</f>
        <v/>
      </c>
      <c r="K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 t="str">
        <f t="shared" si="3"/>
        <v/>
      </c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 t="str">
        <f t="shared" si="3"/>
        <v/>
      </c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85" priority="19" operator="containsText" text="FAIL">
      <formula>NOT(ISERROR(SEARCH("FAIL",I9)))</formula>
    </cfRule>
  </conditionalFormatting>
  <conditionalFormatting sqref="I9">
    <cfRule type="containsText" dxfId="484" priority="18" operator="containsText" text="GOOD">
      <formula>NOT(ISERROR(SEARCH("GOOD",I9)))</formula>
    </cfRule>
  </conditionalFormatting>
  <conditionalFormatting sqref="I9">
    <cfRule type="containsText" dxfId="483" priority="17" operator="containsText" text="FAIL">
      <formula>NOT(ISERROR(SEARCH("FAIL",I9)))</formula>
    </cfRule>
  </conditionalFormatting>
  <conditionalFormatting sqref="I9">
    <cfRule type="containsText" dxfId="482" priority="16" operator="containsText" text="GOOD">
      <formula>NOT(ISERROR(SEARCH("GOOD",I9)))</formula>
    </cfRule>
  </conditionalFormatting>
  <conditionalFormatting sqref="I9">
    <cfRule type="containsText" dxfId="481" priority="15" operator="containsText" text="FAIL">
      <formula>NOT(ISERROR(SEARCH("FAIL",I9)))</formula>
    </cfRule>
  </conditionalFormatting>
  <conditionalFormatting sqref="I9">
    <cfRule type="containsText" dxfId="480" priority="14" operator="containsText" text="GOOD">
      <formula>NOT(ISERROR(SEARCH("GOOD",I9)))</formula>
    </cfRule>
  </conditionalFormatting>
  <conditionalFormatting sqref="F11">
    <cfRule type="containsText" dxfId="479" priority="13" operator="containsText" text="FAIL">
      <formula>NOT(ISERROR(SEARCH("FAIL",F11)))</formula>
    </cfRule>
  </conditionalFormatting>
  <conditionalFormatting sqref="F11">
    <cfRule type="containsText" dxfId="478" priority="12" operator="containsText" text="GOOD">
      <formula>NOT(ISERROR(SEARCH("GOOD",F11)))</formula>
    </cfRule>
  </conditionalFormatting>
  <conditionalFormatting sqref="I9">
    <cfRule type="containsText" dxfId="477" priority="11" operator="containsText" text="FAIL">
      <formula>NOT(ISERROR(SEARCH("FAIL",I9)))</formula>
    </cfRule>
  </conditionalFormatting>
  <conditionalFormatting sqref="I9">
    <cfRule type="containsText" dxfId="476" priority="10" operator="containsText" text="GOOD">
      <formula>NOT(ISERROR(SEARCH("GOOD",I9)))</formula>
    </cfRule>
  </conditionalFormatting>
  <conditionalFormatting sqref="F11">
    <cfRule type="containsText" dxfId="475" priority="9" operator="containsText" text="FAIL">
      <formula>NOT(ISERROR(SEARCH("FAIL",F11)))</formula>
    </cfRule>
  </conditionalFormatting>
  <conditionalFormatting sqref="F11">
    <cfRule type="containsText" dxfId="474" priority="8" operator="containsText" text="GOOD">
      <formula>NOT(ISERROR(SEARCH("GOOD",F11)))</formula>
    </cfRule>
  </conditionalFormatting>
  <conditionalFormatting sqref="D25">
    <cfRule type="expression" dxfId="473" priority="7" stopIfTrue="1">
      <formula>IF($H$25=1,0)</formula>
    </cfRule>
  </conditionalFormatting>
  <conditionalFormatting sqref="D23:D43">
    <cfRule type="expression" dxfId="472" priority="6">
      <formula>H23=1</formula>
    </cfRule>
  </conditionalFormatting>
  <conditionalFormatting sqref="C23:C43">
    <cfRule type="expression" dxfId="471" priority="5">
      <formula>H23=1</formula>
    </cfRule>
  </conditionalFormatting>
  <conditionalFormatting sqref="E23:E43">
    <cfRule type="expression" dxfId="470" priority="4">
      <formula>H23=1</formula>
    </cfRule>
  </conditionalFormatting>
  <conditionalFormatting sqref="E23:E43">
    <cfRule type="expression" dxfId="469" priority="3">
      <formula>H23=1</formula>
    </cfRule>
  </conditionalFormatting>
  <conditionalFormatting sqref="F11">
    <cfRule type="containsText" dxfId="468" priority="2" operator="containsText" text="FAIL">
      <formula>NOT(ISERROR(SEARCH("FAIL",F11)))</formula>
    </cfRule>
  </conditionalFormatting>
  <conditionalFormatting sqref="F11">
    <cfRule type="containsText" dxfId="467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2:O47"/>
  <sheetViews>
    <sheetView workbookViewId="0">
      <selection activeCell="F6" sqref="F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86</v>
      </c>
      <c r="I4" s="2" t="s">
        <v>4</v>
      </c>
    </row>
    <row r="5" spans="1:11" x14ac:dyDescent="0.25">
      <c r="D5" s="2" t="s">
        <v>1</v>
      </c>
      <c r="F5" t="s">
        <v>416</v>
      </c>
    </row>
    <row r="6" spans="1:11" x14ac:dyDescent="0.25">
      <c r="D6" s="2" t="s">
        <v>2</v>
      </c>
      <c r="F6" s="6">
        <v>42304</v>
      </c>
      <c r="H6" s="11"/>
    </row>
    <row r="7" spans="1:11" x14ac:dyDescent="0.25">
      <c r="D7" s="2" t="s">
        <v>3</v>
      </c>
      <c r="F7" s="5">
        <v>1340000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1850000</v>
      </c>
      <c r="H8" s="11"/>
    </row>
    <row r="9" spans="1:11" x14ac:dyDescent="0.25">
      <c r="D9" s="2" t="s">
        <v>67</v>
      </c>
      <c r="F9" s="4">
        <f>+F8-F7</f>
        <v>510000</v>
      </c>
      <c r="G9" s="16">
        <f>+F9/F7</f>
        <v>0.38059701492537312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-1627192.5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2967192.5</v>
      </c>
      <c r="G12" s="14"/>
      <c r="H12" s="11">
        <f>COUNT(I23:I43)</f>
        <v>4</v>
      </c>
      <c r="I12" s="1" t="s">
        <v>31</v>
      </c>
      <c r="J12" s="4">
        <f>+F8*0.9</f>
        <v>1665000</v>
      </c>
      <c r="K12" s="1" t="s">
        <v>69</v>
      </c>
    </row>
    <row r="13" spans="1:11" x14ac:dyDescent="0.25">
      <c r="D13" s="2" t="s">
        <v>29</v>
      </c>
      <c r="F13" s="4">
        <f>MAX(I23:I43)-MIN(I23:I43)</f>
        <v>3129000</v>
      </c>
      <c r="G13" s="269">
        <f>MEDIAN(I23:I43)</f>
        <v>2519885</v>
      </c>
      <c r="H13" s="270"/>
      <c r="I13" s="1" t="s">
        <v>30</v>
      </c>
      <c r="J13" s="4">
        <f>+F12*1.1</f>
        <v>3263911.7500000005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87</v>
      </c>
      <c r="E23" s="33"/>
      <c r="F23" t="s">
        <v>88</v>
      </c>
      <c r="G23" t="s">
        <v>25</v>
      </c>
      <c r="H23">
        <f>RANK(I23,I$23:I$43,1)</f>
        <v>1</v>
      </c>
      <c r="I23" s="4">
        <v>1850000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89</v>
      </c>
      <c r="E24" s="33"/>
      <c r="F24" t="s">
        <v>90</v>
      </c>
      <c r="G24" t="s">
        <v>25</v>
      </c>
      <c r="H24">
        <f>RANK(I24,I$23:I$43,1)</f>
        <v>2</v>
      </c>
      <c r="I24" s="4">
        <v>2174000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91</v>
      </c>
      <c r="E25" s="33"/>
      <c r="F25" t="s">
        <v>92</v>
      </c>
      <c r="G25" t="s">
        <v>93</v>
      </c>
      <c r="H25">
        <f>RANK(I25,I$23:I$43,1)</f>
        <v>3</v>
      </c>
      <c r="I25" s="4">
        <v>2865770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23" t="s">
        <v>94</v>
      </c>
      <c r="E26" s="33"/>
      <c r="F26" t="s">
        <v>95</v>
      </c>
      <c r="G26" t="s">
        <v>93</v>
      </c>
      <c r="H26">
        <f>RANK(I26,I$23:I$43,1)</f>
        <v>4</v>
      </c>
      <c r="I26" s="4">
        <v>4979000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 t="str">
        <f t="shared" ref="E27:E43" si="1">IF(H27=1,"t","")</f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66" priority="10" operator="containsText" text="FAIL">
      <formula>NOT(ISERROR(SEARCH("FAIL",I9)))</formula>
    </cfRule>
  </conditionalFormatting>
  <conditionalFormatting sqref="I9">
    <cfRule type="containsText" dxfId="465" priority="9" operator="containsText" text="GOOD">
      <formula>NOT(ISERROR(SEARCH("GOOD",I9)))</formula>
    </cfRule>
  </conditionalFormatting>
  <conditionalFormatting sqref="F11">
    <cfRule type="containsText" dxfId="464" priority="8" operator="containsText" text="FAIL">
      <formula>NOT(ISERROR(SEARCH("FAIL",F11)))</formula>
    </cfRule>
  </conditionalFormatting>
  <conditionalFormatting sqref="F11">
    <cfRule type="containsText" dxfId="463" priority="7" operator="containsText" text="GOOD">
      <formula>NOT(ISERROR(SEARCH("GOOD",F11)))</formula>
    </cfRule>
  </conditionalFormatting>
  <conditionalFormatting sqref="D25">
    <cfRule type="expression" dxfId="462" priority="6" stopIfTrue="1">
      <formula>IF($H$25=1,0)</formula>
    </cfRule>
  </conditionalFormatting>
  <conditionalFormatting sqref="D23:D43">
    <cfRule type="expression" dxfId="461" priority="5">
      <formula>H23=1</formula>
    </cfRule>
  </conditionalFormatting>
  <conditionalFormatting sqref="C23:C43">
    <cfRule type="expression" dxfId="460" priority="4">
      <formula>H23=1</formula>
    </cfRule>
  </conditionalFormatting>
  <conditionalFormatting sqref="E23:E43">
    <cfRule type="expression" dxfId="459" priority="3">
      <formula>H23=1</formula>
    </cfRule>
  </conditionalFormatting>
  <conditionalFormatting sqref="F11">
    <cfRule type="containsText" dxfId="458" priority="2" operator="containsText" text="FAIL">
      <formula>NOT(ISERROR(SEARCH("FAIL",F11)))</formula>
    </cfRule>
  </conditionalFormatting>
  <conditionalFormatting sqref="F11">
    <cfRule type="containsText" dxfId="457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>
    <tabColor rgb="FFFF0000"/>
  </sheetPr>
  <dimension ref="A2:O45"/>
  <sheetViews>
    <sheetView workbookViewId="0">
      <selection activeCell="K27" sqref="K2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96</v>
      </c>
      <c r="I4" s="2" t="s">
        <v>4</v>
      </c>
    </row>
    <row r="5" spans="1:11" x14ac:dyDescent="0.25">
      <c r="D5" s="2" t="s">
        <v>1</v>
      </c>
      <c r="F5" t="s">
        <v>97</v>
      </c>
    </row>
    <row r="6" spans="1:11" x14ac:dyDescent="0.25">
      <c r="D6" s="2" t="s">
        <v>2</v>
      </c>
      <c r="F6" s="6">
        <v>42304</v>
      </c>
      <c r="H6" s="11"/>
    </row>
    <row r="7" spans="1:11" x14ac:dyDescent="0.25">
      <c r="D7" s="2" t="s">
        <v>3</v>
      </c>
      <c r="F7" s="5">
        <v>2420000</v>
      </c>
      <c r="G7" s="2" t="s">
        <v>34</v>
      </c>
      <c r="H7" s="11"/>
    </row>
    <row r="8" spans="1:11" x14ac:dyDescent="0.25">
      <c r="D8" s="2" t="s">
        <v>18</v>
      </c>
      <c r="F8" s="5">
        <f>MIN(I23:I41)</f>
        <v>4137000</v>
      </c>
      <c r="H8" s="11"/>
    </row>
    <row r="9" spans="1:11" x14ac:dyDescent="0.25">
      <c r="D9" s="2" t="s">
        <v>67</v>
      </c>
      <c r="F9" s="4">
        <f>+F8-F7</f>
        <v>1717000</v>
      </c>
      <c r="G9" s="16">
        <f>+F9/F7</f>
        <v>0.70950413223140496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-3208088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SUM(I23:I41)/H12</f>
        <v>5628088</v>
      </c>
      <c r="G12" s="14"/>
      <c r="H12" s="11">
        <f>COUNT(I23:I41)</f>
        <v>2</v>
      </c>
      <c r="I12" s="1" t="s">
        <v>31</v>
      </c>
      <c r="J12" s="4">
        <f>+F8*0.9</f>
        <v>3723300</v>
      </c>
      <c r="K12" s="1" t="s">
        <v>69</v>
      </c>
    </row>
    <row r="13" spans="1:11" x14ac:dyDescent="0.25">
      <c r="D13" s="2" t="s">
        <v>29</v>
      </c>
      <c r="F13" s="4">
        <f>MAX(I23:I41)-MIN(I23:I41)</f>
        <v>2982176</v>
      </c>
      <c r="G13" s="269">
        <f>MEDIAN(I23:I41)</f>
        <v>5628088</v>
      </c>
      <c r="H13" s="270"/>
      <c r="I13" s="1" t="s">
        <v>30</v>
      </c>
      <c r="J13" s="4">
        <f>+F12*1.1</f>
        <v>6190896.8000000007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98</v>
      </c>
      <c r="E23" s="33"/>
      <c r="F23" t="s">
        <v>95</v>
      </c>
      <c r="G23" t="s">
        <v>93</v>
      </c>
      <c r="H23">
        <f>RANK(I23,I$23:I$41,1)</f>
        <v>1</v>
      </c>
      <c r="I23" s="4">
        <v>4137000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99</v>
      </c>
      <c r="E24" s="33"/>
      <c r="F24" t="s">
        <v>100</v>
      </c>
      <c r="G24" t="s">
        <v>93</v>
      </c>
      <c r="H24">
        <f>RANK(I24,I$23:I$41,1)</f>
        <v>2</v>
      </c>
      <c r="I24" s="4">
        <v>7119176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ref="C25:C41" si="0">IF(H25=1,"u","")</f>
        <v/>
      </c>
      <c r="D25" s="11"/>
      <c r="E25" s="33" t="str">
        <f t="shared" ref="E25:E41" si="1">IF(H25=1,"t","")</f>
        <v/>
      </c>
      <c r="I25" s="4"/>
      <c r="J25" s="4"/>
      <c r="K25" s="4"/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/>
      <c r="E26" s="33" t="str">
        <f t="shared" si="1"/>
        <v/>
      </c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 t="str">
        <f t="shared" si="1"/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M31" s="21"/>
      <c r="N31" s="21"/>
      <c r="O31" s="21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M32" s="21"/>
      <c r="N32" s="21"/>
      <c r="O32" s="21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ht="6" customHeight="1" x14ac:dyDescent="0.25">
      <c r="C42" s="9"/>
      <c r="D42" s="9"/>
      <c r="E42" s="9"/>
      <c r="F42" s="9"/>
      <c r="G42" s="9"/>
      <c r="H42" s="9"/>
      <c r="I42" s="9"/>
      <c r="J42" s="9"/>
      <c r="K42" s="9"/>
      <c r="L42" s="9"/>
      <c r="M42" s="21"/>
      <c r="N42" s="21"/>
      <c r="O42" s="21"/>
    </row>
    <row r="43" spans="3:15" ht="6" customHeight="1" x14ac:dyDescent="0.25">
      <c r="M43" s="21"/>
      <c r="N43" s="21"/>
      <c r="O43" s="21"/>
    </row>
    <row r="44" spans="3:15" x14ac:dyDescent="0.25">
      <c r="C44" s="15" t="s">
        <v>79</v>
      </c>
      <c r="M44" s="21"/>
      <c r="N44" s="21"/>
      <c r="O44" s="21"/>
    </row>
    <row r="45" spans="3:15" x14ac:dyDescent="0.25">
      <c r="C45" s="15" t="s">
        <v>78</v>
      </c>
    </row>
  </sheetData>
  <mergeCells count="1">
    <mergeCell ref="G13:H13"/>
  </mergeCells>
  <conditionalFormatting sqref="I9">
    <cfRule type="containsText" dxfId="456" priority="10" operator="containsText" text="FAIL">
      <formula>NOT(ISERROR(SEARCH("FAIL",I9)))</formula>
    </cfRule>
  </conditionalFormatting>
  <conditionalFormatting sqref="I9">
    <cfRule type="containsText" dxfId="455" priority="9" operator="containsText" text="GOOD">
      <formula>NOT(ISERROR(SEARCH("GOOD",I9)))</formula>
    </cfRule>
  </conditionalFormatting>
  <conditionalFormatting sqref="F11">
    <cfRule type="containsText" dxfId="454" priority="8" operator="containsText" text="FAIL">
      <formula>NOT(ISERROR(SEARCH("FAIL",F11)))</formula>
    </cfRule>
  </conditionalFormatting>
  <conditionalFormatting sqref="F11">
    <cfRule type="containsText" dxfId="453" priority="7" operator="containsText" text="GOOD">
      <formula>NOT(ISERROR(SEARCH("GOOD",F11)))</formula>
    </cfRule>
  </conditionalFormatting>
  <conditionalFormatting sqref="D23:D41">
    <cfRule type="expression" dxfId="452" priority="5">
      <formula>H23=1</formula>
    </cfRule>
  </conditionalFormatting>
  <conditionalFormatting sqref="C23:C41">
    <cfRule type="expression" dxfId="451" priority="4">
      <formula>H23=1</formula>
    </cfRule>
  </conditionalFormatting>
  <conditionalFormatting sqref="E23:E41">
    <cfRule type="expression" dxfId="450" priority="3">
      <formula>H23=1</formula>
    </cfRule>
  </conditionalFormatting>
  <pageMargins left="0.7" right="0.7" top="0.75" bottom="0.75" header="0.3" footer="0.3"/>
  <pageSetup orientation="portrait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2:O47"/>
  <sheetViews>
    <sheetView workbookViewId="0">
      <selection activeCell="K31" sqref="K31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101</v>
      </c>
      <c r="I4" s="2" t="s">
        <v>4</v>
      </c>
    </row>
    <row r="5" spans="1:11" x14ac:dyDescent="0.25">
      <c r="D5" s="2" t="s">
        <v>1</v>
      </c>
      <c r="F5" t="s">
        <v>211</v>
      </c>
    </row>
    <row r="6" spans="1:11" x14ac:dyDescent="0.25">
      <c r="D6" s="2" t="s">
        <v>2</v>
      </c>
      <c r="F6" s="6">
        <v>42297</v>
      </c>
      <c r="H6" s="11"/>
    </row>
    <row r="7" spans="1:11" x14ac:dyDescent="0.25">
      <c r="D7" s="2" t="s">
        <v>3</v>
      </c>
      <c r="F7" s="5">
        <f>+I7+J7</f>
        <v>1290000</v>
      </c>
      <c r="G7" s="2" t="s">
        <v>34</v>
      </c>
      <c r="H7" s="11"/>
      <c r="I7" s="19">
        <v>36000</v>
      </c>
      <c r="J7" s="19">
        <v>1254000</v>
      </c>
    </row>
    <row r="8" spans="1:11" x14ac:dyDescent="0.25">
      <c r="D8" s="2" t="s">
        <v>18</v>
      </c>
      <c r="F8" s="5">
        <f>MIN(K23:K43)</f>
        <v>1552600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262600</v>
      </c>
      <c r="G9" s="16">
        <f>+F9/F7</f>
        <v>0.20356589147286822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-708639.99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SUM(K23:K43)/H12</f>
        <v>1998639.99</v>
      </c>
      <c r="G12" s="14"/>
      <c r="H12" s="11">
        <f>COUNT(K23:K43)</f>
        <v>9</v>
      </c>
      <c r="I12" s="1" t="s">
        <v>31</v>
      </c>
      <c r="J12" s="4">
        <f>+F8*0.9</f>
        <v>1397340</v>
      </c>
      <c r="K12" s="1" t="s">
        <v>69</v>
      </c>
    </row>
    <row r="13" spans="1:11" x14ac:dyDescent="0.25">
      <c r="D13" s="2" t="s">
        <v>29</v>
      </c>
      <c r="F13" s="4">
        <f>MAX(K23:K43)-MIN(K23:K43)</f>
        <v>1780733</v>
      </c>
      <c r="G13" s="269">
        <f>MEDIAN(K23:K43)</f>
        <v>1856000</v>
      </c>
      <c r="H13" s="270"/>
      <c r="I13" s="1" t="s">
        <v>30</v>
      </c>
      <c r="J13" s="4">
        <f>+F12*1.1</f>
        <v>2198503.9890000001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178</v>
      </c>
      <c r="E23" s="33"/>
      <c r="F23" t="s">
        <v>179</v>
      </c>
      <c r="G23" t="s">
        <v>25</v>
      </c>
      <c r="H23">
        <f>RANK(K23,K$23:K$43,1)</f>
        <v>1</v>
      </c>
      <c r="I23" s="4">
        <v>63000</v>
      </c>
      <c r="J23" s="4">
        <v>1489600</v>
      </c>
      <c r="K23" s="4">
        <f>+J23+I23</f>
        <v>1552600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212</v>
      </c>
      <c r="E24" s="33"/>
      <c r="F24" t="s">
        <v>129</v>
      </c>
      <c r="G24" t="s">
        <v>25</v>
      </c>
      <c r="H24">
        <f t="shared" ref="H24:H31" si="0">RANK(K24,K$23:K$43,1)</f>
        <v>2</v>
      </c>
      <c r="I24" s="4">
        <v>52500</v>
      </c>
      <c r="J24" s="4">
        <v>1505057.5</v>
      </c>
      <c r="K24" s="4">
        <f t="shared" ref="K24:K31" si="1">+J24+I24</f>
        <v>1557557.5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213</v>
      </c>
      <c r="E25" s="33"/>
      <c r="F25" t="s">
        <v>131</v>
      </c>
      <c r="G25" t="s">
        <v>25</v>
      </c>
      <c r="H25">
        <f t="shared" si="0"/>
        <v>3</v>
      </c>
      <c r="I25" s="4">
        <v>15750</v>
      </c>
      <c r="J25" s="4">
        <v>1616049</v>
      </c>
      <c r="K25" s="4">
        <f t="shared" si="1"/>
        <v>1631799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23" t="s">
        <v>214</v>
      </c>
      <c r="E26" s="33"/>
      <c r="F26" t="s">
        <v>215</v>
      </c>
      <c r="G26" t="s">
        <v>25</v>
      </c>
      <c r="H26">
        <f t="shared" si="0"/>
        <v>4</v>
      </c>
      <c r="I26" s="4">
        <v>26428.5</v>
      </c>
      <c r="J26" s="4">
        <v>1639020.66</v>
      </c>
      <c r="K26" s="4">
        <f t="shared" si="1"/>
        <v>1665449.16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23" t="s">
        <v>216</v>
      </c>
      <c r="E27" s="33"/>
      <c r="F27" t="s">
        <v>95</v>
      </c>
      <c r="G27" t="s">
        <v>93</v>
      </c>
      <c r="H27">
        <f t="shared" si="0"/>
        <v>5</v>
      </c>
      <c r="I27" s="4">
        <v>42000</v>
      </c>
      <c r="J27" s="4">
        <v>1814000</v>
      </c>
      <c r="K27" s="4">
        <f t="shared" si="1"/>
        <v>1856000</v>
      </c>
      <c r="L27" s="4"/>
      <c r="M27" s="22"/>
      <c r="N27" s="22"/>
      <c r="O27" s="22"/>
    </row>
    <row r="28" spans="3:15" x14ac:dyDescent="0.25">
      <c r="C28" s="33" t="str">
        <f t="shared" si="2"/>
        <v/>
      </c>
      <c r="D28" s="23" t="s">
        <v>217</v>
      </c>
      <c r="E28" s="33"/>
      <c r="F28" t="s">
        <v>186</v>
      </c>
      <c r="G28" t="s">
        <v>25</v>
      </c>
      <c r="H28">
        <f t="shared" si="0"/>
        <v>6</v>
      </c>
      <c r="I28" s="4">
        <v>42000</v>
      </c>
      <c r="J28" s="4">
        <v>2031199</v>
      </c>
      <c r="K28" s="4">
        <f t="shared" si="1"/>
        <v>2073199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23" t="s">
        <v>138</v>
      </c>
      <c r="E29" s="33"/>
      <c r="F29" t="s">
        <v>193</v>
      </c>
      <c r="G29" t="s">
        <v>25</v>
      </c>
      <c r="H29">
        <f t="shared" si="0"/>
        <v>7</v>
      </c>
      <c r="I29" s="4">
        <v>53550</v>
      </c>
      <c r="J29" s="4">
        <v>2023272.25</v>
      </c>
      <c r="K29" s="4">
        <f t="shared" si="1"/>
        <v>2076822.25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23" t="s">
        <v>182</v>
      </c>
      <c r="E30" s="33"/>
      <c r="F30" t="s">
        <v>131</v>
      </c>
      <c r="G30" t="s">
        <v>25</v>
      </c>
      <c r="H30">
        <f t="shared" si="0"/>
        <v>8</v>
      </c>
      <c r="I30" s="4">
        <v>21000</v>
      </c>
      <c r="J30" s="4">
        <v>2220000</v>
      </c>
      <c r="K30" s="4">
        <f t="shared" si="1"/>
        <v>2241000</v>
      </c>
      <c r="L30" s="4"/>
      <c r="M30" s="22"/>
      <c r="N30" s="22"/>
      <c r="O30" s="22"/>
    </row>
    <row r="31" spans="3:15" x14ac:dyDescent="0.25">
      <c r="C31" s="33" t="str">
        <f t="shared" si="2"/>
        <v/>
      </c>
      <c r="D31" s="23" t="s">
        <v>218</v>
      </c>
      <c r="E31" s="33"/>
      <c r="F31" t="s">
        <v>95</v>
      </c>
      <c r="G31" t="s">
        <v>93</v>
      </c>
      <c r="H31">
        <f t="shared" si="0"/>
        <v>9</v>
      </c>
      <c r="I31" s="4">
        <v>63000</v>
      </c>
      <c r="J31" s="4">
        <v>3270333</v>
      </c>
      <c r="K31" s="4">
        <f t="shared" si="1"/>
        <v>3333333</v>
      </c>
      <c r="L31" s="4"/>
      <c r="M31" s="22"/>
      <c r="N31" s="22"/>
      <c r="O31" s="22"/>
    </row>
    <row r="32" spans="3:15" x14ac:dyDescent="0.25">
      <c r="C32" s="33"/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/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 t="str">
        <f t="shared" ref="E34:E43" si="3">IF(H34=1,"t","")</f>
        <v/>
      </c>
      <c r="K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 t="str">
        <f t="shared" si="3"/>
        <v/>
      </c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 t="str">
        <f t="shared" si="3"/>
        <v/>
      </c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49" priority="19" operator="containsText" text="FAIL">
      <formula>NOT(ISERROR(SEARCH("FAIL",I9)))</formula>
    </cfRule>
  </conditionalFormatting>
  <conditionalFormatting sqref="I9">
    <cfRule type="containsText" dxfId="448" priority="18" operator="containsText" text="GOOD">
      <formula>NOT(ISERROR(SEARCH("GOOD",I9)))</formula>
    </cfRule>
  </conditionalFormatting>
  <conditionalFormatting sqref="I9">
    <cfRule type="containsText" dxfId="447" priority="17" operator="containsText" text="FAIL">
      <formula>NOT(ISERROR(SEARCH("FAIL",I9)))</formula>
    </cfRule>
  </conditionalFormatting>
  <conditionalFormatting sqref="I9">
    <cfRule type="containsText" dxfId="446" priority="16" operator="containsText" text="GOOD">
      <formula>NOT(ISERROR(SEARCH("GOOD",I9)))</formula>
    </cfRule>
  </conditionalFormatting>
  <conditionalFormatting sqref="I9">
    <cfRule type="containsText" dxfId="445" priority="15" operator="containsText" text="FAIL">
      <formula>NOT(ISERROR(SEARCH("FAIL",I9)))</formula>
    </cfRule>
  </conditionalFormatting>
  <conditionalFormatting sqref="I9">
    <cfRule type="containsText" dxfId="444" priority="14" operator="containsText" text="GOOD">
      <formula>NOT(ISERROR(SEARCH("GOOD",I9)))</formula>
    </cfRule>
  </conditionalFormatting>
  <conditionalFormatting sqref="F11">
    <cfRule type="containsText" dxfId="443" priority="13" operator="containsText" text="FAIL">
      <formula>NOT(ISERROR(SEARCH("FAIL",F11)))</formula>
    </cfRule>
  </conditionalFormatting>
  <conditionalFormatting sqref="F11">
    <cfRule type="containsText" dxfId="442" priority="12" operator="containsText" text="GOOD">
      <formula>NOT(ISERROR(SEARCH("GOOD",F11)))</formula>
    </cfRule>
  </conditionalFormatting>
  <conditionalFormatting sqref="I9">
    <cfRule type="containsText" dxfId="441" priority="11" operator="containsText" text="FAIL">
      <formula>NOT(ISERROR(SEARCH("FAIL",I9)))</formula>
    </cfRule>
  </conditionalFormatting>
  <conditionalFormatting sqref="I9">
    <cfRule type="containsText" dxfId="440" priority="10" operator="containsText" text="GOOD">
      <formula>NOT(ISERROR(SEARCH("GOOD",I9)))</formula>
    </cfRule>
  </conditionalFormatting>
  <conditionalFormatting sqref="F11">
    <cfRule type="containsText" dxfId="439" priority="9" operator="containsText" text="FAIL">
      <formula>NOT(ISERROR(SEARCH("FAIL",F11)))</formula>
    </cfRule>
  </conditionalFormatting>
  <conditionalFormatting sqref="F11">
    <cfRule type="containsText" dxfId="438" priority="8" operator="containsText" text="GOOD">
      <formula>NOT(ISERROR(SEARCH("GOOD",F11)))</formula>
    </cfRule>
  </conditionalFormatting>
  <conditionalFormatting sqref="D25">
    <cfRule type="expression" dxfId="437" priority="7" stopIfTrue="1">
      <formula>IF($H$25=1,0)</formula>
    </cfRule>
  </conditionalFormatting>
  <conditionalFormatting sqref="D23:D43">
    <cfRule type="expression" dxfId="436" priority="6">
      <formula>H23=1</formula>
    </cfRule>
  </conditionalFormatting>
  <conditionalFormatting sqref="C23:C43">
    <cfRule type="expression" dxfId="435" priority="5">
      <formula>H23=1</formula>
    </cfRule>
  </conditionalFormatting>
  <conditionalFormatting sqref="E23:E43">
    <cfRule type="expression" dxfId="434" priority="4">
      <formula>H23=1</formula>
    </cfRule>
  </conditionalFormatting>
  <conditionalFormatting sqref="E23:E43">
    <cfRule type="expression" dxfId="433" priority="3">
      <formula>H23=1</formula>
    </cfRule>
  </conditionalFormatting>
  <conditionalFormatting sqref="F11">
    <cfRule type="containsText" dxfId="432" priority="2" operator="containsText" text="FAIL">
      <formula>NOT(ISERROR(SEARCH("FAIL",F11)))</formula>
    </cfRule>
  </conditionalFormatting>
  <conditionalFormatting sqref="F11">
    <cfRule type="containsText" dxfId="431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>
    <tabColor rgb="FFFF0000"/>
  </sheetPr>
  <dimension ref="A2:O45"/>
  <sheetViews>
    <sheetView workbookViewId="0">
      <selection activeCell="M26" sqref="M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102</v>
      </c>
      <c r="I4" s="2" t="s">
        <v>4</v>
      </c>
    </row>
    <row r="5" spans="1:11" x14ac:dyDescent="0.25">
      <c r="D5" s="2" t="s">
        <v>1</v>
      </c>
      <c r="F5" t="s">
        <v>228</v>
      </c>
    </row>
    <row r="6" spans="1:11" x14ac:dyDescent="0.25">
      <c r="D6" s="2" t="s">
        <v>2</v>
      </c>
      <c r="F6" s="6">
        <v>42297</v>
      </c>
      <c r="H6" s="11"/>
    </row>
    <row r="7" spans="1:11" x14ac:dyDescent="0.25">
      <c r="D7" s="2" t="s">
        <v>3</v>
      </c>
      <c r="F7" s="5">
        <v>900000</v>
      </c>
      <c r="G7" s="23" t="s">
        <v>187</v>
      </c>
      <c r="H7" s="11"/>
    </row>
    <row r="8" spans="1:11" x14ac:dyDescent="0.25">
      <c r="D8" s="2" t="s">
        <v>18</v>
      </c>
      <c r="F8" s="5">
        <f>MIN(I23:I41)</f>
        <v>2997984.5</v>
      </c>
      <c r="H8" s="11"/>
    </row>
    <row r="9" spans="1:11" x14ac:dyDescent="0.25">
      <c r="D9" s="2" t="s">
        <v>67</v>
      </c>
      <c r="F9" s="4">
        <f>+F8-F7</f>
        <v>2097984.5</v>
      </c>
      <c r="G9" s="16">
        <f>+F9/F7</f>
        <v>2.3310938888888888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-2802842.25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SUM(I23:I41)/H12</f>
        <v>3702842.25</v>
      </c>
      <c r="G12" s="14"/>
      <c r="H12" s="11">
        <f>COUNT(I23:I41)</f>
        <v>2</v>
      </c>
      <c r="I12" s="1" t="s">
        <v>31</v>
      </c>
      <c r="J12" s="4">
        <f>+F8*0.9</f>
        <v>2698186.0500000003</v>
      </c>
      <c r="K12" s="1" t="s">
        <v>69</v>
      </c>
    </row>
    <row r="13" spans="1:11" x14ac:dyDescent="0.25">
      <c r="D13" s="2" t="s">
        <v>29</v>
      </c>
      <c r="F13" s="4">
        <f>MAX(I23:I41)-MIN(I23:I41)</f>
        <v>1409715.5</v>
      </c>
      <c r="G13" s="269">
        <f>MEDIAN(I23:I41)</f>
        <v>3702842.25</v>
      </c>
      <c r="H13" s="270"/>
      <c r="I13" s="1" t="s">
        <v>30</v>
      </c>
      <c r="J13" s="4">
        <f>+F12*1.1</f>
        <v>4073126.4750000006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793</v>
      </c>
      <c r="E23" s="33"/>
      <c r="F23" t="s">
        <v>103</v>
      </c>
      <c r="G23" t="s">
        <v>93</v>
      </c>
      <c r="H23">
        <f>RANK(I23,I$23:I$41,1)</f>
        <v>1</v>
      </c>
      <c r="I23" s="4">
        <v>2997984.5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11" t="s">
        <v>104</v>
      </c>
      <c r="E24" s="33"/>
      <c r="F24" t="s">
        <v>105</v>
      </c>
      <c r="G24" t="s">
        <v>93</v>
      </c>
      <c r="H24">
        <f>RANK(I24,I$23:I$41,1)</f>
        <v>2</v>
      </c>
      <c r="I24" s="4">
        <v>4407700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ref="C25:C41" si="0">IF(H25=1,"u","")</f>
        <v/>
      </c>
      <c r="D25" s="11"/>
      <c r="E25" s="33" t="str">
        <f t="shared" ref="E25:E41" si="1">IF(H25=1,"t","")</f>
        <v/>
      </c>
      <c r="I25" s="4"/>
      <c r="J25" s="4"/>
      <c r="K25" s="4"/>
      <c r="L25" s="4"/>
      <c r="M25" s="22"/>
      <c r="N25" s="22"/>
      <c r="O25" s="22"/>
    </row>
    <row r="26" spans="3:15" x14ac:dyDescent="0.25">
      <c r="C26" s="33" t="str">
        <f t="shared" si="0"/>
        <v/>
      </c>
      <c r="D26" s="11"/>
      <c r="E26" s="33" t="str">
        <f t="shared" si="1"/>
        <v/>
      </c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 t="str">
        <f t="shared" si="1"/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M31" s="21"/>
      <c r="N31" s="21"/>
      <c r="O31" s="21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M32" s="21"/>
      <c r="N32" s="21"/>
      <c r="O32" s="21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ht="6" customHeight="1" x14ac:dyDescent="0.25">
      <c r="C42" s="9"/>
      <c r="D42" s="9"/>
      <c r="E42" s="9"/>
      <c r="F42" s="9"/>
      <c r="G42" s="9"/>
      <c r="H42" s="9"/>
      <c r="I42" s="9"/>
      <c r="J42" s="9"/>
      <c r="K42" s="9"/>
      <c r="L42" s="9"/>
      <c r="M42" s="21"/>
      <c r="N42" s="21"/>
      <c r="O42" s="21"/>
    </row>
    <row r="43" spans="3:15" ht="6" customHeight="1" x14ac:dyDescent="0.25">
      <c r="M43" s="21"/>
      <c r="N43" s="21"/>
      <c r="O43" s="21"/>
    </row>
    <row r="44" spans="3:15" x14ac:dyDescent="0.25">
      <c r="C44" s="15" t="s">
        <v>79</v>
      </c>
      <c r="M44" s="21"/>
      <c r="N44" s="21"/>
      <c r="O44" s="21"/>
    </row>
    <row r="45" spans="3:15" x14ac:dyDescent="0.25">
      <c r="C45" s="15" t="s">
        <v>78</v>
      </c>
    </row>
  </sheetData>
  <mergeCells count="1">
    <mergeCell ref="G13:H13"/>
  </mergeCells>
  <conditionalFormatting sqref="I9">
    <cfRule type="containsText" dxfId="430" priority="10" operator="containsText" text="FAIL">
      <formula>NOT(ISERROR(SEARCH("FAIL",I9)))</formula>
    </cfRule>
  </conditionalFormatting>
  <conditionalFormatting sqref="I9">
    <cfRule type="containsText" dxfId="429" priority="9" operator="containsText" text="GOOD">
      <formula>NOT(ISERROR(SEARCH("GOOD",I9)))</formula>
    </cfRule>
  </conditionalFormatting>
  <conditionalFormatting sqref="F11">
    <cfRule type="containsText" dxfId="428" priority="8" operator="containsText" text="FAIL">
      <formula>NOT(ISERROR(SEARCH("FAIL",F11)))</formula>
    </cfRule>
  </conditionalFormatting>
  <conditionalFormatting sqref="F11">
    <cfRule type="containsText" dxfId="427" priority="7" operator="containsText" text="GOOD">
      <formula>NOT(ISERROR(SEARCH("GOOD",F11)))</formula>
    </cfRule>
  </conditionalFormatting>
  <conditionalFormatting sqref="D23:D41">
    <cfRule type="expression" dxfId="426" priority="5">
      <formula>H23=1</formula>
    </cfRule>
  </conditionalFormatting>
  <conditionalFormatting sqref="C23:C41">
    <cfRule type="expression" dxfId="425" priority="4">
      <formula>H23=1</formula>
    </cfRule>
  </conditionalFormatting>
  <conditionalFormatting sqref="E23:E41">
    <cfRule type="expression" dxfId="424" priority="3">
      <formula>H23=1</formula>
    </cfRule>
  </conditionalFormatting>
  <pageMargins left="0.7" right="0.7" top="0.75" bottom="0.75" header="0.3" footer="0.3"/>
  <pageSetup orientation="portrait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2:O47"/>
  <sheetViews>
    <sheetView workbookViewId="0">
      <selection activeCell="I28" sqref="I2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106</v>
      </c>
      <c r="I4" s="2" t="s">
        <v>4</v>
      </c>
    </row>
    <row r="5" spans="1:11" x14ac:dyDescent="0.25">
      <c r="D5" s="2" t="s">
        <v>1</v>
      </c>
      <c r="F5" t="s">
        <v>107</v>
      </c>
    </row>
    <row r="6" spans="1:11" x14ac:dyDescent="0.25">
      <c r="D6" s="2" t="s">
        <v>2</v>
      </c>
      <c r="F6" s="6">
        <v>42292</v>
      </c>
      <c r="H6" s="11"/>
    </row>
    <row r="7" spans="1:11" x14ac:dyDescent="0.25">
      <c r="D7" s="2" t="s">
        <v>3</v>
      </c>
      <c r="F7" s="5">
        <v>3650000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3270000</v>
      </c>
      <c r="H8" s="11"/>
    </row>
    <row r="9" spans="1:11" x14ac:dyDescent="0.25">
      <c r="D9" s="2" t="s">
        <v>67</v>
      </c>
      <c r="F9" s="4">
        <f>+F8-F7</f>
        <v>-380000</v>
      </c>
      <c r="G9" s="16">
        <f>+F9/F7</f>
        <v>-0.10410958904109589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-901000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4551000</v>
      </c>
      <c r="G12" s="14"/>
      <c r="H12" s="11">
        <f>COUNT(I23:I43)</f>
        <v>6</v>
      </c>
      <c r="I12" s="1" t="s">
        <v>31</v>
      </c>
      <c r="J12" s="4">
        <f>+F8*0.9</f>
        <v>2943000</v>
      </c>
      <c r="K12" s="1" t="s">
        <v>69</v>
      </c>
    </row>
    <row r="13" spans="1:11" x14ac:dyDescent="0.25">
      <c r="D13" s="2" t="s">
        <v>29</v>
      </c>
      <c r="F13" s="4">
        <f>MAX(I23:I43)-MIN(I23:I43)</f>
        <v>5225000</v>
      </c>
      <c r="G13" s="269">
        <f>MEDIAN(I23:I43)</f>
        <v>3758500</v>
      </c>
      <c r="H13" s="270"/>
      <c r="I13" s="1" t="s">
        <v>30</v>
      </c>
      <c r="J13" s="4">
        <f>+F12*1.1</f>
        <v>5006100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 t="shared" ref="C23:C28" si="0">IF(H23=1,"u","")</f>
        <v>u</v>
      </c>
      <c r="D23" s="23" t="s">
        <v>108</v>
      </c>
      <c r="E23" s="33"/>
      <c r="F23" t="s">
        <v>109</v>
      </c>
      <c r="G23" t="s">
        <v>25</v>
      </c>
      <c r="H23">
        <f t="shared" ref="H23:H28" si="1">RANK(I23,I$23:I$43,1)</f>
        <v>1</v>
      </c>
      <c r="I23" s="4">
        <v>3270000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si="0"/>
        <v/>
      </c>
      <c r="D24" s="23" t="s">
        <v>110</v>
      </c>
      <c r="E24" s="33"/>
      <c r="F24" t="s">
        <v>111</v>
      </c>
      <c r="G24" t="s">
        <v>25</v>
      </c>
      <c r="H24">
        <f t="shared" si="1"/>
        <v>2</v>
      </c>
      <c r="I24" s="4">
        <v>3654000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0"/>
        <v/>
      </c>
      <c r="D25" s="23" t="s">
        <v>87</v>
      </c>
      <c r="E25" s="33"/>
      <c r="F25" t="s">
        <v>88</v>
      </c>
      <c r="G25" t="s">
        <v>25</v>
      </c>
      <c r="H25">
        <f t="shared" si="1"/>
        <v>3</v>
      </c>
      <c r="I25" s="4">
        <v>3667000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0"/>
        <v/>
      </c>
      <c r="D26" s="23" t="s">
        <v>112</v>
      </c>
      <c r="E26" s="33"/>
      <c r="F26" t="s">
        <v>113</v>
      </c>
      <c r="G26" t="s">
        <v>25</v>
      </c>
      <c r="H26">
        <f t="shared" si="1"/>
        <v>4</v>
      </c>
      <c r="I26" s="4">
        <v>3850000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23" t="s">
        <v>114</v>
      </c>
      <c r="E27" s="33" t="str">
        <f>IF(H27=1,"t","")</f>
        <v/>
      </c>
      <c r="F27" t="s">
        <v>115</v>
      </c>
      <c r="G27" t="s">
        <v>25</v>
      </c>
      <c r="H27">
        <f t="shared" si="1"/>
        <v>5</v>
      </c>
      <c r="I27" s="4">
        <v>4370000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23" t="s">
        <v>116</v>
      </c>
      <c r="E28" s="33" t="str">
        <f>IF(H28=1,"t","")</f>
        <v/>
      </c>
      <c r="F28" t="s">
        <v>113</v>
      </c>
      <c r="G28" t="s">
        <v>25</v>
      </c>
      <c r="H28">
        <f t="shared" si="1"/>
        <v>6</v>
      </c>
      <c r="I28" s="4">
        <v>8495000</v>
      </c>
      <c r="J28" s="4"/>
      <c r="K28" s="4"/>
      <c r="L28" s="4"/>
      <c r="M28" s="22"/>
      <c r="N28" s="22"/>
      <c r="O28" s="22"/>
    </row>
    <row r="29" spans="3:15" x14ac:dyDescent="0.25">
      <c r="C29" s="33"/>
      <c r="D29" s="23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/>
      <c r="D30" s="23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/>
      <c r="D31" s="23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/>
      <c r="D32" s="23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/>
      <c r="D33" s="23"/>
      <c r="E33" s="33"/>
      <c r="M33" s="21"/>
      <c r="N33" s="21"/>
      <c r="O33" s="21"/>
    </row>
    <row r="34" spans="3:15" x14ac:dyDescent="0.25">
      <c r="C34" s="33"/>
      <c r="D34" s="23"/>
      <c r="E34" s="33"/>
      <c r="M34" s="21"/>
      <c r="N34" s="21"/>
      <c r="O34" s="21"/>
    </row>
    <row r="35" spans="3:15" x14ac:dyDescent="0.25">
      <c r="C35" s="33"/>
      <c r="D35" s="23"/>
      <c r="E35" s="33"/>
      <c r="M35" s="21"/>
      <c r="N35" s="21"/>
      <c r="O35" s="21"/>
    </row>
    <row r="36" spans="3:15" x14ac:dyDescent="0.25">
      <c r="C36" s="33"/>
      <c r="D36" s="23"/>
      <c r="E36" s="33"/>
      <c r="M36" s="21"/>
      <c r="N36" s="21"/>
      <c r="O36" s="21"/>
    </row>
    <row r="37" spans="3:15" x14ac:dyDescent="0.25">
      <c r="C37" s="33"/>
      <c r="D37" s="23"/>
      <c r="E37" s="33"/>
      <c r="M37" s="21"/>
      <c r="N37" s="21"/>
      <c r="O37" s="21"/>
    </row>
    <row r="38" spans="3:15" x14ac:dyDescent="0.25">
      <c r="C38" s="33"/>
      <c r="D38" s="23"/>
      <c r="E38" s="33"/>
      <c r="M38" s="21"/>
      <c r="N38" s="21"/>
      <c r="O38" s="21"/>
    </row>
    <row r="39" spans="3:15" x14ac:dyDescent="0.25">
      <c r="C39" s="33"/>
      <c r="D39" s="23"/>
      <c r="E39" s="33"/>
      <c r="M39" s="21"/>
      <c r="N39" s="21"/>
      <c r="O39" s="21"/>
    </row>
    <row r="40" spans="3:15" x14ac:dyDescent="0.25">
      <c r="C40" s="33"/>
      <c r="D40" s="23"/>
      <c r="E40" s="33"/>
      <c r="M40" s="21"/>
      <c r="N40" s="21"/>
      <c r="O40" s="21"/>
    </row>
    <row r="41" spans="3:15" x14ac:dyDescent="0.25">
      <c r="C41" s="33"/>
      <c r="D41" s="23"/>
      <c r="E41" s="33"/>
      <c r="M41" s="21"/>
      <c r="N41" s="21"/>
      <c r="O41" s="21"/>
    </row>
    <row r="42" spans="3:15" x14ac:dyDescent="0.25">
      <c r="C42" s="33"/>
      <c r="D42" s="23"/>
      <c r="E42" s="33"/>
      <c r="M42" s="21"/>
      <c r="N42" s="21"/>
      <c r="O42" s="21"/>
    </row>
    <row r="43" spans="3:15" x14ac:dyDescent="0.25">
      <c r="C43" s="33"/>
      <c r="D43" s="23"/>
      <c r="E43" s="33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23" priority="10" operator="containsText" text="FAIL">
      <formula>NOT(ISERROR(SEARCH("FAIL",I9)))</formula>
    </cfRule>
  </conditionalFormatting>
  <conditionalFormatting sqref="I9">
    <cfRule type="containsText" dxfId="422" priority="9" operator="containsText" text="GOOD">
      <formula>NOT(ISERROR(SEARCH("GOOD",I9)))</formula>
    </cfRule>
  </conditionalFormatting>
  <conditionalFormatting sqref="F11">
    <cfRule type="containsText" dxfId="421" priority="8" operator="containsText" text="FAIL">
      <formula>NOT(ISERROR(SEARCH("FAIL",F11)))</formula>
    </cfRule>
  </conditionalFormatting>
  <conditionalFormatting sqref="F11">
    <cfRule type="containsText" dxfId="420" priority="7" operator="containsText" text="GOOD">
      <formula>NOT(ISERROR(SEARCH("GOOD",F11)))</formula>
    </cfRule>
  </conditionalFormatting>
  <conditionalFormatting sqref="D25">
    <cfRule type="expression" dxfId="419" priority="6" stopIfTrue="1">
      <formula>IF($H$25=1,0)</formula>
    </cfRule>
  </conditionalFormatting>
  <conditionalFormatting sqref="D23:D43">
    <cfRule type="expression" dxfId="418" priority="5">
      <formula>H23=1</formula>
    </cfRule>
  </conditionalFormatting>
  <conditionalFormatting sqref="C23:C43">
    <cfRule type="expression" dxfId="417" priority="4">
      <formula>H23=1</formula>
    </cfRule>
  </conditionalFormatting>
  <conditionalFormatting sqref="E23:E43">
    <cfRule type="expression" dxfId="416" priority="3">
      <formula>H23=1</formula>
    </cfRule>
  </conditionalFormatting>
  <conditionalFormatting sqref="F11">
    <cfRule type="containsText" dxfId="415" priority="2" operator="containsText" text="FAIL">
      <formula>NOT(ISERROR(SEARCH("FAIL",F11)))</formula>
    </cfRule>
  </conditionalFormatting>
  <conditionalFormatting sqref="F11">
    <cfRule type="containsText" dxfId="414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2:O47"/>
  <sheetViews>
    <sheetView workbookViewId="0">
      <selection activeCell="G8" sqref="G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219</v>
      </c>
      <c r="I4" s="2" t="s">
        <v>4</v>
      </c>
      <c r="J4" t="s">
        <v>5</v>
      </c>
    </row>
    <row r="5" spans="1:11" x14ac:dyDescent="0.25">
      <c r="D5" s="2" t="s">
        <v>1</v>
      </c>
      <c r="F5" t="s">
        <v>220</v>
      </c>
    </row>
    <row r="6" spans="1:11" x14ac:dyDescent="0.25">
      <c r="D6" s="2" t="s">
        <v>2</v>
      </c>
      <c r="F6" s="6">
        <v>42284</v>
      </c>
      <c r="H6" s="11"/>
    </row>
    <row r="7" spans="1:11" x14ac:dyDescent="0.25">
      <c r="D7" s="2" t="s">
        <v>3</v>
      </c>
      <c r="F7" s="5">
        <f>+I7+J7</f>
        <v>7400000</v>
      </c>
      <c r="G7" s="2" t="s">
        <v>190</v>
      </c>
      <c r="H7" s="11"/>
      <c r="I7" s="19">
        <v>3400000</v>
      </c>
      <c r="J7" s="19">
        <v>4000000</v>
      </c>
    </row>
    <row r="8" spans="1:11" x14ac:dyDescent="0.25">
      <c r="D8" s="2" t="s">
        <v>18</v>
      </c>
      <c r="F8" s="5">
        <f>MIN(K23:K43)</f>
        <v>4985882.5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-2414117.5</v>
      </c>
      <c r="G9" s="16">
        <f>+F9/F7</f>
        <v>-0.32623209459459457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2002426.875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SUM(K23:K43)/H12</f>
        <v>5397573.125</v>
      </c>
      <c r="G12" s="14"/>
      <c r="H12" s="11">
        <f>COUNT(K23:K43)</f>
        <v>4</v>
      </c>
      <c r="I12" s="1" t="s">
        <v>31</v>
      </c>
      <c r="J12" s="4">
        <f>+F8*0.9</f>
        <v>4487294.25</v>
      </c>
      <c r="K12" s="1" t="s">
        <v>69</v>
      </c>
    </row>
    <row r="13" spans="1:11" x14ac:dyDescent="0.25">
      <c r="D13" s="2" t="s">
        <v>29</v>
      </c>
      <c r="F13" s="4">
        <f>MAX(K23:K43)-MIN(K23:K43)</f>
        <v>1134117.5</v>
      </c>
      <c r="G13" s="269">
        <f>MEDIAN(K23:K43)</f>
        <v>5242205</v>
      </c>
      <c r="H13" s="270"/>
      <c r="I13" s="1" t="s">
        <v>30</v>
      </c>
      <c r="J13" s="4">
        <f>+F12*1.1</f>
        <v>5937330.4375000009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221</v>
      </c>
      <c r="E23" s="33"/>
      <c r="F23" t="s">
        <v>161</v>
      </c>
      <c r="G23" t="s">
        <v>93</v>
      </c>
      <c r="H23">
        <f>RANK(K23,K$23:K$43,1)</f>
        <v>1</v>
      </c>
      <c r="I23" s="4">
        <v>2251720</v>
      </c>
      <c r="J23" s="4">
        <v>2734162.5</v>
      </c>
      <c r="K23" s="4">
        <f>+J23+I23</f>
        <v>4985882.5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138</v>
      </c>
      <c r="E24" s="33"/>
      <c r="F24" t="s">
        <v>193</v>
      </c>
      <c r="G24" t="s">
        <v>25</v>
      </c>
      <c r="H24">
        <f>RANK(K24,K$23:K$43,1)</f>
        <v>2</v>
      </c>
      <c r="I24" s="4">
        <v>1469909</v>
      </c>
      <c r="J24" s="4">
        <v>3699868</v>
      </c>
      <c r="K24" s="4">
        <f>+J24+I24</f>
        <v>5169777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194</v>
      </c>
      <c r="E25" s="33"/>
      <c r="F25" t="s">
        <v>222</v>
      </c>
      <c r="G25" t="s">
        <v>25</v>
      </c>
      <c r="H25">
        <f>RANK(K25,K$23:K$43,1)</f>
        <v>3</v>
      </c>
      <c r="I25" s="4">
        <v>1649850</v>
      </c>
      <c r="J25" s="4">
        <v>3664783</v>
      </c>
      <c r="K25" s="4">
        <f>+J25+I25</f>
        <v>5314633</v>
      </c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23" t="s">
        <v>223</v>
      </c>
      <c r="E26" s="33"/>
      <c r="F26" t="s">
        <v>192</v>
      </c>
      <c r="G26" t="s">
        <v>25</v>
      </c>
      <c r="H26">
        <f>RANK(K26,K$23:K$43,1)</f>
        <v>4</v>
      </c>
      <c r="I26" s="4">
        <v>2935045</v>
      </c>
      <c r="J26" s="4">
        <v>3184955</v>
      </c>
      <c r="K26" s="4">
        <f>+J26+I26</f>
        <v>6120000</v>
      </c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/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/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/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/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/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ref="E34:E43" si="1">IF(H34=1,"t","")</f>
        <v/>
      </c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13" priority="19" operator="containsText" text="FAIL">
      <formula>NOT(ISERROR(SEARCH("FAIL",I9)))</formula>
    </cfRule>
  </conditionalFormatting>
  <conditionalFormatting sqref="I9">
    <cfRule type="containsText" dxfId="412" priority="18" operator="containsText" text="GOOD">
      <formula>NOT(ISERROR(SEARCH("GOOD",I9)))</formula>
    </cfRule>
  </conditionalFormatting>
  <conditionalFormatting sqref="I9">
    <cfRule type="containsText" dxfId="411" priority="17" operator="containsText" text="FAIL">
      <formula>NOT(ISERROR(SEARCH("FAIL",I9)))</formula>
    </cfRule>
  </conditionalFormatting>
  <conditionalFormatting sqref="I9">
    <cfRule type="containsText" dxfId="410" priority="16" operator="containsText" text="GOOD">
      <formula>NOT(ISERROR(SEARCH("GOOD",I9)))</formula>
    </cfRule>
  </conditionalFormatting>
  <conditionalFormatting sqref="I9">
    <cfRule type="containsText" dxfId="409" priority="15" operator="containsText" text="FAIL">
      <formula>NOT(ISERROR(SEARCH("FAIL",I9)))</formula>
    </cfRule>
  </conditionalFormatting>
  <conditionalFormatting sqref="I9">
    <cfRule type="containsText" dxfId="408" priority="14" operator="containsText" text="GOOD">
      <formula>NOT(ISERROR(SEARCH("GOOD",I9)))</formula>
    </cfRule>
  </conditionalFormatting>
  <conditionalFormatting sqref="F11">
    <cfRule type="containsText" dxfId="407" priority="13" operator="containsText" text="FAIL">
      <formula>NOT(ISERROR(SEARCH("FAIL",F11)))</formula>
    </cfRule>
  </conditionalFormatting>
  <conditionalFormatting sqref="F11">
    <cfRule type="containsText" dxfId="406" priority="12" operator="containsText" text="GOOD">
      <formula>NOT(ISERROR(SEARCH("GOOD",F11)))</formula>
    </cfRule>
  </conditionalFormatting>
  <conditionalFormatting sqref="I9">
    <cfRule type="containsText" dxfId="405" priority="11" operator="containsText" text="FAIL">
      <formula>NOT(ISERROR(SEARCH("FAIL",I9)))</formula>
    </cfRule>
  </conditionalFormatting>
  <conditionalFormatting sqref="I9">
    <cfRule type="containsText" dxfId="404" priority="10" operator="containsText" text="GOOD">
      <formula>NOT(ISERROR(SEARCH("GOOD",I9)))</formula>
    </cfRule>
  </conditionalFormatting>
  <conditionalFormatting sqref="F11">
    <cfRule type="containsText" dxfId="403" priority="9" operator="containsText" text="FAIL">
      <formula>NOT(ISERROR(SEARCH("FAIL",F11)))</formula>
    </cfRule>
  </conditionalFormatting>
  <conditionalFormatting sqref="F11">
    <cfRule type="containsText" dxfId="402" priority="8" operator="containsText" text="GOOD">
      <formula>NOT(ISERROR(SEARCH("GOOD",F11)))</formula>
    </cfRule>
  </conditionalFormatting>
  <conditionalFormatting sqref="D25">
    <cfRule type="expression" dxfId="401" priority="7" stopIfTrue="1">
      <formula>IF($H$25=1,0)</formula>
    </cfRule>
  </conditionalFormatting>
  <conditionalFormatting sqref="D23:D43">
    <cfRule type="expression" dxfId="400" priority="6">
      <formula>H23=1</formula>
    </cfRule>
  </conditionalFormatting>
  <conditionalFormatting sqref="C23:C43">
    <cfRule type="expression" dxfId="399" priority="5">
      <formula>H23=1</formula>
    </cfRule>
  </conditionalFormatting>
  <conditionalFormatting sqref="E23:E43">
    <cfRule type="expression" dxfId="398" priority="4">
      <formula>H23=1</formula>
    </cfRule>
  </conditionalFormatting>
  <conditionalFormatting sqref="E23:E43">
    <cfRule type="expression" dxfId="397" priority="3">
      <formula>H23=1</formula>
    </cfRule>
  </conditionalFormatting>
  <conditionalFormatting sqref="F11">
    <cfRule type="containsText" dxfId="396" priority="2" operator="containsText" text="FAIL">
      <formula>NOT(ISERROR(SEARCH("FAIL",F11)))</formula>
    </cfRule>
  </conditionalFormatting>
  <conditionalFormatting sqref="F11">
    <cfRule type="containsText" dxfId="395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2:O47"/>
  <sheetViews>
    <sheetView topLeftCell="A10" workbookViewId="0">
      <selection activeCell="I37" sqref="I3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117</v>
      </c>
      <c r="I4" s="2" t="s">
        <v>4</v>
      </c>
    </row>
    <row r="5" spans="1:11" x14ac:dyDescent="0.25">
      <c r="D5" s="2" t="s">
        <v>1</v>
      </c>
      <c r="F5" t="s">
        <v>118</v>
      </c>
    </row>
    <row r="6" spans="1:11" x14ac:dyDescent="0.25">
      <c r="D6" s="2" t="s">
        <v>2</v>
      </c>
      <c r="F6" s="6">
        <v>42277</v>
      </c>
      <c r="H6" s="11"/>
    </row>
    <row r="7" spans="1:11" x14ac:dyDescent="0.25">
      <c r="D7" s="2" t="s">
        <v>3</v>
      </c>
      <c r="F7" s="5">
        <v>7000000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5851111</v>
      </c>
      <c r="H8" s="11"/>
    </row>
    <row r="9" spans="1:11" x14ac:dyDescent="0.25">
      <c r="D9" s="2" t="s">
        <v>67</v>
      </c>
      <c r="F9" s="4">
        <f>+F8-F7</f>
        <v>-1148889</v>
      </c>
      <c r="G9" s="16">
        <f>+F9/F7</f>
        <v>-0.164127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-1743508.4000000004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8743508.4000000004</v>
      </c>
      <c r="G12" s="14"/>
      <c r="H12" s="11">
        <f>COUNT(I23:I43)</f>
        <v>15</v>
      </c>
      <c r="I12" s="1" t="s">
        <v>31</v>
      </c>
      <c r="J12" s="4">
        <f>+F8*0.9</f>
        <v>5265999.9000000004</v>
      </c>
      <c r="K12" s="1" t="s">
        <v>69</v>
      </c>
    </row>
    <row r="13" spans="1:11" x14ac:dyDescent="0.25">
      <c r="D13" s="2" t="s">
        <v>29</v>
      </c>
      <c r="F13" s="4">
        <f>MAX(I23:I43)-MIN(I23:I43)</f>
        <v>5695989</v>
      </c>
      <c r="G13" s="269">
        <f>MEDIAN(I23:I43)</f>
        <v>8951252</v>
      </c>
      <c r="H13" s="270"/>
      <c r="I13" s="1" t="s">
        <v>30</v>
      </c>
      <c r="J13" s="4">
        <f>+F12*1.1</f>
        <v>9617859.2400000021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119</v>
      </c>
      <c r="E23" s="33"/>
      <c r="F23" t="s">
        <v>120</v>
      </c>
      <c r="G23" t="s">
        <v>25</v>
      </c>
      <c r="H23">
        <f>RANK(I23,I$23:I$43,1)</f>
        <v>1</v>
      </c>
      <c r="I23" s="4">
        <v>5851111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121</v>
      </c>
      <c r="E24" s="33"/>
      <c r="F24" t="s">
        <v>122</v>
      </c>
      <c r="G24" t="s">
        <v>25</v>
      </c>
      <c r="H24">
        <f t="shared" ref="H24:H38" si="0">RANK(I24,I$23:I$43,1)</f>
        <v>2</v>
      </c>
      <c r="I24" s="4">
        <v>6789000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123</v>
      </c>
      <c r="E25" s="33"/>
      <c r="F25" t="s">
        <v>124</v>
      </c>
      <c r="G25" t="s">
        <v>25</v>
      </c>
      <c r="H25">
        <f t="shared" si="0"/>
        <v>3</v>
      </c>
      <c r="I25" s="4">
        <v>6888000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23" t="s">
        <v>125</v>
      </c>
      <c r="E26" s="33"/>
      <c r="F26" t="s">
        <v>113</v>
      </c>
      <c r="G26" t="s">
        <v>25</v>
      </c>
      <c r="H26">
        <f t="shared" si="0"/>
        <v>4</v>
      </c>
      <c r="I26" s="4">
        <v>6895345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23" t="s">
        <v>126</v>
      </c>
      <c r="E27" s="33" t="str">
        <f t="shared" ref="E27:E43" si="2">IF(H27=1,"t","")</f>
        <v/>
      </c>
      <c r="F27" t="s">
        <v>127</v>
      </c>
      <c r="G27" t="s">
        <v>25</v>
      </c>
      <c r="H27">
        <f t="shared" si="0"/>
        <v>5</v>
      </c>
      <c r="I27" s="4">
        <v>6933102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23" t="s">
        <v>128</v>
      </c>
      <c r="E28" s="33" t="str">
        <f t="shared" si="2"/>
        <v/>
      </c>
      <c r="F28" t="s">
        <v>129</v>
      </c>
      <c r="G28" t="s">
        <v>25</v>
      </c>
      <c r="H28">
        <f t="shared" si="0"/>
        <v>6</v>
      </c>
      <c r="I28" s="4">
        <v>8600000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23" t="s">
        <v>130</v>
      </c>
      <c r="E29" s="33" t="str">
        <f t="shared" si="2"/>
        <v/>
      </c>
      <c r="F29" t="s">
        <v>131</v>
      </c>
      <c r="G29" t="s">
        <v>25</v>
      </c>
      <c r="H29">
        <f t="shared" si="0"/>
        <v>7</v>
      </c>
      <c r="I29" s="4">
        <v>8645045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23" t="s">
        <v>132</v>
      </c>
      <c r="E30" s="33" t="str">
        <f t="shared" si="2"/>
        <v/>
      </c>
      <c r="F30" t="s">
        <v>133</v>
      </c>
      <c r="G30" t="s">
        <v>25</v>
      </c>
      <c r="H30">
        <f t="shared" si="0"/>
        <v>8</v>
      </c>
      <c r="I30" s="4">
        <v>8951252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23" t="s">
        <v>134</v>
      </c>
      <c r="E31" s="33" t="str">
        <f t="shared" si="2"/>
        <v/>
      </c>
      <c r="F31" t="s">
        <v>135</v>
      </c>
      <c r="G31" t="s">
        <v>25</v>
      </c>
      <c r="H31">
        <f t="shared" si="0"/>
        <v>9</v>
      </c>
      <c r="I31" s="4">
        <v>9101255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23" t="s">
        <v>136</v>
      </c>
      <c r="E32" s="33" t="str">
        <f t="shared" si="2"/>
        <v/>
      </c>
      <c r="F32" t="s">
        <v>137</v>
      </c>
      <c r="G32" t="s">
        <v>25</v>
      </c>
      <c r="H32">
        <f t="shared" si="0"/>
        <v>11</v>
      </c>
      <c r="I32" s="4">
        <v>9967000</v>
      </c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23" t="s">
        <v>138</v>
      </c>
      <c r="E33" s="33" t="str">
        <f t="shared" si="2"/>
        <v/>
      </c>
      <c r="F33" t="s">
        <v>139</v>
      </c>
      <c r="G33" t="s">
        <v>25</v>
      </c>
      <c r="H33">
        <f t="shared" si="0"/>
        <v>10</v>
      </c>
      <c r="I33" s="4">
        <v>9776776</v>
      </c>
      <c r="M33" s="21"/>
      <c r="N33" s="21"/>
      <c r="O33" s="21"/>
    </row>
    <row r="34" spans="3:15" x14ac:dyDescent="0.25">
      <c r="C34" s="33" t="str">
        <f t="shared" si="1"/>
        <v/>
      </c>
      <c r="D34" s="23" t="s">
        <v>140</v>
      </c>
      <c r="E34" s="33" t="str">
        <f t="shared" si="2"/>
        <v/>
      </c>
      <c r="F34" t="s">
        <v>141</v>
      </c>
      <c r="G34" t="s">
        <v>25</v>
      </c>
      <c r="H34">
        <f t="shared" si="0"/>
        <v>12</v>
      </c>
      <c r="I34" s="4">
        <v>10106600</v>
      </c>
      <c r="M34" s="21"/>
      <c r="N34" s="21"/>
      <c r="O34" s="21"/>
    </row>
    <row r="35" spans="3:15" x14ac:dyDescent="0.25">
      <c r="C35" s="33" t="str">
        <f t="shared" si="1"/>
        <v/>
      </c>
      <c r="D35" s="23" t="s">
        <v>142</v>
      </c>
      <c r="E35" s="33" t="str">
        <f t="shared" si="2"/>
        <v/>
      </c>
      <c r="F35" t="s">
        <v>143</v>
      </c>
      <c r="G35" t="s">
        <v>25</v>
      </c>
      <c r="H35">
        <f t="shared" si="0"/>
        <v>13</v>
      </c>
      <c r="I35" s="4">
        <v>10269040</v>
      </c>
      <c r="M35" s="21"/>
      <c r="N35" s="21"/>
      <c r="O35" s="21"/>
    </row>
    <row r="36" spans="3:15" x14ac:dyDescent="0.25">
      <c r="C36" s="33" t="str">
        <f t="shared" si="1"/>
        <v/>
      </c>
      <c r="D36" s="23" t="s">
        <v>144</v>
      </c>
      <c r="E36" s="33" t="str">
        <f t="shared" si="2"/>
        <v/>
      </c>
      <c r="F36" t="s">
        <v>145</v>
      </c>
      <c r="G36" t="s">
        <v>25</v>
      </c>
      <c r="H36">
        <f t="shared" si="0"/>
        <v>14</v>
      </c>
      <c r="I36" s="4">
        <v>10832000</v>
      </c>
      <c r="M36" s="21"/>
      <c r="N36" s="21"/>
      <c r="O36" s="21"/>
    </row>
    <row r="37" spans="3:15" x14ac:dyDescent="0.25">
      <c r="C37" s="33" t="str">
        <f t="shared" si="1"/>
        <v/>
      </c>
      <c r="D37" s="23" t="s">
        <v>146</v>
      </c>
      <c r="E37" s="33" t="str">
        <f t="shared" si="2"/>
        <v/>
      </c>
      <c r="F37" t="s">
        <v>147</v>
      </c>
      <c r="G37" t="s">
        <v>93</v>
      </c>
      <c r="H37">
        <f t="shared" si="0"/>
        <v>15</v>
      </c>
      <c r="I37" s="4">
        <v>11547100</v>
      </c>
      <c r="M37" s="21"/>
      <c r="N37" s="21"/>
      <c r="O37" s="21"/>
    </row>
    <row r="38" spans="3:15" x14ac:dyDescent="0.25">
      <c r="C38" s="33"/>
      <c r="D38" s="23" t="s">
        <v>148</v>
      </c>
      <c r="E38" s="33"/>
      <c r="F38" t="s">
        <v>149</v>
      </c>
      <c r="G38" t="s">
        <v>25</v>
      </c>
      <c r="H38" t="e">
        <f t="shared" si="0"/>
        <v>#VALUE!</v>
      </c>
      <c r="I38" s="2" t="s">
        <v>150</v>
      </c>
      <c r="M38" s="21"/>
      <c r="N38" s="21"/>
      <c r="O38" s="21"/>
    </row>
    <row r="39" spans="3:15" x14ac:dyDescent="0.25">
      <c r="C39" s="33"/>
      <c r="D39" s="23"/>
      <c r="E39" s="33"/>
      <c r="M39" s="21"/>
      <c r="N39" s="21"/>
      <c r="O39" s="21"/>
    </row>
    <row r="40" spans="3:15" x14ac:dyDescent="0.25">
      <c r="C40" s="33"/>
      <c r="D40" s="23"/>
      <c r="E40" s="33"/>
      <c r="M40" s="21"/>
      <c r="N40" s="21"/>
      <c r="O40" s="21"/>
    </row>
    <row r="41" spans="3:15" x14ac:dyDescent="0.25">
      <c r="C41" s="33"/>
      <c r="D41" s="23"/>
      <c r="E41" s="33"/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94" priority="10" operator="containsText" text="FAIL">
      <formula>NOT(ISERROR(SEARCH("FAIL",I9)))</formula>
    </cfRule>
  </conditionalFormatting>
  <conditionalFormatting sqref="I9">
    <cfRule type="containsText" dxfId="393" priority="9" operator="containsText" text="GOOD">
      <formula>NOT(ISERROR(SEARCH("GOOD",I9)))</formula>
    </cfRule>
  </conditionalFormatting>
  <conditionalFormatting sqref="F11">
    <cfRule type="containsText" dxfId="392" priority="8" operator="containsText" text="FAIL">
      <formula>NOT(ISERROR(SEARCH("FAIL",F11)))</formula>
    </cfRule>
  </conditionalFormatting>
  <conditionalFormatting sqref="F11">
    <cfRule type="containsText" dxfId="391" priority="7" operator="containsText" text="GOOD">
      <formula>NOT(ISERROR(SEARCH("GOOD",F11)))</formula>
    </cfRule>
  </conditionalFormatting>
  <conditionalFormatting sqref="D25">
    <cfRule type="expression" dxfId="390" priority="6" stopIfTrue="1">
      <formula>IF($H$25=1,0)</formula>
    </cfRule>
  </conditionalFormatting>
  <conditionalFormatting sqref="D23:D43">
    <cfRule type="expression" dxfId="389" priority="5">
      <formula>H23=1</formula>
    </cfRule>
  </conditionalFormatting>
  <conditionalFormatting sqref="C23:C43">
    <cfRule type="expression" dxfId="388" priority="4">
      <formula>H23=1</formula>
    </cfRule>
  </conditionalFormatting>
  <conditionalFormatting sqref="E23:E43">
    <cfRule type="expression" dxfId="387" priority="3">
      <formula>H23=1</formula>
    </cfRule>
  </conditionalFormatting>
  <conditionalFormatting sqref="F11">
    <cfRule type="containsText" dxfId="386" priority="2" operator="containsText" text="FAIL">
      <formula>NOT(ISERROR(SEARCH("FAIL",F11)))</formula>
    </cfRule>
  </conditionalFormatting>
  <conditionalFormatting sqref="F11">
    <cfRule type="containsText" dxfId="385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2:O47"/>
  <sheetViews>
    <sheetView topLeftCell="A13" workbookViewId="0">
      <selection activeCell="I40" sqref="I40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151</v>
      </c>
      <c r="I4" s="2" t="s">
        <v>4</v>
      </c>
    </row>
    <row r="5" spans="1:11" x14ac:dyDescent="0.25">
      <c r="D5" s="2" t="s">
        <v>1</v>
      </c>
      <c r="F5" t="s">
        <v>152</v>
      </c>
    </row>
    <row r="6" spans="1:11" x14ac:dyDescent="0.25">
      <c r="D6" s="2" t="s">
        <v>2</v>
      </c>
      <c r="F6" s="6">
        <v>42268</v>
      </c>
      <c r="H6" s="11"/>
    </row>
    <row r="7" spans="1:11" x14ac:dyDescent="0.25">
      <c r="D7" s="2" t="s">
        <v>3</v>
      </c>
      <c r="F7" s="5">
        <v>7900000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6769800</v>
      </c>
      <c r="H8" s="11"/>
    </row>
    <row r="9" spans="1:11" x14ac:dyDescent="0.25">
      <c r="D9" s="2" t="s">
        <v>67</v>
      </c>
      <c r="F9" s="4">
        <f>+F8-F7</f>
        <v>-1130200</v>
      </c>
      <c r="G9" s="16">
        <f>+F9/F7</f>
        <v>-0.14306329113924052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-2930384.277777778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10830384.277777778</v>
      </c>
      <c r="G12" s="14"/>
      <c r="H12" s="11">
        <f>COUNT(I23:I43)</f>
        <v>18</v>
      </c>
      <c r="I12" s="1" t="s">
        <v>31</v>
      </c>
      <c r="J12" s="4">
        <f>+F8*0.9</f>
        <v>6092820</v>
      </c>
      <c r="K12" s="1" t="s">
        <v>69</v>
      </c>
    </row>
    <row r="13" spans="1:11" x14ac:dyDescent="0.25">
      <c r="D13" s="2" t="s">
        <v>29</v>
      </c>
      <c r="F13" s="4">
        <f>MAX(I23:I43)-MIN(I23:I43)</f>
        <v>8157817</v>
      </c>
      <c r="G13" s="269">
        <f>MEDIAN(I23:I43)</f>
        <v>10580000</v>
      </c>
      <c r="H13" s="270"/>
      <c r="I13" s="1" t="s">
        <v>30</v>
      </c>
      <c r="J13" s="4">
        <f>+F12*1.1</f>
        <v>11913422.705555556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153</v>
      </c>
      <c r="E23" s="33"/>
      <c r="F23" t="s">
        <v>105</v>
      </c>
      <c r="G23" t="s">
        <v>93</v>
      </c>
      <c r="H23">
        <f>RANK(I23,I$23:I$43,1)</f>
        <v>1</v>
      </c>
      <c r="I23" s="4">
        <v>6769800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154</v>
      </c>
      <c r="E24" s="33"/>
      <c r="F24" t="s">
        <v>88</v>
      </c>
      <c r="G24" t="s">
        <v>25</v>
      </c>
      <c r="H24">
        <f t="shared" ref="H24:H40" si="0">RANK(I24,I$23:I$43,1)</f>
        <v>2</v>
      </c>
      <c r="I24" s="4">
        <v>8850000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98</v>
      </c>
      <c r="E25" s="33"/>
      <c r="F25" t="s">
        <v>95</v>
      </c>
      <c r="G25" t="s">
        <v>25</v>
      </c>
      <c r="H25">
        <f t="shared" si="0"/>
        <v>3</v>
      </c>
      <c r="I25" s="4">
        <v>8881500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23" t="s">
        <v>155</v>
      </c>
      <c r="E26" s="33"/>
      <c r="F26" t="s">
        <v>109</v>
      </c>
      <c r="G26" t="s">
        <v>25</v>
      </c>
      <c r="H26">
        <f t="shared" si="0"/>
        <v>4</v>
      </c>
      <c r="I26" s="4">
        <v>8987000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23" t="s">
        <v>99</v>
      </c>
      <c r="E27" s="33" t="str">
        <f t="shared" ref="E27:E43" si="2">IF(H27=1,"t","")</f>
        <v/>
      </c>
      <c r="F27" t="s">
        <v>100</v>
      </c>
      <c r="G27" t="s">
        <v>93</v>
      </c>
      <c r="H27">
        <f t="shared" si="0"/>
        <v>5</v>
      </c>
      <c r="I27" s="4">
        <v>9460000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23" t="s">
        <v>156</v>
      </c>
      <c r="E28" s="33" t="str">
        <f t="shared" si="2"/>
        <v/>
      </c>
      <c r="F28" t="s">
        <v>157</v>
      </c>
      <c r="G28" t="s">
        <v>93</v>
      </c>
      <c r="H28">
        <f t="shared" si="0"/>
        <v>6</v>
      </c>
      <c r="I28" s="4">
        <v>9717000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23" t="s">
        <v>158</v>
      </c>
      <c r="E29" s="33" t="str">
        <f t="shared" si="2"/>
        <v/>
      </c>
      <c r="F29" t="s">
        <v>159</v>
      </c>
      <c r="G29" t="s">
        <v>93</v>
      </c>
      <c r="H29">
        <f t="shared" si="0"/>
        <v>7</v>
      </c>
      <c r="I29" s="4">
        <v>9920000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23" t="s">
        <v>160</v>
      </c>
      <c r="E30" s="33" t="str">
        <f t="shared" si="2"/>
        <v/>
      </c>
      <c r="F30" t="s">
        <v>161</v>
      </c>
      <c r="G30" t="s">
        <v>93</v>
      </c>
      <c r="H30">
        <f t="shared" si="0"/>
        <v>8</v>
      </c>
      <c r="I30" s="4">
        <v>9980000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23" t="s">
        <v>162</v>
      </c>
      <c r="E31" s="33" t="str">
        <f t="shared" si="2"/>
        <v/>
      </c>
      <c r="F31" t="s">
        <v>159</v>
      </c>
      <c r="G31" t="s">
        <v>93</v>
      </c>
      <c r="H31">
        <f t="shared" si="0"/>
        <v>9</v>
      </c>
      <c r="I31" s="4">
        <v>10470000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23" t="s">
        <v>163</v>
      </c>
      <c r="E32" s="33" t="str">
        <f t="shared" si="2"/>
        <v/>
      </c>
      <c r="F32" t="s">
        <v>95</v>
      </c>
      <c r="G32" t="s">
        <v>93</v>
      </c>
      <c r="H32">
        <f t="shared" si="0"/>
        <v>10</v>
      </c>
      <c r="I32" s="4">
        <v>10690000</v>
      </c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23" t="s">
        <v>164</v>
      </c>
      <c r="E33" s="33" t="str">
        <f t="shared" si="2"/>
        <v/>
      </c>
      <c r="F33" t="s">
        <v>165</v>
      </c>
      <c r="G33" t="s">
        <v>93</v>
      </c>
      <c r="H33">
        <f t="shared" si="0"/>
        <v>11</v>
      </c>
      <c r="I33" s="4">
        <v>10783000</v>
      </c>
      <c r="M33" s="21"/>
      <c r="N33" s="21"/>
      <c r="O33" s="21"/>
    </row>
    <row r="34" spans="3:15" x14ac:dyDescent="0.25">
      <c r="C34" s="33" t="str">
        <f t="shared" si="1"/>
        <v/>
      </c>
      <c r="D34" s="23" t="s">
        <v>166</v>
      </c>
      <c r="E34" s="33" t="str">
        <f t="shared" si="2"/>
        <v/>
      </c>
      <c r="F34" t="s">
        <v>167</v>
      </c>
      <c r="G34" t="s">
        <v>93</v>
      </c>
      <c r="H34">
        <f t="shared" si="0"/>
        <v>12</v>
      </c>
      <c r="I34" s="4">
        <v>10852000</v>
      </c>
      <c r="M34" s="21"/>
      <c r="N34" s="21"/>
      <c r="O34" s="21"/>
    </row>
    <row r="35" spans="3:15" x14ac:dyDescent="0.25">
      <c r="C35" s="33" t="str">
        <f t="shared" si="1"/>
        <v/>
      </c>
      <c r="D35" s="23" t="s">
        <v>168</v>
      </c>
      <c r="E35" s="33" t="str">
        <f t="shared" si="2"/>
        <v/>
      </c>
      <c r="F35" t="s">
        <v>165</v>
      </c>
      <c r="G35" t="s">
        <v>93</v>
      </c>
      <c r="H35">
        <f t="shared" si="0"/>
        <v>13</v>
      </c>
      <c r="I35" s="4">
        <v>11600000</v>
      </c>
      <c r="M35" s="21"/>
      <c r="N35" s="21"/>
      <c r="O35" s="21"/>
    </row>
    <row r="36" spans="3:15" x14ac:dyDescent="0.25">
      <c r="C36" s="33" t="str">
        <f t="shared" si="1"/>
        <v/>
      </c>
      <c r="D36" s="23" t="s">
        <v>169</v>
      </c>
      <c r="E36" s="33" t="str">
        <f t="shared" si="2"/>
        <v/>
      </c>
      <c r="F36" t="s">
        <v>170</v>
      </c>
      <c r="G36" t="s">
        <v>93</v>
      </c>
      <c r="H36">
        <f t="shared" si="0"/>
        <v>14</v>
      </c>
      <c r="I36" s="4">
        <v>11990000</v>
      </c>
      <c r="M36" s="21"/>
      <c r="N36" s="21"/>
      <c r="O36" s="21"/>
    </row>
    <row r="37" spans="3:15" x14ac:dyDescent="0.25">
      <c r="C37" s="33" t="str">
        <f t="shared" si="1"/>
        <v/>
      </c>
      <c r="D37" s="23" t="s">
        <v>171</v>
      </c>
      <c r="E37" s="33" t="str">
        <f t="shared" si="2"/>
        <v/>
      </c>
      <c r="F37" t="s">
        <v>95</v>
      </c>
      <c r="G37" t="s">
        <v>93</v>
      </c>
      <c r="H37">
        <f t="shared" si="0"/>
        <v>15</v>
      </c>
      <c r="I37" s="4">
        <v>13566000</v>
      </c>
      <c r="M37" s="21"/>
      <c r="N37" s="21"/>
      <c r="O37" s="21"/>
    </row>
    <row r="38" spans="3:15" x14ac:dyDescent="0.25">
      <c r="C38" s="33" t="str">
        <f t="shared" si="1"/>
        <v/>
      </c>
      <c r="D38" s="23" t="s">
        <v>172</v>
      </c>
      <c r="E38" s="33" t="str">
        <f t="shared" si="2"/>
        <v/>
      </c>
      <c r="F38" t="s">
        <v>95</v>
      </c>
      <c r="G38" t="s">
        <v>93</v>
      </c>
      <c r="H38">
        <f t="shared" si="0"/>
        <v>16</v>
      </c>
      <c r="I38" s="4">
        <v>13743000</v>
      </c>
      <c r="M38" s="21"/>
      <c r="N38" s="21"/>
      <c r="O38" s="21"/>
    </row>
    <row r="39" spans="3:15" x14ac:dyDescent="0.25">
      <c r="C39" s="33" t="str">
        <f t="shared" si="1"/>
        <v/>
      </c>
      <c r="D39" s="23" t="s">
        <v>173</v>
      </c>
      <c r="E39" s="33" t="str">
        <f t="shared" si="2"/>
        <v/>
      </c>
      <c r="F39" t="s">
        <v>95</v>
      </c>
      <c r="G39" t="s">
        <v>93</v>
      </c>
      <c r="H39">
        <f t="shared" si="0"/>
        <v>17</v>
      </c>
      <c r="I39" s="4">
        <v>13760000</v>
      </c>
      <c r="M39" s="21"/>
      <c r="N39" s="21"/>
      <c r="O39" s="21"/>
    </row>
    <row r="40" spans="3:15" x14ac:dyDescent="0.25">
      <c r="C40" s="33" t="str">
        <f t="shared" si="1"/>
        <v/>
      </c>
      <c r="D40" s="23" t="s">
        <v>174</v>
      </c>
      <c r="E40" s="33" t="str">
        <f t="shared" si="2"/>
        <v/>
      </c>
      <c r="F40" t="s">
        <v>175</v>
      </c>
      <c r="G40" t="s">
        <v>93</v>
      </c>
      <c r="H40">
        <f t="shared" si="0"/>
        <v>18</v>
      </c>
      <c r="I40" s="4">
        <v>14927617</v>
      </c>
      <c r="M40" s="21"/>
      <c r="N40" s="21"/>
      <c r="O40" s="21"/>
    </row>
    <row r="41" spans="3:15" x14ac:dyDescent="0.25">
      <c r="C41" s="33"/>
      <c r="D41" s="23"/>
      <c r="E41" s="33"/>
      <c r="M41" s="21"/>
      <c r="N41" s="21"/>
      <c r="O41" s="21"/>
    </row>
    <row r="42" spans="3:15" x14ac:dyDescent="0.25">
      <c r="C42" s="33"/>
      <c r="D42" s="23"/>
      <c r="E42" s="33"/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84" priority="10" operator="containsText" text="FAIL">
      <formula>NOT(ISERROR(SEARCH("FAIL",I9)))</formula>
    </cfRule>
  </conditionalFormatting>
  <conditionalFormatting sqref="I9">
    <cfRule type="containsText" dxfId="383" priority="9" operator="containsText" text="GOOD">
      <formula>NOT(ISERROR(SEARCH("GOOD",I9)))</formula>
    </cfRule>
  </conditionalFormatting>
  <conditionalFormatting sqref="F11">
    <cfRule type="containsText" dxfId="382" priority="8" operator="containsText" text="FAIL">
      <formula>NOT(ISERROR(SEARCH("FAIL",F11)))</formula>
    </cfRule>
  </conditionalFormatting>
  <conditionalFormatting sqref="F11">
    <cfRule type="containsText" dxfId="381" priority="7" operator="containsText" text="GOOD">
      <formula>NOT(ISERROR(SEARCH("GOOD",F11)))</formula>
    </cfRule>
  </conditionalFormatting>
  <conditionalFormatting sqref="D25">
    <cfRule type="expression" dxfId="380" priority="6" stopIfTrue="1">
      <formula>IF($H$25=1,0)</formula>
    </cfRule>
  </conditionalFormatting>
  <conditionalFormatting sqref="D23:D43">
    <cfRule type="expression" dxfId="379" priority="5">
      <formula>H23=1</formula>
    </cfRule>
  </conditionalFormatting>
  <conditionalFormatting sqref="C23:C43">
    <cfRule type="expression" dxfId="378" priority="4">
      <formula>H23=1</formula>
    </cfRule>
  </conditionalFormatting>
  <conditionalFormatting sqref="E23:E43">
    <cfRule type="expression" dxfId="377" priority="3">
      <formula>H23=1</formula>
    </cfRule>
  </conditionalFormatting>
  <conditionalFormatting sqref="F11">
    <cfRule type="containsText" dxfId="376" priority="2" operator="containsText" text="FAIL">
      <formula>NOT(ISERROR(SEARCH("FAIL",F11)))</formula>
    </cfRule>
  </conditionalFormatting>
  <conditionalFormatting sqref="F11">
    <cfRule type="containsText" dxfId="375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2:O47"/>
  <sheetViews>
    <sheetView topLeftCell="A4" workbookViewId="0">
      <selection activeCell="I28" sqref="I2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176</v>
      </c>
      <c r="I4" s="2" t="s">
        <v>4</v>
      </c>
    </row>
    <row r="5" spans="1:11" x14ac:dyDescent="0.25">
      <c r="D5" s="2" t="s">
        <v>1</v>
      </c>
      <c r="F5" t="s">
        <v>417</v>
      </c>
    </row>
    <row r="6" spans="1:11" x14ac:dyDescent="0.25">
      <c r="D6" s="2" t="s">
        <v>2</v>
      </c>
      <c r="F6" s="6">
        <v>42256</v>
      </c>
      <c r="H6" s="11"/>
    </row>
    <row r="7" spans="1:11" x14ac:dyDescent="0.25">
      <c r="D7" s="2" t="s">
        <v>3</v>
      </c>
      <c r="F7" s="5">
        <v>325000</v>
      </c>
      <c r="G7" s="2" t="s">
        <v>177</v>
      </c>
      <c r="H7" s="11"/>
    </row>
    <row r="8" spans="1:11" x14ac:dyDescent="0.25">
      <c r="D8" s="2" t="s">
        <v>18</v>
      </c>
      <c r="F8" s="5">
        <f>MIN(I23:I43)</f>
        <v>377777</v>
      </c>
      <c r="H8" s="11"/>
    </row>
    <row r="9" spans="1:11" x14ac:dyDescent="0.25">
      <c r="D9" s="2" t="s">
        <v>67</v>
      </c>
      <c r="F9" s="4">
        <f>+F8-F7</f>
        <v>52777</v>
      </c>
      <c r="G9" s="16">
        <f>+F9/F7</f>
        <v>0.16239076923076923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-164615.33333333331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489615.33333333331</v>
      </c>
      <c r="G12" s="14"/>
      <c r="H12" s="11">
        <f>COUNT(I23:I43)</f>
        <v>6</v>
      </c>
      <c r="I12" s="1" t="s">
        <v>31</v>
      </c>
      <c r="J12" s="4">
        <f>+F8*0.9</f>
        <v>339999.3</v>
      </c>
      <c r="K12" s="1" t="s">
        <v>69</v>
      </c>
    </row>
    <row r="13" spans="1:11" x14ac:dyDescent="0.25">
      <c r="D13" s="2" t="s">
        <v>29</v>
      </c>
      <c r="F13" s="4">
        <f>MAX(I23:I43)-MIN(I23:I43)</f>
        <v>265348</v>
      </c>
      <c r="G13" s="269">
        <f>MEDIAN(I23:I43)</f>
        <v>456000</v>
      </c>
      <c r="H13" s="270"/>
      <c r="I13" s="1" t="s">
        <v>30</v>
      </c>
      <c r="J13" s="4">
        <f>+F12*1.1</f>
        <v>538576.8666666667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 t="shared" ref="C23:C28" si="0">IF(H23=1,"u","")</f>
        <v>u</v>
      </c>
      <c r="D23" s="23" t="s">
        <v>146</v>
      </c>
      <c r="E23" s="33"/>
      <c r="F23" t="s">
        <v>147</v>
      </c>
      <c r="G23" t="s">
        <v>93</v>
      </c>
      <c r="H23">
        <f t="shared" ref="H23:H28" si="1">RANK(I23,I$23:I$43,1)</f>
        <v>1</v>
      </c>
      <c r="I23" s="4">
        <v>377777</v>
      </c>
      <c r="J23" s="4"/>
      <c r="K23" s="4"/>
      <c r="L23" s="4"/>
      <c r="M23" s="22"/>
      <c r="N23" s="22"/>
      <c r="O23" s="22"/>
    </row>
    <row r="24" spans="3:15" x14ac:dyDescent="0.25">
      <c r="C24" s="33" t="str">
        <f t="shared" si="0"/>
        <v/>
      </c>
      <c r="D24" s="23" t="s">
        <v>178</v>
      </c>
      <c r="E24" s="33"/>
      <c r="F24" t="s">
        <v>179</v>
      </c>
      <c r="G24" t="s">
        <v>25</v>
      </c>
      <c r="H24">
        <f t="shared" si="1"/>
        <v>2</v>
      </c>
      <c r="I24" s="4">
        <v>415415</v>
      </c>
      <c r="J24" s="4"/>
      <c r="K24" s="4"/>
      <c r="L24" s="4"/>
      <c r="M24" s="22"/>
      <c r="N24" s="22"/>
      <c r="O24" s="22"/>
    </row>
    <row r="25" spans="3:15" x14ac:dyDescent="0.25">
      <c r="C25" s="33" t="str">
        <f t="shared" si="0"/>
        <v/>
      </c>
      <c r="D25" s="23" t="s">
        <v>180</v>
      </c>
      <c r="E25" s="33"/>
      <c r="F25" t="s">
        <v>181</v>
      </c>
      <c r="G25" t="s">
        <v>93</v>
      </c>
      <c r="H25">
        <f t="shared" si="1"/>
        <v>3</v>
      </c>
      <c r="I25" s="4">
        <v>442000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si="0"/>
        <v/>
      </c>
      <c r="D26" s="23" t="s">
        <v>182</v>
      </c>
      <c r="E26" s="33"/>
      <c r="F26" t="s">
        <v>131</v>
      </c>
      <c r="G26" t="s">
        <v>25</v>
      </c>
      <c r="H26">
        <f t="shared" si="1"/>
        <v>4</v>
      </c>
      <c r="I26" s="4">
        <v>470000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23" t="s">
        <v>183</v>
      </c>
      <c r="E27" s="33"/>
      <c r="F27" t="s">
        <v>184</v>
      </c>
      <c r="G27" t="s">
        <v>93</v>
      </c>
      <c r="H27">
        <f t="shared" si="1"/>
        <v>5</v>
      </c>
      <c r="I27" s="4">
        <v>589375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23" t="s">
        <v>185</v>
      </c>
      <c r="E28" s="33"/>
      <c r="F28" t="s">
        <v>186</v>
      </c>
      <c r="G28" t="s">
        <v>25</v>
      </c>
      <c r="H28">
        <f t="shared" si="1"/>
        <v>6</v>
      </c>
      <c r="I28" s="4">
        <v>643125</v>
      </c>
      <c r="J28" s="4"/>
      <c r="K28" s="4"/>
      <c r="L28" s="4"/>
      <c r="M28" s="22"/>
      <c r="N28" s="22"/>
      <c r="O28" s="22"/>
    </row>
    <row r="29" spans="3:15" x14ac:dyDescent="0.25">
      <c r="C29" s="33"/>
      <c r="D29" s="23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/>
      <c r="D30" s="23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/>
      <c r="D31" s="23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/>
      <c r="D32" s="23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/>
      <c r="D33" s="23"/>
      <c r="E33" s="33"/>
      <c r="I33" s="4"/>
      <c r="M33" s="21"/>
      <c r="N33" s="21"/>
      <c r="O33" s="21"/>
    </row>
    <row r="34" spans="3:15" x14ac:dyDescent="0.25">
      <c r="C34" s="33"/>
      <c r="D34" s="23"/>
      <c r="E34" s="33"/>
      <c r="I34" s="4"/>
      <c r="M34" s="21"/>
      <c r="N34" s="21"/>
      <c r="O34" s="21"/>
    </row>
    <row r="35" spans="3:15" x14ac:dyDescent="0.25">
      <c r="C35" s="33"/>
      <c r="D35" s="23"/>
      <c r="E35" s="33"/>
      <c r="I35" s="4"/>
      <c r="M35" s="21"/>
      <c r="N35" s="21"/>
      <c r="O35" s="21"/>
    </row>
    <row r="36" spans="3:15" x14ac:dyDescent="0.25">
      <c r="C36" s="33"/>
      <c r="D36" s="23"/>
      <c r="E36" s="33"/>
      <c r="I36" s="4"/>
      <c r="M36" s="21"/>
      <c r="N36" s="21"/>
      <c r="O36" s="21"/>
    </row>
    <row r="37" spans="3:15" x14ac:dyDescent="0.25">
      <c r="C37" s="33"/>
      <c r="D37" s="23"/>
      <c r="E37" s="33"/>
      <c r="I37" s="4"/>
      <c r="M37" s="21"/>
      <c r="N37" s="21"/>
      <c r="O37" s="21"/>
    </row>
    <row r="38" spans="3:15" x14ac:dyDescent="0.25">
      <c r="C38" s="33"/>
      <c r="D38" s="23"/>
      <c r="E38" s="33"/>
      <c r="I38" s="4"/>
      <c r="M38" s="21"/>
      <c r="N38" s="21"/>
      <c r="O38" s="21"/>
    </row>
    <row r="39" spans="3:15" x14ac:dyDescent="0.25">
      <c r="C39" s="33"/>
      <c r="D39" s="23"/>
      <c r="E39" s="33"/>
      <c r="I39" s="4"/>
      <c r="M39" s="21"/>
      <c r="N39" s="21"/>
      <c r="O39" s="21"/>
    </row>
    <row r="40" spans="3:15" x14ac:dyDescent="0.25">
      <c r="C40" s="33"/>
      <c r="D40" s="23"/>
      <c r="E40" s="33"/>
      <c r="I40" s="4"/>
      <c r="M40" s="21"/>
      <c r="N40" s="21"/>
      <c r="O40" s="21"/>
    </row>
    <row r="41" spans="3:15" x14ac:dyDescent="0.25">
      <c r="C41" s="33"/>
      <c r="D41" s="23"/>
      <c r="E41" s="33"/>
      <c r="M41" s="21"/>
      <c r="N41" s="21"/>
      <c r="O41" s="21"/>
    </row>
    <row r="42" spans="3:15" x14ac:dyDescent="0.25">
      <c r="C42" s="33"/>
      <c r="D42" s="23"/>
      <c r="E42" s="33"/>
      <c r="M42" s="21"/>
      <c r="N42" s="21"/>
      <c r="O42" s="21"/>
    </row>
    <row r="43" spans="3:15" x14ac:dyDescent="0.25">
      <c r="C43" s="33" t="str">
        <f>IF(H43=1,"u","")</f>
        <v/>
      </c>
      <c r="D43" s="11"/>
      <c r="E43" s="33" t="str">
        <f>IF(H43=1,"t","")</f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74" priority="10" operator="containsText" text="FAIL">
      <formula>NOT(ISERROR(SEARCH("FAIL",I9)))</formula>
    </cfRule>
  </conditionalFormatting>
  <conditionalFormatting sqref="I9">
    <cfRule type="containsText" dxfId="373" priority="9" operator="containsText" text="GOOD">
      <formula>NOT(ISERROR(SEARCH("GOOD",I9)))</formula>
    </cfRule>
  </conditionalFormatting>
  <conditionalFormatting sqref="F11">
    <cfRule type="containsText" dxfId="372" priority="8" operator="containsText" text="FAIL">
      <formula>NOT(ISERROR(SEARCH("FAIL",F11)))</formula>
    </cfRule>
  </conditionalFormatting>
  <conditionalFormatting sqref="F11">
    <cfRule type="containsText" dxfId="371" priority="7" operator="containsText" text="GOOD">
      <formula>NOT(ISERROR(SEARCH("GOOD",F11)))</formula>
    </cfRule>
  </conditionalFormatting>
  <conditionalFormatting sqref="D25">
    <cfRule type="expression" dxfId="370" priority="6" stopIfTrue="1">
      <formula>IF($H$25=1,0)</formula>
    </cfRule>
  </conditionalFormatting>
  <conditionalFormatting sqref="D23:D43">
    <cfRule type="expression" dxfId="369" priority="5">
      <formula>H23=1</formula>
    </cfRule>
  </conditionalFormatting>
  <conditionalFormatting sqref="C23:C43">
    <cfRule type="expression" dxfId="368" priority="4">
      <formula>H23=1</formula>
    </cfRule>
  </conditionalFormatting>
  <conditionalFormatting sqref="E23:E43">
    <cfRule type="expression" dxfId="367" priority="3">
      <formula>H23=1</formula>
    </cfRule>
  </conditionalFormatting>
  <conditionalFormatting sqref="F11">
    <cfRule type="containsText" dxfId="366" priority="2" operator="containsText" text="FAIL">
      <formula>NOT(ISERROR(SEARCH("FAIL",F11)))</formula>
    </cfRule>
  </conditionalFormatting>
  <conditionalFormatting sqref="F11">
    <cfRule type="containsText" dxfId="365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2:O47"/>
  <sheetViews>
    <sheetView workbookViewId="0">
      <selection activeCell="I26" sqref="I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6</v>
      </c>
      <c r="I4" s="2" t="s">
        <v>4</v>
      </c>
    </row>
    <row r="5" spans="1:11" x14ac:dyDescent="0.25">
      <c r="D5" s="2" t="s">
        <v>1</v>
      </c>
      <c r="F5" t="s">
        <v>7</v>
      </c>
    </row>
    <row r="6" spans="1:11" x14ac:dyDescent="0.25">
      <c r="D6" s="2" t="s">
        <v>2</v>
      </c>
      <c r="F6" s="6">
        <v>42243</v>
      </c>
      <c r="H6" s="11"/>
    </row>
    <row r="7" spans="1:11" x14ac:dyDescent="0.25">
      <c r="D7" s="2" t="s">
        <v>3</v>
      </c>
      <c r="F7" s="5">
        <v>1650000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1898000</v>
      </c>
      <c r="H8" s="11"/>
    </row>
    <row r="9" spans="1:11" x14ac:dyDescent="0.25">
      <c r="D9" s="2" t="s">
        <v>67</v>
      </c>
      <c r="F9" s="4">
        <f>+F8-F7</f>
        <v>248000</v>
      </c>
      <c r="G9" s="16">
        <f>+F9/F7</f>
        <v>0.1503030303030303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-1168925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2818925</v>
      </c>
      <c r="G12" s="14"/>
      <c r="H12" s="11">
        <f>COUNT(I23:I43)</f>
        <v>4</v>
      </c>
      <c r="I12" s="1" t="s">
        <v>31</v>
      </c>
      <c r="J12" s="4">
        <f>+F8*0.9</f>
        <v>1708200</v>
      </c>
      <c r="K12" s="1" t="s">
        <v>69</v>
      </c>
    </row>
    <row r="13" spans="1:11" x14ac:dyDescent="0.25">
      <c r="D13" s="2" t="s">
        <v>29</v>
      </c>
      <c r="F13" s="4">
        <f>MAX(I23:I43)-MIN(I23:I43)</f>
        <v>2249700</v>
      </c>
      <c r="G13" s="269">
        <f>MEDIAN(I23:I43)</f>
        <v>2615000</v>
      </c>
      <c r="H13" s="270"/>
      <c r="I13" s="1" t="s">
        <v>30</v>
      </c>
      <c r="J13" s="4">
        <f>+F12*1.1</f>
        <v>3100817.5000000005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230</v>
      </c>
      <c r="E23" s="33"/>
      <c r="F23" t="s">
        <v>203</v>
      </c>
      <c r="G23" t="s">
        <v>204</v>
      </c>
      <c r="H23">
        <f>RANK(I23,I$23:I$43,1)</f>
        <v>1</v>
      </c>
      <c r="I23" s="4">
        <v>1898000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231</v>
      </c>
      <c r="E24" s="33"/>
      <c r="F24" t="s">
        <v>232</v>
      </c>
      <c r="G24" t="s">
        <v>25</v>
      </c>
      <c r="H24">
        <f>RANK(I24,I$23:I$43,1)</f>
        <v>2</v>
      </c>
      <c r="I24" s="4">
        <v>2440000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233</v>
      </c>
      <c r="E25" s="33"/>
      <c r="F25" t="s">
        <v>88</v>
      </c>
      <c r="G25" t="s">
        <v>25</v>
      </c>
      <c r="H25">
        <f>RANK(I25,I$23:I$43,1)</f>
        <v>3</v>
      </c>
      <c r="I25" s="4">
        <v>2790000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23" t="s">
        <v>234</v>
      </c>
      <c r="E26" s="33"/>
      <c r="F26" t="s">
        <v>95</v>
      </c>
      <c r="G26" t="s">
        <v>93</v>
      </c>
      <c r="H26">
        <f>RANK(I26,I$23:I$43,1)</f>
        <v>4</v>
      </c>
      <c r="I26" s="4">
        <v>4147700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23"/>
      <c r="E27" s="33" t="str">
        <f t="shared" ref="E27:E43" si="1">IF(H27=1,"t","")</f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23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23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64" priority="10" operator="containsText" text="FAIL">
      <formula>NOT(ISERROR(SEARCH("FAIL",I9)))</formula>
    </cfRule>
  </conditionalFormatting>
  <conditionalFormatting sqref="I9">
    <cfRule type="containsText" dxfId="363" priority="9" operator="containsText" text="GOOD">
      <formula>NOT(ISERROR(SEARCH("GOOD",I9)))</formula>
    </cfRule>
  </conditionalFormatting>
  <conditionalFormatting sqref="F11">
    <cfRule type="containsText" dxfId="362" priority="8" operator="containsText" text="FAIL">
      <formula>NOT(ISERROR(SEARCH("FAIL",F11)))</formula>
    </cfRule>
  </conditionalFormatting>
  <conditionalFormatting sqref="F11">
    <cfRule type="containsText" dxfId="361" priority="7" operator="containsText" text="GOOD">
      <formula>NOT(ISERROR(SEARCH("GOOD",F11)))</formula>
    </cfRule>
  </conditionalFormatting>
  <conditionalFormatting sqref="D25">
    <cfRule type="expression" dxfId="360" priority="6" stopIfTrue="1">
      <formula>IF($H$25=1,0)</formula>
    </cfRule>
  </conditionalFormatting>
  <conditionalFormatting sqref="D23:D43">
    <cfRule type="expression" dxfId="359" priority="5">
      <formula>H23=1</formula>
    </cfRule>
  </conditionalFormatting>
  <conditionalFormatting sqref="C23:C43">
    <cfRule type="expression" dxfId="358" priority="4">
      <formula>H23=1</formula>
    </cfRule>
  </conditionalFormatting>
  <conditionalFormatting sqref="E23:E43">
    <cfRule type="expression" dxfId="357" priority="3">
      <formula>H23=1</formula>
    </cfRule>
  </conditionalFormatting>
  <conditionalFormatting sqref="F11">
    <cfRule type="containsText" dxfId="356" priority="2" operator="containsText" text="FAIL">
      <formula>NOT(ISERROR(SEARCH("FAIL",F11)))</formula>
    </cfRule>
  </conditionalFormatting>
  <conditionalFormatting sqref="F11">
    <cfRule type="containsText" dxfId="355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2:O47"/>
  <sheetViews>
    <sheetView workbookViewId="0">
      <selection activeCell="L38" sqref="L3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235</v>
      </c>
      <c r="I4" s="2" t="s">
        <v>4</v>
      </c>
    </row>
    <row r="5" spans="1:11" x14ac:dyDescent="0.25">
      <c r="D5" s="2" t="s">
        <v>1</v>
      </c>
      <c r="F5" t="s">
        <v>236</v>
      </c>
    </row>
    <row r="6" spans="1:11" x14ac:dyDescent="0.25">
      <c r="D6" s="2" t="s">
        <v>2</v>
      </c>
      <c r="F6" s="6">
        <v>42234</v>
      </c>
      <c r="H6" s="11"/>
    </row>
    <row r="7" spans="1:11" x14ac:dyDescent="0.25">
      <c r="D7" s="2" t="s">
        <v>3</v>
      </c>
      <c r="F7" s="5">
        <v>354000</v>
      </c>
      <c r="G7" s="2" t="s">
        <v>177</v>
      </c>
      <c r="H7" s="11"/>
    </row>
    <row r="8" spans="1:11" x14ac:dyDescent="0.25">
      <c r="D8" s="2" t="s">
        <v>18</v>
      </c>
      <c r="F8" s="5">
        <f>MIN(I23:I43)</f>
        <v>396811</v>
      </c>
      <c r="H8" s="11"/>
    </row>
    <row r="9" spans="1:11" x14ac:dyDescent="0.25">
      <c r="D9" s="2" t="s">
        <v>67</v>
      </c>
      <c r="F9" s="4">
        <f>+F8-F7</f>
        <v>42811</v>
      </c>
      <c r="G9" s="16">
        <f>+F9/F7</f>
        <v>0.12093502824858757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-227728.33333333337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581728.33333333337</v>
      </c>
      <c r="G12" s="14"/>
      <c r="H12" s="11">
        <f>COUNT(I23:I43)</f>
        <v>3</v>
      </c>
      <c r="I12" s="1" t="s">
        <v>31</v>
      </c>
      <c r="J12" s="4">
        <f>+F8*0.9</f>
        <v>357129.9</v>
      </c>
      <c r="K12" s="1" t="s">
        <v>69</v>
      </c>
    </row>
    <row r="13" spans="1:11" x14ac:dyDescent="0.25">
      <c r="D13" s="2" t="s">
        <v>29</v>
      </c>
      <c r="F13" s="4">
        <f>MAX(I23:I43)-MIN(I23:I43)</f>
        <v>344563</v>
      </c>
      <c r="G13" s="269">
        <f>MEDIAN(I23:I43)</f>
        <v>607000</v>
      </c>
      <c r="H13" s="270"/>
      <c r="I13" s="1" t="s">
        <v>30</v>
      </c>
      <c r="J13" s="4">
        <f>+F12*1.1</f>
        <v>639901.16666666674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237</v>
      </c>
      <c r="E23" s="33"/>
      <c r="F23" t="s">
        <v>179</v>
      </c>
      <c r="G23" t="s">
        <v>25</v>
      </c>
      <c r="H23">
        <f>RANK(I23,I$23:I$43,1)</f>
        <v>1</v>
      </c>
      <c r="I23" s="4">
        <v>396811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238</v>
      </c>
      <c r="E24" s="33"/>
      <c r="F24" t="s">
        <v>139</v>
      </c>
      <c r="G24" t="s">
        <v>25</v>
      </c>
      <c r="H24">
        <f>RANK(I24,I$23:I$43,1)</f>
        <v>2</v>
      </c>
      <c r="I24" s="4">
        <v>607000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239</v>
      </c>
      <c r="E25" s="33"/>
      <c r="F25" t="s">
        <v>240</v>
      </c>
      <c r="G25" t="s">
        <v>93</v>
      </c>
      <c r="H25">
        <f>RANK(I25,I$23:I$43,1)</f>
        <v>3</v>
      </c>
      <c r="I25" s="4">
        <v>741374</v>
      </c>
      <c r="J25" s="4"/>
      <c r="K25" s="4"/>
      <c r="L25" s="4"/>
      <c r="M25" s="22"/>
      <c r="N25" s="22"/>
      <c r="O25" s="22"/>
    </row>
    <row r="26" spans="3:15" x14ac:dyDescent="0.25">
      <c r="C26" s="33"/>
      <c r="D26" s="23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ref="C27:C43" si="0">IF(H27=1,"u","")</f>
        <v/>
      </c>
      <c r="D27" s="11"/>
      <c r="E27" s="33" t="str">
        <f t="shared" ref="E27:E43" si="1">IF(H27=1,"t","")</f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54" priority="10" operator="containsText" text="FAIL">
      <formula>NOT(ISERROR(SEARCH("FAIL",I9)))</formula>
    </cfRule>
  </conditionalFormatting>
  <conditionalFormatting sqref="I9">
    <cfRule type="containsText" dxfId="353" priority="9" operator="containsText" text="GOOD">
      <formula>NOT(ISERROR(SEARCH("GOOD",I9)))</formula>
    </cfRule>
  </conditionalFormatting>
  <conditionalFormatting sqref="F11">
    <cfRule type="containsText" dxfId="352" priority="8" operator="containsText" text="FAIL">
      <formula>NOT(ISERROR(SEARCH("FAIL",F11)))</formula>
    </cfRule>
  </conditionalFormatting>
  <conditionalFormatting sqref="F11">
    <cfRule type="containsText" dxfId="351" priority="7" operator="containsText" text="GOOD">
      <formula>NOT(ISERROR(SEARCH("GOOD",F11)))</formula>
    </cfRule>
  </conditionalFormatting>
  <conditionalFormatting sqref="D25">
    <cfRule type="expression" dxfId="350" priority="6" stopIfTrue="1">
      <formula>IF($H$25=1,0)</formula>
    </cfRule>
  </conditionalFormatting>
  <conditionalFormatting sqref="D23:D43">
    <cfRule type="expression" dxfId="349" priority="5">
      <formula>H23=1</formula>
    </cfRule>
  </conditionalFormatting>
  <conditionalFormatting sqref="C23:C43">
    <cfRule type="expression" dxfId="348" priority="4">
      <formula>H23=1</formula>
    </cfRule>
  </conditionalFormatting>
  <conditionalFormatting sqref="E23:E43">
    <cfRule type="expression" dxfId="347" priority="3">
      <formula>H23=1</formula>
    </cfRule>
  </conditionalFormatting>
  <conditionalFormatting sqref="F11">
    <cfRule type="containsText" dxfId="346" priority="2" operator="containsText" text="FAIL">
      <formula>NOT(ISERROR(SEARCH("FAIL",F11)))</formula>
    </cfRule>
  </conditionalFormatting>
  <conditionalFormatting sqref="F11">
    <cfRule type="containsText" dxfId="345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2:O47"/>
  <sheetViews>
    <sheetView workbookViewId="0">
      <selection activeCell="I34" sqref="I3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241</v>
      </c>
      <c r="I4" s="2" t="s">
        <v>4</v>
      </c>
    </row>
    <row r="5" spans="1:11" x14ac:dyDescent="0.25">
      <c r="D5" s="2" t="s">
        <v>1</v>
      </c>
      <c r="F5" t="s">
        <v>242</v>
      </c>
    </row>
    <row r="6" spans="1:11" x14ac:dyDescent="0.25">
      <c r="D6" s="2" t="s">
        <v>2</v>
      </c>
      <c r="F6" s="6">
        <v>42213</v>
      </c>
      <c r="H6" s="11"/>
    </row>
    <row r="7" spans="1:11" x14ac:dyDescent="0.25">
      <c r="D7" s="2" t="s">
        <v>3</v>
      </c>
      <c r="F7" s="5">
        <v>1918000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1389000</v>
      </c>
      <c r="H8" s="11"/>
    </row>
    <row r="9" spans="1:11" x14ac:dyDescent="0.25">
      <c r="D9" s="2" t="s">
        <v>67</v>
      </c>
      <c r="F9" s="4">
        <f>+F8-F7</f>
        <v>-529000</v>
      </c>
      <c r="G9" s="16">
        <f>+F9/F7</f>
        <v>-0.27580813347236705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-480929.47416666662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2398929.4741666666</v>
      </c>
      <c r="G12" s="14"/>
      <c r="H12" s="11">
        <f>COUNT(I23:I43)</f>
        <v>12</v>
      </c>
      <c r="I12" s="1" t="s">
        <v>31</v>
      </c>
      <c r="J12" s="4">
        <f>+F8*0.9</f>
        <v>1250100</v>
      </c>
      <c r="K12" s="1" t="s">
        <v>69</v>
      </c>
    </row>
    <row r="13" spans="1:11" x14ac:dyDescent="0.25">
      <c r="D13" s="2" t="s">
        <v>29</v>
      </c>
      <c r="F13" s="4">
        <f>MAX(I23:I43)-MIN(I23:I43)</f>
        <v>2211054</v>
      </c>
      <c r="G13" s="269">
        <f>MEDIAN(I23:I43)</f>
        <v>2432187.5</v>
      </c>
      <c r="H13" s="270"/>
      <c r="I13" s="1" t="s">
        <v>30</v>
      </c>
      <c r="J13" s="4">
        <f>+F12*1.1</f>
        <v>2638822.4215833335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243</v>
      </c>
      <c r="E23" s="33"/>
      <c r="F23" t="s">
        <v>244</v>
      </c>
      <c r="G23" t="s">
        <v>25</v>
      </c>
      <c r="H23">
        <f>RANK(I23,I$23:I$43,1)</f>
        <v>1</v>
      </c>
      <c r="I23" s="4">
        <v>1389000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245</v>
      </c>
      <c r="E24" s="33"/>
      <c r="F24" t="s">
        <v>246</v>
      </c>
      <c r="G24" t="s">
        <v>25</v>
      </c>
      <c r="H24">
        <f t="shared" ref="H24:H34" si="0">RANK(I24,I$23:I$43,1)</f>
        <v>2</v>
      </c>
      <c r="I24" s="4">
        <v>1737000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247</v>
      </c>
      <c r="E25" s="33"/>
      <c r="F25" t="s">
        <v>208</v>
      </c>
      <c r="G25" t="s">
        <v>93</v>
      </c>
      <c r="H25">
        <f t="shared" si="0"/>
        <v>3</v>
      </c>
      <c r="I25" s="4">
        <v>1798900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23" t="s">
        <v>248</v>
      </c>
      <c r="E26" s="33"/>
      <c r="F26" t="s">
        <v>249</v>
      </c>
      <c r="G26" t="s">
        <v>25</v>
      </c>
      <c r="H26">
        <f t="shared" si="0"/>
        <v>4</v>
      </c>
      <c r="I26" s="4">
        <v>1991110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23" t="s">
        <v>250</v>
      </c>
      <c r="E27" s="33" t="str">
        <f t="shared" ref="E27:E43" si="2">IF(H27=1,"t","")</f>
        <v/>
      </c>
      <c r="F27" t="s">
        <v>251</v>
      </c>
      <c r="G27" t="s">
        <v>25</v>
      </c>
      <c r="H27">
        <f t="shared" si="0"/>
        <v>5</v>
      </c>
      <c r="I27" s="4">
        <v>2310000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23" t="s">
        <v>252</v>
      </c>
      <c r="E28" s="33" t="str">
        <f t="shared" si="2"/>
        <v/>
      </c>
      <c r="F28" t="s">
        <v>253</v>
      </c>
      <c r="G28" t="s">
        <v>25</v>
      </c>
      <c r="H28">
        <f t="shared" si="0"/>
        <v>6</v>
      </c>
      <c r="I28" s="4">
        <v>2375000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23" t="s">
        <v>185</v>
      </c>
      <c r="E29" s="33" t="str">
        <f t="shared" si="2"/>
        <v/>
      </c>
      <c r="F29" t="s">
        <v>186</v>
      </c>
      <c r="G29" t="s">
        <v>25</v>
      </c>
      <c r="H29">
        <f t="shared" si="0"/>
        <v>7</v>
      </c>
      <c r="I29" s="4">
        <v>2489375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23" t="s">
        <v>254</v>
      </c>
      <c r="E30" s="33" t="str">
        <f t="shared" si="2"/>
        <v/>
      </c>
      <c r="F30" t="s">
        <v>113</v>
      </c>
      <c r="G30" t="s">
        <v>25</v>
      </c>
      <c r="H30">
        <f t="shared" si="0"/>
        <v>8</v>
      </c>
      <c r="I30" s="4">
        <v>2669024.69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23" t="s">
        <v>255</v>
      </c>
      <c r="E31" s="33" t="str">
        <f t="shared" si="2"/>
        <v/>
      </c>
      <c r="H31">
        <f t="shared" si="0"/>
        <v>9</v>
      </c>
      <c r="I31" s="4">
        <v>2694400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23" t="s">
        <v>256</v>
      </c>
      <c r="E32" s="33" t="str">
        <f t="shared" si="2"/>
        <v/>
      </c>
      <c r="F32" t="s">
        <v>201</v>
      </c>
      <c r="G32" t="s">
        <v>25</v>
      </c>
      <c r="H32">
        <f t="shared" si="0"/>
        <v>10</v>
      </c>
      <c r="I32" s="4">
        <v>2754290</v>
      </c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23" t="s">
        <v>138</v>
      </c>
      <c r="E33" s="33" t="str">
        <f t="shared" si="2"/>
        <v/>
      </c>
      <c r="F33" t="s">
        <v>139</v>
      </c>
      <c r="G33" t="s">
        <v>25</v>
      </c>
      <c r="H33">
        <f t="shared" si="0"/>
        <v>11</v>
      </c>
      <c r="I33" s="4">
        <v>2979000</v>
      </c>
      <c r="M33" s="21"/>
      <c r="N33" s="21"/>
      <c r="O33" s="21"/>
    </row>
    <row r="34" spans="3:15" x14ac:dyDescent="0.25">
      <c r="C34" s="33" t="str">
        <f t="shared" si="1"/>
        <v/>
      </c>
      <c r="D34" s="23" t="s">
        <v>257</v>
      </c>
      <c r="E34" s="33" t="str">
        <f t="shared" si="2"/>
        <v/>
      </c>
      <c r="F34" t="s">
        <v>147</v>
      </c>
      <c r="G34" t="s">
        <v>93</v>
      </c>
      <c r="H34">
        <f t="shared" si="0"/>
        <v>12</v>
      </c>
      <c r="I34" s="4">
        <v>3600054</v>
      </c>
      <c r="M34" s="21"/>
      <c r="N34" s="21"/>
      <c r="O34" s="21"/>
    </row>
    <row r="35" spans="3:15" x14ac:dyDescent="0.25">
      <c r="C35" s="33" t="str">
        <f t="shared" si="1"/>
        <v/>
      </c>
      <c r="D35" s="23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23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44" priority="10" operator="containsText" text="FAIL">
      <formula>NOT(ISERROR(SEARCH("FAIL",I9)))</formula>
    </cfRule>
  </conditionalFormatting>
  <conditionalFormatting sqref="I9">
    <cfRule type="containsText" dxfId="343" priority="9" operator="containsText" text="GOOD">
      <formula>NOT(ISERROR(SEARCH("GOOD",I9)))</formula>
    </cfRule>
  </conditionalFormatting>
  <conditionalFormatting sqref="F11">
    <cfRule type="containsText" dxfId="342" priority="8" operator="containsText" text="FAIL">
      <formula>NOT(ISERROR(SEARCH("FAIL",F11)))</formula>
    </cfRule>
  </conditionalFormatting>
  <conditionalFormatting sqref="F11">
    <cfRule type="containsText" dxfId="341" priority="7" operator="containsText" text="GOOD">
      <formula>NOT(ISERROR(SEARCH("GOOD",F11)))</formula>
    </cfRule>
  </conditionalFormatting>
  <conditionalFormatting sqref="D25">
    <cfRule type="expression" dxfId="340" priority="6" stopIfTrue="1">
      <formula>IF($H$25=1,0)</formula>
    </cfRule>
  </conditionalFormatting>
  <conditionalFormatting sqref="D23:D43">
    <cfRule type="expression" dxfId="339" priority="5">
      <formula>H23=1</formula>
    </cfRule>
  </conditionalFormatting>
  <conditionalFormatting sqref="C23:C43">
    <cfRule type="expression" dxfId="338" priority="4">
      <formula>H23=1</formula>
    </cfRule>
  </conditionalFormatting>
  <conditionalFormatting sqref="E23:E43">
    <cfRule type="expression" dxfId="337" priority="3">
      <formula>H23=1</formula>
    </cfRule>
  </conditionalFormatting>
  <conditionalFormatting sqref="F11">
    <cfRule type="containsText" dxfId="336" priority="2" operator="containsText" text="FAIL">
      <formula>NOT(ISERROR(SEARCH("FAIL",F11)))</formula>
    </cfRule>
  </conditionalFormatting>
  <conditionalFormatting sqref="F11">
    <cfRule type="containsText" dxfId="335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2:O47"/>
  <sheetViews>
    <sheetView topLeftCell="A4" workbookViewId="0">
      <selection activeCell="I29" sqref="I2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258</v>
      </c>
      <c r="I4" s="2" t="s">
        <v>4</v>
      </c>
    </row>
    <row r="5" spans="1:11" x14ac:dyDescent="0.25">
      <c r="D5" s="2" t="s">
        <v>1</v>
      </c>
      <c r="F5" t="s">
        <v>259</v>
      </c>
    </row>
    <row r="6" spans="1:11" x14ac:dyDescent="0.25">
      <c r="D6" s="2" t="s">
        <v>2</v>
      </c>
      <c r="F6" s="6">
        <v>42209</v>
      </c>
      <c r="H6" s="11"/>
    </row>
    <row r="7" spans="1:11" x14ac:dyDescent="0.25">
      <c r="D7" s="2" t="s">
        <v>3</v>
      </c>
      <c r="F7" s="5">
        <v>4100000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1775000</v>
      </c>
      <c r="H8" s="11"/>
    </row>
    <row r="9" spans="1:11" x14ac:dyDescent="0.25">
      <c r="D9" s="2" t="s">
        <v>67</v>
      </c>
      <c r="F9" s="4">
        <f>+F8-F7</f>
        <v>-2325000</v>
      </c>
      <c r="G9" s="16">
        <f>+F9/F7</f>
        <v>-0.56707317073170727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897035.85714285728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3202964.1428571427</v>
      </c>
      <c r="G12" s="14"/>
      <c r="H12" s="11">
        <f>COUNT(I23:I43)</f>
        <v>7</v>
      </c>
      <c r="I12" s="1" t="s">
        <v>31</v>
      </c>
      <c r="J12" s="4">
        <f>+F8*0.9</f>
        <v>1597500</v>
      </c>
      <c r="K12" s="1" t="s">
        <v>69</v>
      </c>
    </row>
    <row r="13" spans="1:11" x14ac:dyDescent="0.25">
      <c r="D13" s="2" t="s">
        <v>29</v>
      </c>
      <c r="F13" s="4">
        <f>MAX(I23:I43)-MIN(I23:I43)</f>
        <v>2115650</v>
      </c>
      <c r="G13" s="269">
        <f>MEDIAN(I23:I43)</f>
        <v>3292634</v>
      </c>
      <c r="H13" s="270"/>
      <c r="I13" s="1" t="s">
        <v>30</v>
      </c>
      <c r="J13" s="4">
        <f>+F12*1.1</f>
        <v>3523260.5571428575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91</v>
      </c>
      <c r="E23" s="33"/>
      <c r="F23" t="s">
        <v>92</v>
      </c>
      <c r="G23" t="s">
        <v>93</v>
      </c>
      <c r="H23">
        <f>RANK(I23,I$23:I$43,1)</f>
        <v>1</v>
      </c>
      <c r="I23" s="4">
        <v>1775000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99</v>
      </c>
      <c r="E24" s="33"/>
      <c r="F24" t="s">
        <v>100</v>
      </c>
      <c r="G24" t="s">
        <v>93</v>
      </c>
      <c r="H24">
        <f t="shared" ref="H24:H29" si="0">RANK(I24,I$23:I$43,1)</f>
        <v>2</v>
      </c>
      <c r="I24" s="4">
        <v>2994677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260</v>
      </c>
      <c r="E25" s="33"/>
      <c r="F25" t="s">
        <v>261</v>
      </c>
      <c r="G25" t="s">
        <v>93</v>
      </c>
      <c r="H25">
        <f t="shared" si="0"/>
        <v>3</v>
      </c>
      <c r="I25" s="4">
        <v>3287000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23" t="s">
        <v>262</v>
      </c>
      <c r="E26" s="33"/>
      <c r="F26" t="s">
        <v>161</v>
      </c>
      <c r="G26" t="s">
        <v>93</v>
      </c>
      <c r="H26">
        <f t="shared" si="0"/>
        <v>4</v>
      </c>
      <c r="I26" s="4">
        <v>3292634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23" t="s">
        <v>134</v>
      </c>
      <c r="E27" s="33" t="str">
        <f t="shared" ref="E27:E43" si="2">IF(H27=1,"t","")</f>
        <v/>
      </c>
      <c r="F27" t="s">
        <v>135</v>
      </c>
      <c r="G27" t="s">
        <v>25</v>
      </c>
      <c r="H27">
        <f t="shared" si="0"/>
        <v>5</v>
      </c>
      <c r="I27" s="4">
        <v>3362000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23" t="s">
        <v>263</v>
      </c>
      <c r="E28" s="33" t="str">
        <f t="shared" si="2"/>
        <v/>
      </c>
      <c r="F28" t="s">
        <v>264</v>
      </c>
      <c r="G28" t="s">
        <v>93</v>
      </c>
      <c r="H28">
        <f t="shared" si="0"/>
        <v>6</v>
      </c>
      <c r="I28" s="4">
        <v>3818788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23" t="s">
        <v>162</v>
      </c>
      <c r="E29" s="33" t="str">
        <f t="shared" si="2"/>
        <v/>
      </c>
      <c r="F29" t="s">
        <v>159</v>
      </c>
      <c r="G29" t="s">
        <v>93</v>
      </c>
      <c r="H29">
        <f t="shared" si="0"/>
        <v>7</v>
      </c>
      <c r="I29" s="4">
        <v>3890650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23"/>
      <c r="E30" s="33" t="str">
        <f t="shared" si="2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23"/>
      <c r="E31" s="33" t="str">
        <f t="shared" si="2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23"/>
      <c r="E32" s="33" t="str">
        <f t="shared" si="2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23"/>
      <c r="E33" s="33" t="str">
        <f t="shared" si="2"/>
        <v/>
      </c>
      <c r="M33" s="21"/>
      <c r="N33" s="21"/>
      <c r="O33" s="21"/>
    </row>
    <row r="34" spans="3:15" x14ac:dyDescent="0.25">
      <c r="C34" s="33" t="str">
        <f t="shared" si="1"/>
        <v/>
      </c>
      <c r="D34" s="23"/>
      <c r="E34" s="33" t="str">
        <f t="shared" si="2"/>
        <v/>
      </c>
      <c r="M34" s="21"/>
      <c r="N34" s="21"/>
      <c r="O34" s="21"/>
    </row>
    <row r="35" spans="3:15" x14ac:dyDescent="0.25">
      <c r="C35" s="33" t="str">
        <f t="shared" si="1"/>
        <v/>
      </c>
      <c r="D35" s="23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23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23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34" priority="10" operator="containsText" text="FAIL">
      <formula>NOT(ISERROR(SEARCH("FAIL",I9)))</formula>
    </cfRule>
  </conditionalFormatting>
  <conditionalFormatting sqref="I9">
    <cfRule type="containsText" dxfId="333" priority="9" operator="containsText" text="GOOD">
      <formula>NOT(ISERROR(SEARCH("GOOD",I9)))</formula>
    </cfRule>
  </conditionalFormatting>
  <conditionalFormatting sqref="F11">
    <cfRule type="containsText" dxfId="332" priority="8" operator="containsText" text="FAIL">
      <formula>NOT(ISERROR(SEARCH("FAIL",F11)))</formula>
    </cfRule>
  </conditionalFormatting>
  <conditionalFormatting sqref="F11">
    <cfRule type="containsText" dxfId="331" priority="7" operator="containsText" text="GOOD">
      <formula>NOT(ISERROR(SEARCH("GOOD",F11)))</formula>
    </cfRule>
  </conditionalFormatting>
  <conditionalFormatting sqref="D25">
    <cfRule type="expression" dxfId="330" priority="6" stopIfTrue="1">
      <formula>IF($H$25=1,0)</formula>
    </cfRule>
  </conditionalFormatting>
  <conditionalFormatting sqref="D23:D43">
    <cfRule type="expression" dxfId="329" priority="5">
      <formula>H23=1</formula>
    </cfRule>
  </conditionalFormatting>
  <conditionalFormatting sqref="C23:C43">
    <cfRule type="expression" dxfId="328" priority="4">
      <formula>H23=1</formula>
    </cfRule>
  </conditionalFormatting>
  <conditionalFormatting sqref="E23:E43">
    <cfRule type="expression" dxfId="327" priority="3">
      <formula>H23=1</formula>
    </cfRule>
  </conditionalFormatting>
  <conditionalFormatting sqref="F11">
    <cfRule type="containsText" dxfId="326" priority="2" operator="containsText" text="FAIL">
      <formula>NOT(ISERROR(SEARCH("FAIL",F11)))</formula>
    </cfRule>
  </conditionalFormatting>
  <conditionalFormatting sqref="F11">
    <cfRule type="containsText" dxfId="325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2:O47"/>
  <sheetViews>
    <sheetView workbookViewId="0">
      <selection activeCell="L38" sqref="L3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266</v>
      </c>
      <c r="I4" s="2" t="s">
        <v>4</v>
      </c>
    </row>
    <row r="5" spans="1:11" x14ac:dyDescent="0.25">
      <c r="D5" s="2" t="s">
        <v>1</v>
      </c>
      <c r="F5" t="s">
        <v>265</v>
      </c>
    </row>
    <row r="6" spans="1:11" x14ac:dyDescent="0.25">
      <c r="D6" s="2" t="s">
        <v>2</v>
      </c>
      <c r="F6" s="6">
        <v>42178</v>
      </c>
      <c r="H6" s="11"/>
    </row>
    <row r="7" spans="1:11" x14ac:dyDescent="0.25">
      <c r="D7" s="2" t="s">
        <v>3</v>
      </c>
      <c r="F7" s="5">
        <v>1800000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2217200</v>
      </c>
      <c r="H8" s="11"/>
    </row>
    <row r="9" spans="1:11" x14ac:dyDescent="0.25">
      <c r="D9" s="2" t="s">
        <v>67</v>
      </c>
      <c r="F9" s="4">
        <f>+F8-F7</f>
        <v>417200</v>
      </c>
      <c r="G9" s="16">
        <f>+F9/F7</f>
        <v>0.23177777777777778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-657600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2457600</v>
      </c>
      <c r="G12" s="14"/>
      <c r="H12" s="11">
        <f>COUNT(I23:I43)</f>
        <v>2</v>
      </c>
      <c r="I12" s="1" t="s">
        <v>31</v>
      </c>
      <c r="J12" s="4">
        <f>+F8*0.9</f>
        <v>1995480</v>
      </c>
      <c r="K12" s="1" t="s">
        <v>69</v>
      </c>
    </row>
    <row r="13" spans="1:11" x14ac:dyDescent="0.25">
      <c r="D13" s="2" t="s">
        <v>29</v>
      </c>
      <c r="F13" s="4">
        <f>MAX(I23:I43)-MIN(I23:I43)</f>
        <v>480800</v>
      </c>
      <c r="G13" s="269">
        <f>MEDIAN(I23:I43)</f>
        <v>2457600</v>
      </c>
      <c r="H13" s="270"/>
      <c r="I13" s="1" t="s">
        <v>30</v>
      </c>
      <c r="J13" s="4">
        <f>+F12*1.1</f>
        <v>2703360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267</v>
      </c>
      <c r="E23" s="33"/>
      <c r="F23" t="s">
        <v>131</v>
      </c>
      <c r="G23" t="s">
        <v>25</v>
      </c>
      <c r="H23">
        <f>RANK(I23,I$23:I$43,1)</f>
        <v>1</v>
      </c>
      <c r="I23" s="4">
        <v>2217200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257</v>
      </c>
      <c r="E24" s="33"/>
      <c r="F24" t="s">
        <v>147</v>
      </c>
      <c r="G24" t="s">
        <v>93</v>
      </c>
      <c r="H24">
        <f>RANK(I24,I$23:I$43,1)</f>
        <v>2</v>
      </c>
      <c r="I24" s="4">
        <v>2698000</v>
      </c>
      <c r="J24" s="4"/>
      <c r="K24" s="4"/>
      <c r="L24" s="4"/>
      <c r="M24" s="22"/>
      <c r="N24" s="22"/>
      <c r="O24" s="22"/>
    </row>
    <row r="25" spans="3:15" x14ac:dyDescent="0.25">
      <c r="C25" s="33"/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ref="C27:C43" si="0">IF(H27=1,"u","")</f>
        <v/>
      </c>
      <c r="D27" s="11"/>
      <c r="E27" s="33" t="str">
        <f t="shared" ref="E27:E43" si="1">IF(H27=1,"t","")</f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24" priority="10" operator="containsText" text="FAIL">
      <formula>NOT(ISERROR(SEARCH("FAIL",I9)))</formula>
    </cfRule>
  </conditionalFormatting>
  <conditionalFormatting sqref="I9">
    <cfRule type="containsText" dxfId="323" priority="9" operator="containsText" text="GOOD">
      <formula>NOT(ISERROR(SEARCH("GOOD",I9)))</formula>
    </cfRule>
  </conditionalFormatting>
  <conditionalFormatting sqref="F11">
    <cfRule type="containsText" dxfId="322" priority="8" operator="containsText" text="FAIL">
      <formula>NOT(ISERROR(SEARCH("FAIL",F11)))</formula>
    </cfRule>
  </conditionalFormatting>
  <conditionalFormatting sqref="F11">
    <cfRule type="containsText" dxfId="321" priority="7" operator="containsText" text="GOOD">
      <formula>NOT(ISERROR(SEARCH("GOOD",F11)))</formula>
    </cfRule>
  </conditionalFormatting>
  <conditionalFormatting sqref="D25">
    <cfRule type="expression" dxfId="320" priority="6" stopIfTrue="1">
      <formula>IF($H$25=1,0)</formula>
    </cfRule>
  </conditionalFormatting>
  <conditionalFormatting sqref="D23:D43">
    <cfRule type="expression" dxfId="319" priority="5">
      <formula>H23=1</formula>
    </cfRule>
  </conditionalFormatting>
  <conditionalFormatting sqref="C23:C43">
    <cfRule type="expression" dxfId="318" priority="4">
      <formula>H23=1</formula>
    </cfRule>
  </conditionalFormatting>
  <conditionalFormatting sqref="E23:E43">
    <cfRule type="expression" dxfId="317" priority="3">
      <formula>H23=1</formula>
    </cfRule>
  </conditionalFormatting>
  <conditionalFormatting sqref="F11">
    <cfRule type="containsText" dxfId="316" priority="2" operator="containsText" text="FAIL">
      <formula>NOT(ISERROR(SEARCH("FAIL",F11)))</formula>
    </cfRule>
  </conditionalFormatting>
  <conditionalFormatting sqref="F11">
    <cfRule type="containsText" dxfId="315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2:O47"/>
  <sheetViews>
    <sheetView topLeftCell="A4" workbookViewId="0">
      <selection activeCell="I28" sqref="I2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268</v>
      </c>
      <c r="I4" s="2" t="s">
        <v>4</v>
      </c>
    </row>
    <row r="5" spans="1:11" x14ac:dyDescent="0.25">
      <c r="D5" s="2" t="s">
        <v>1</v>
      </c>
      <c r="F5" t="s">
        <v>269</v>
      </c>
    </row>
    <row r="6" spans="1:11" x14ac:dyDescent="0.25">
      <c r="D6" s="2" t="s">
        <v>2</v>
      </c>
      <c r="F6" s="6">
        <v>42177</v>
      </c>
      <c r="H6" s="11"/>
    </row>
    <row r="7" spans="1:11" x14ac:dyDescent="0.25">
      <c r="D7" s="2" t="s">
        <v>3</v>
      </c>
      <c r="F7" s="5">
        <v>6500000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6374800</v>
      </c>
      <c r="H8" s="11"/>
    </row>
    <row r="9" spans="1:11" x14ac:dyDescent="0.25">
      <c r="D9" s="2" t="s">
        <v>67</v>
      </c>
      <c r="F9" s="4">
        <f>+F8-F7</f>
        <v>-125200</v>
      </c>
      <c r="G9" s="16">
        <f>+F9/F7</f>
        <v>-1.9261538461538462E-2</v>
      </c>
      <c r="H9" s="12" t="s">
        <v>20</v>
      </c>
      <c r="I9" s="11" t="str">
        <f>(IF(G9&lt;-0.1,"FAIL",IF(G9&gt;0.05,"FAIL","GOOD")))</f>
        <v>GOOD</v>
      </c>
      <c r="J9" s="14" t="s">
        <v>72</v>
      </c>
    </row>
    <row r="10" spans="1:11" x14ac:dyDescent="0.25">
      <c r="D10" s="2" t="s">
        <v>68</v>
      </c>
      <c r="F10" s="4">
        <f>+F7-F12</f>
        <v>-2454270.1428571437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8954270.1428571437</v>
      </c>
      <c r="G12" s="14"/>
      <c r="H12" s="11">
        <f>COUNT(I23:I43)</f>
        <v>7</v>
      </c>
      <c r="I12" s="1" t="s">
        <v>31</v>
      </c>
      <c r="J12" s="4">
        <f>+F8*0.9</f>
        <v>5737320</v>
      </c>
      <c r="K12" s="1" t="s">
        <v>69</v>
      </c>
    </row>
    <row r="13" spans="1:11" x14ac:dyDescent="0.25">
      <c r="D13" s="2" t="s">
        <v>29</v>
      </c>
      <c r="F13" s="4">
        <f>MAX(I23:I43)-MIN(I23:I43)</f>
        <v>5893770</v>
      </c>
      <c r="G13" s="269">
        <f>MEDIAN(I23:I43)</f>
        <v>8250000</v>
      </c>
      <c r="H13" s="270"/>
      <c r="I13" s="1" t="s">
        <v>30</v>
      </c>
      <c r="J13" s="4">
        <f>+F12*1.1</f>
        <v>9849697.157142859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83</v>
      </c>
      <c r="E23" s="33"/>
      <c r="F23" t="s">
        <v>40</v>
      </c>
      <c r="G23" t="s">
        <v>25</v>
      </c>
      <c r="H23">
        <f>RANK(I23,I$23:I$43,1)</f>
        <v>1</v>
      </c>
      <c r="I23" s="4">
        <v>6374800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270</v>
      </c>
      <c r="E24" s="33"/>
      <c r="F24" t="s">
        <v>137</v>
      </c>
      <c r="G24" t="s">
        <v>25</v>
      </c>
      <c r="H24">
        <f t="shared" ref="H24:H29" si="0">RANK(I24,I$23:I$43,1)</f>
        <v>2</v>
      </c>
      <c r="I24" s="4">
        <v>7497000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271</v>
      </c>
      <c r="E25" s="33"/>
      <c r="F25" t="s">
        <v>167</v>
      </c>
      <c r="G25" t="s">
        <v>93</v>
      </c>
      <c r="H25">
        <f t="shared" si="0"/>
        <v>3</v>
      </c>
      <c r="I25" s="4">
        <v>7654321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23" t="s">
        <v>272</v>
      </c>
      <c r="E26" s="33"/>
      <c r="F26" t="s">
        <v>273</v>
      </c>
      <c r="G26" t="s">
        <v>25</v>
      </c>
      <c r="H26">
        <f t="shared" si="0"/>
        <v>4</v>
      </c>
      <c r="I26" s="4">
        <v>8250000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23" t="s">
        <v>274</v>
      </c>
      <c r="E27" s="33" t="str">
        <f t="shared" ref="E27:E43" si="2">IF(H27=1,"t","")</f>
        <v/>
      </c>
      <c r="F27" t="s">
        <v>131</v>
      </c>
      <c r="G27" t="s">
        <v>25</v>
      </c>
      <c r="H27">
        <f t="shared" si="0"/>
        <v>5</v>
      </c>
      <c r="I27" s="4">
        <v>9654200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23" t="s">
        <v>275</v>
      </c>
      <c r="E28" s="33" t="str">
        <f t="shared" si="2"/>
        <v/>
      </c>
      <c r="F28" t="s">
        <v>276</v>
      </c>
      <c r="G28" t="s">
        <v>25</v>
      </c>
      <c r="H28">
        <f t="shared" si="0"/>
        <v>6</v>
      </c>
      <c r="I28" s="4">
        <v>10981000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23" t="s">
        <v>277</v>
      </c>
      <c r="E29" s="33" t="str">
        <f t="shared" si="2"/>
        <v/>
      </c>
      <c r="F29" t="s">
        <v>278</v>
      </c>
      <c r="G29" t="s">
        <v>25</v>
      </c>
      <c r="H29">
        <f t="shared" si="0"/>
        <v>7</v>
      </c>
      <c r="I29" s="4">
        <v>12268570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23"/>
      <c r="E30" s="33" t="str">
        <f t="shared" si="2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11"/>
      <c r="E31" s="33" t="str">
        <f t="shared" si="2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 t="str">
        <f t="shared" si="2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 t="str">
        <f t="shared" si="2"/>
        <v/>
      </c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si="2"/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14" priority="10" operator="containsText" text="FAIL">
      <formula>NOT(ISERROR(SEARCH("FAIL",I9)))</formula>
    </cfRule>
  </conditionalFormatting>
  <conditionalFormatting sqref="I9">
    <cfRule type="containsText" dxfId="313" priority="9" operator="containsText" text="GOOD">
      <formula>NOT(ISERROR(SEARCH("GOOD",I9)))</formula>
    </cfRule>
  </conditionalFormatting>
  <conditionalFormatting sqref="F11">
    <cfRule type="containsText" dxfId="312" priority="8" operator="containsText" text="FAIL">
      <formula>NOT(ISERROR(SEARCH("FAIL",F11)))</formula>
    </cfRule>
  </conditionalFormatting>
  <conditionalFormatting sqref="F11">
    <cfRule type="containsText" dxfId="311" priority="7" operator="containsText" text="GOOD">
      <formula>NOT(ISERROR(SEARCH("GOOD",F11)))</formula>
    </cfRule>
  </conditionalFormatting>
  <conditionalFormatting sqref="D25">
    <cfRule type="expression" dxfId="310" priority="6" stopIfTrue="1">
      <formula>IF($H$25=1,0)</formula>
    </cfRule>
  </conditionalFormatting>
  <conditionalFormatting sqref="D23:D43">
    <cfRule type="expression" dxfId="309" priority="5">
      <formula>H23=1</formula>
    </cfRule>
  </conditionalFormatting>
  <conditionalFormatting sqref="C23:C43">
    <cfRule type="expression" dxfId="308" priority="4">
      <formula>H23=1</formula>
    </cfRule>
  </conditionalFormatting>
  <conditionalFormatting sqref="E23:E43">
    <cfRule type="expression" dxfId="307" priority="3">
      <formula>H23=1</formula>
    </cfRule>
  </conditionalFormatting>
  <conditionalFormatting sqref="F11">
    <cfRule type="containsText" dxfId="306" priority="2" operator="containsText" text="FAIL">
      <formula>NOT(ISERROR(SEARCH("FAIL",F11)))</formula>
    </cfRule>
  </conditionalFormatting>
  <conditionalFormatting sqref="F11">
    <cfRule type="containsText" dxfId="305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2:O47"/>
  <sheetViews>
    <sheetView topLeftCell="A4" workbookViewId="0">
      <selection activeCell="I28" sqref="I28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279</v>
      </c>
      <c r="I4" s="2" t="s">
        <v>4</v>
      </c>
    </row>
    <row r="5" spans="1:11" x14ac:dyDescent="0.25">
      <c r="D5" s="2" t="s">
        <v>1</v>
      </c>
      <c r="F5" t="s">
        <v>280</v>
      </c>
    </row>
    <row r="6" spans="1:11" x14ac:dyDescent="0.25">
      <c r="D6" s="2" t="s">
        <v>2</v>
      </c>
      <c r="F6" s="6">
        <v>42159</v>
      </c>
      <c r="H6" s="11"/>
    </row>
    <row r="7" spans="1:11" x14ac:dyDescent="0.25">
      <c r="D7" s="2" t="s">
        <v>3</v>
      </c>
      <c r="F7" s="5">
        <v>1600000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1298005</v>
      </c>
      <c r="H8" s="11"/>
    </row>
    <row r="9" spans="1:11" x14ac:dyDescent="0.25">
      <c r="D9" s="2" t="s">
        <v>67</v>
      </c>
      <c r="F9" s="4">
        <f>+F8-F7</f>
        <v>-301995</v>
      </c>
      <c r="G9" s="16">
        <f>+F9/F7</f>
        <v>-0.18874687500000001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-143752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1743752</v>
      </c>
      <c r="G12" s="14"/>
      <c r="H12" s="11">
        <f>COUNT(I23:I43)</f>
        <v>6</v>
      </c>
      <c r="I12" s="1" t="s">
        <v>31</v>
      </c>
      <c r="J12" s="4">
        <f>+F8*0.9</f>
        <v>1168204.5</v>
      </c>
      <c r="K12" s="1" t="s">
        <v>69</v>
      </c>
    </row>
    <row r="13" spans="1:11" x14ac:dyDescent="0.25">
      <c r="D13" s="2" t="s">
        <v>29</v>
      </c>
      <c r="F13" s="4">
        <f>MAX(I23:I43)-MIN(I23:I43)</f>
        <v>924547</v>
      </c>
      <c r="G13" s="269">
        <f>MEDIAN(I23:I43)</f>
        <v>1858402.5</v>
      </c>
      <c r="H13" s="270"/>
      <c r="I13" s="1" t="s">
        <v>30</v>
      </c>
      <c r="J13" s="4">
        <f>+F12*1.1</f>
        <v>1918127.2000000002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257</v>
      </c>
      <c r="E23" s="33"/>
      <c r="F23" t="s">
        <v>147</v>
      </c>
      <c r="G23" t="s">
        <v>93</v>
      </c>
      <c r="H23">
        <f t="shared" ref="H23:H28" si="0">RANK(I23,I$23:I$43,1)</f>
        <v>1</v>
      </c>
      <c r="I23" s="4">
        <v>1298005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146</v>
      </c>
      <c r="E24" s="33"/>
      <c r="F24" t="s">
        <v>147</v>
      </c>
      <c r="G24" t="s">
        <v>93</v>
      </c>
      <c r="H24">
        <f t="shared" si="0"/>
        <v>2</v>
      </c>
      <c r="I24" s="4">
        <v>1346150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262</v>
      </c>
      <c r="E25" s="33"/>
      <c r="F25" t="s">
        <v>161</v>
      </c>
      <c r="G25" t="s">
        <v>93</v>
      </c>
      <c r="H25">
        <f t="shared" si="0"/>
        <v>3</v>
      </c>
      <c r="I25" s="4">
        <v>1838200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23" t="s">
        <v>281</v>
      </c>
      <c r="E26" s="33"/>
      <c r="F26" t="s">
        <v>282</v>
      </c>
      <c r="G26" t="s">
        <v>93</v>
      </c>
      <c r="H26">
        <f t="shared" si="0"/>
        <v>4</v>
      </c>
      <c r="I26" s="4">
        <v>1878605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23" t="s">
        <v>138</v>
      </c>
      <c r="E27" s="33" t="str">
        <f t="shared" ref="E27:E43" si="2">IF(H27=1,"t","")</f>
        <v/>
      </c>
      <c r="F27" t="s">
        <v>139</v>
      </c>
      <c r="G27" t="s">
        <v>25</v>
      </c>
      <c r="H27">
        <f t="shared" si="0"/>
        <v>5</v>
      </c>
      <c r="I27" s="4">
        <v>1879000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23" t="s">
        <v>283</v>
      </c>
      <c r="E28" s="33" t="str">
        <f t="shared" si="2"/>
        <v/>
      </c>
      <c r="F28" t="s">
        <v>147</v>
      </c>
      <c r="G28" t="s">
        <v>93</v>
      </c>
      <c r="H28">
        <f t="shared" si="0"/>
        <v>6</v>
      </c>
      <c r="I28" s="4">
        <v>2222552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23"/>
      <c r="E29" s="33" t="str">
        <f t="shared" si="2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23"/>
      <c r="E30" s="33" t="str">
        <f t="shared" si="2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23"/>
      <c r="E31" s="33" t="str">
        <f t="shared" si="2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11"/>
      <c r="E32" s="33" t="str">
        <f t="shared" si="2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11"/>
      <c r="E33" s="33" t="str">
        <f t="shared" si="2"/>
        <v/>
      </c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si="2"/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04" priority="10" operator="containsText" text="FAIL">
      <formula>NOT(ISERROR(SEARCH("FAIL",I9)))</formula>
    </cfRule>
  </conditionalFormatting>
  <conditionalFormatting sqref="I9">
    <cfRule type="containsText" dxfId="303" priority="9" operator="containsText" text="GOOD">
      <formula>NOT(ISERROR(SEARCH("GOOD",I9)))</formula>
    </cfRule>
  </conditionalFormatting>
  <conditionalFormatting sqref="F11">
    <cfRule type="containsText" dxfId="302" priority="8" operator="containsText" text="FAIL">
      <formula>NOT(ISERROR(SEARCH("FAIL",F11)))</formula>
    </cfRule>
  </conditionalFormatting>
  <conditionalFormatting sqref="F11">
    <cfRule type="containsText" dxfId="301" priority="7" operator="containsText" text="GOOD">
      <formula>NOT(ISERROR(SEARCH("GOOD",F11)))</formula>
    </cfRule>
  </conditionalFormatting>
  <conditionalFormatting sqref="D25">
    <cfRule type="expression" dxfId="300" priority="6" stopIfTrue="1">
      <formula>IF($H$25=1,0)</formula>
    </cfRule>
  </conditionalFormatting>
  <conditionalFormatting sqref="D23:D43">
    <cfRule type="expression" dxfId="299" priority="5">
      <formula>H23=1</formula>
    </cfRule>
  </conditionalFormatting>
  <conditionalFormatting sqref="C23:C43">
    <cfRule type="expression" dxfId="298" priority="4">
      <formula>H23=1</formula>
    </cfRule>
  </conditionalFormatting>
  <conditionalFormatting sqref="E23:E43">
    <cfRule type="expression" dxfId="297" priority="3">
      <formula>H23=1</formula>
    </cfRule>
  </conditionalFormatting>
  <conditionalFormatting sqref="F11">
    <cfRule type="containsText" dxfId="296" priority="2" operator="containsText" text="FAIL">
      <formula>NOT(ISERROR(SEARCH("FAIL",F11)))</formula>
    </cfRule>
  </conditionalFormatting>
  <conditionalFormatting sqref="F11">
    <cfRule type="containsText" dxfId="295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2:O47"/>
  <sheetViews>
    <sheetView topLeftCell="A7" workbookViewId="0">
      <selection activeCell="K33" sqref="K33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35</v>
      </c>
      <c r="I4" s="2" t="s">
        <v>4</v>
      </c>
    </row>
    <row r="5" spans="1:11" x14ac:dyDescent="0.25">
      <c r="D5" s="2" t="s">
        <v>1</v>
      </c>
      <c r="F5" t="s">
        <v>36</v>
      </c>
    </row>
    <row r="6" spans="1:11" x14ac:dyDescent="0.25">
      <c r="D6" s="2" t="s">
        <v>2</v>
      </c>
      <c r="F6" s="6">
        <v>42157</v>
      </c>
      <c r="H6" s="11"/>
    </row>
    <row r="7" spans="1:11" x14ac:dyDescent="0.25">
      <c r="D7" s="2" t="s">
        <v>3</v>
      </c>
      <c r="F7" s="5">
        <f>+I7+J7</f>
        <v>29100000</v>
      </c>
      <c r="G7" s="2" t="s">
        <v>34</v>
      </c>
      <c r="H7" s="11"/>
      <c r="I7" s="19">
        <v>5000000</v>
      </c>
      <c r="J7" s="19">
        <v>24100000</v>
      </c>
    </row>
    <row r="8" spans="1:11" x14ac:dyDescent="0.25">
      <c r="D8" s="2" t="s">
        <v>18</v>
      </c>
      <c r="F8" s="5">
        <f>MIN(K23:K43)</f>
        <v>30452500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1352500</v>
      </c>
      <c r="G9" s="16">
        <f>+F9/F7</f>
        <v>4.6477663230240551E-2</v>
      </c>
      <c r="H9" s="12" t="s">
        <v>20</v>
      </c>
      <c r="I9" s="11" t="str">
        <f>(IF(G9&lt;-0.1,"FAIL",IF(G9&gt;0.05,"FAIL","GOOD")))</f>
        <v>GOOD</v>
      </c>
    </row>
    <row r="10" spans="1:11" x14ac:dyDescent="0.25">
      <c r="D10" s="2" t="s">
        <v>68</v>
      </c>
      <c r="F10" s="4">
        <f>+F7-F12</f>
        <v>-8227415.5036363602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37327415.50363636</v>
      </c>
      <c r="G12" s="14"/>
      <c r="H12" s="11">
        <f>COUNT(K23:K43)</f>
        <v>11</v>
      </c>
      <c r="I12" s="1" t="s">
        <v>31</v>
      </c>
      <c r="J12" s="4">
        <f>+F8*0.9</f>
        <v>27407250</v>
      </c>
      <c r="K12" s="1" t="s">
        <v>69</v>
      </c>
    </row>
    <row r="13" spans="1:11" x14ac:dyDescent="0.25">
      <c r="D13" s="2" t="s">
        <v>29</v>
      </c>
      <c r="F13" s="4">
        <f>MAX(K23:K43)-MIN(K23:K43)</f>
        <v>23985200</v>
      </c>
      <c r="G13" s="269">
        <f>MEDIAN(K23:K43)</f>
        <v>35627000</v>
      </c>
      <c r="H13" s="270"/>
      <c r="I13" s="1" t="s">
        <v>30</v>
      </c>
      <c r="J13" s="4">
        <f>+F12*1.1</f>
        <v>41060157.053999998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284</v>
      </c>
      <c r="E23" s="33"/>
      <c r="F23" t="s">
        <v>285</v>
      </c>
      <c r="G23" t="s">
        <v>25</v>
      </c>
      <c r="H23">
        <f>RANK(K23,K$23:K$43,1)</f>
        <v>1</v>
      </c>
      <c r="I23" s="4">
        <v>4781500</v>
      </c>
      <c r="J23" s="4">
        <v>25671000</v>
      </c>
      <c r="K23" s="4">
        <f>+J23+I23</f>
        <v>30452500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200</v>
      </c>
      <c r="E24" s="33"/>
      <c r="F24" t="s">
        <v>201</v>
      </c>
      <c r="G24" t="s">
        <v>25</v>
      </c>
      <c r="H24">
        <f t="shared" ref="H24:H33" si="0">RANK(K24,K$23:K$43,1)</f>
        <v>2</v>
      </c>
      <c r="I24" s="4">
        <v>10278100</v>
      </c>
      <c r="J24" s="4">
        <v>21003000</v>
      </c>
      <c r="K24" s="4">
        <f t="shared" ref="K24:K33" si="1">+J24+I24</f>
        <v>31281100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286</v>
      </c>
      <c r="E25" s="33"/>
      <c r="F25" t="s">
        <v>287</v>
      </c>
      <c r="G25" t="s">
        <v>25</v>
      </c>
      <c r="H25">
        <f t="shared" si="0"/>
        <v>3</v>
      </c>
      <c r="I25" s="4">
        <v>6031780</v>
      </c>
      <c r="J25" s="4">
        <v>26760237</v>
      </c>
      <c r="K25" s="4">
        <f t="shared" si="1"/>
        <v>32792017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23" t="s">
        <v>83</v>
      </c>
      <c r="E26" s="33"/>
      <c r="F26" t="s">
        <v>40</v>
      </c>
      <c r="G26" t="s">
        <v>25</v>
      </c>
      <c r="H26">
        <f t="shared" si="0"/>
        <v>4</v>
      </c>
      <c r="I26" s="4">
        <v>5498000</v>
      </c>
      <c r="J26" s="4">
        <v>28980870</v>
      </c>
      <c r="K26" s="4">
        <f t="shared" si="1"/>
        <v>34478870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23" t="s">
        <v>288</v>
      </c>
      <c r="E27" s="33"/>
      <c r="F27" t="s">
        <v>289</v>
      </c>
      <c r="G27" t="s">
        <v>93</v>
      </c>
      <c r="H27">
        <f t="shared" si="0"/>
        <v>5</v>
      </c>
      <c r="I27" s="4">
        <v>7804000</v>
      </c>
      <c r="J27" s="4">
        <v>27007000</v>
      </c>
      <c r="K27" s="4">
        <f t="shared" si="1"/>
        <v>34811000</v>
      </c>
      <c r="L27" s="4"/>
      <c r="M27" s="22"/>
      <c r="N27" s="22"/>
      <c r="O27" s="22"/>
    </row>
    <row r="28" spans="3:15" x14ac:dyDescent="0.25">
      <c r="C28" s="33" t="str">
        <f t="shared" si="2"/>
        <v/>
      </c>
      <c r="D28" s="23" t="s">
        <v>290</v>
      </c>
      <c r="E28" s="33"/>
      <c r="F28" t="s">
        <v>137</v>
      </c>
      <c r="G28" t="s">
        <v>25</v>
      </c>
      <c r="H28">
        <f t="shared" si="0"/>
        <v>6</v>
      </c>
      <c r="I28" s="4">
        <v>6185000</v>
      </c>
      <c r="J28" s="4">
        <v>29442000</v>
      </c>
      <c r="K28" s="4">
        <f t="shared" si="1"/>
        <v>35627000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23" t="s">
        <v>134</v>
      </c>
      <c r="E29" s="33"/>
      <c r="F29" t="s">
        <v>135</v>
      </c>
      <c r="G29" t="s">
        <v>25</v>
      </c>
      <c r="H29">
        <f t="shared" si="0"/>
        <v>7</v>
      </c>
      <c r="I29" s="4">
        <v>7202150</v>
      </c>
      <c r="J29" s="4">
        <v>29733813.539999999</v>
      </c>
      <c r="K29" s="4">
        <f t="shared" si="1"/>
        <v>36935963.539999999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23" t="s">
        <v>291</v>
      </c>
      <c r="E30" s="33"/>
      <c r="F30" t="s">
        <v>292</v>
      </c>
      <c r="G30" t="s">
        <v>25</v>
      </c>
      <c r="H30">
        <f t="shared" si="0"/>
        <v>8</v>
      </c>
      <c r="I30" s="4">
        <v>6531600</v>
      </c>
      <c r="J30" s="4">
        <v>30653820</v>
      </c>
      <c r="K30" s="4">
        <f t="shared" si="1"/>
        <v>37185420</v>
      </c>
      <c r="L30" s="4"/>
      <c r="M30" s="22"/>
      <c r="N30" s="22"/>
      <c r="O30" s="22"/>
    </row>
    <row r="31" spans="3:15" x14ac:dyDescent="0.25">
      <c r="C31" s="33" t="str">
        <f t="shared" si="2"/>
        <v/>
      </c>
      <c r="D31" s="23" t="s">
        <v>293</v>
      </c>
      <c r="E31" s="33"/>
      <c r="F31" t="s">
        <v>145</v>
      </c>
      <c r="G31" t="s">
        <v>25</v>
      </c>
      <c r="H31">
        <f t="shared" si="0"/>
        <v>9</v>
      </c>
      <c r="I31" s="4">
        <v>8014600</v>
      </c>
      <c r="J31" s="4">
        <v>30681400</v>
      </c>
      <c r="K31" s="4">
        <f t="shared" si="1"/>
        <v>38696000</v>
      </c>
      <c r="L31" s="4"/>
      <c r="M31" s="22"/>
      <c r="N31" s="22"/>
      <c r="O31" s="22"/>
    </row>
    <row r="32" spans="3:15" x14ac:dyDescent="0.25">
      <c r="C32" s="33" t="str">
        <f t="shared" si="2"/>
        <v/>
      </c>
      <c r="D32" s="23" t="s">
        <v>294</v>
      </c>
      <c r="E32" s="33"/>
      <c r="F32" t="s">
        <v>295</v>
      </c>
      <c r="G32" t="s">
        <v>25</v>
      </c>
      <c r="H32">
        <f t="shared" si="0"/>
        <v>10</v>
      </c>
      <c r="I32" s="4">
        <v>7064000</v>
      </c>
      <c r="J32" s="4">
        <v>36840000</v>
      </c>
      <c r="K32" s="4">
        <f t="shared" si="1"/>
        <v>43904000</v>
      </c>
      <c r="L32" s="4"/>
      <c r="M32" s="22"/>
      <c r="N32" s="22"/>
      <c r="O32" s="22"/>
    </row>
    <row r="33" spans="3:15" x14ac:dyDescent="0.25">
      <c r="C33" s="33" t="str">
        <f t="shared" si="2"/>
        <v/>
      </c>
      <c r="D33" s="23" t="s">
        <v>296</v>
      </c>
      <c r="E33" s="33"/>
      <c r="F33" t="s">
        <v>215</v>
      </c>
      <c r="G33" t="s">
        <v>25</v>
      </c>
      <c r="H33">
        <f t="shared" si="0"/>
        <v>11</v>
      </c>
      <c r="I33" s="4">
        <v>12832600</v>
      </c>
      <c r="J33" s="4">
        <v>41605100</v>
      </c>
      <c r="K33" s="4">
        <f t="shared" si="1"/>
        <v>54437700</v>
      </c>
      <c r="M33" s="21"/>
      <c r="N33" s="21"/>
      <c r="O33" s="21"/>
    </row>
    <row r="34" spans="3:15" x14ac:dyDescent="0.25">
      <c r="C34" s="33" t="str">
        <f t="shared" si="2"/>
        <v/>
      </c>
      <c r="D34" s="23"/>
      <c r="E34" s="33" t="str">
        <f t="shared" ref="E34:E43" si="3">IF(H34=1,"t","")</f>
        <v/>
      </c>
      <c r="K34" s="4"/>
      <c r="M34" s="21"/>
      <c r="N34" s="21"/>
      <c r="O34" s="21"/>
    </row>
    <row r="35" spans="3:15" x14ac:dyDescent="0.25">
      <c r="C35" s="33" t="str">
        <f t="shared" si="2"/>
        <v/>
      </c>
      <c r="D35" s="23"/>
      <c r="E35" s="33" t="str">
        <f t="shared" si="3"/>
        <v/>
      </c>
      <c r="K35" s="4"/>
      <c r="M35" s="21"/>
      <c r="N35" s="21"/>
      <c r="O35" s="21"/>
    </row>
    <row r="36" spans="3:15" x14ac:dyDescent="0.25">
      <c r="C36" s="33" t="str">
        <f t="shared" si="2"/>
        <v/>
      </c>
      <c r="D36" s="23"/>
      <c r="E36" s="33" t="str">
        <f t="shared" si="3"/>
        <v/>
      </c>
      <c r="K36" s="4"/>
      <c r="M36" s="21"/>
      <c r="N36" s="21"/>
      <c r="O36" s="21"/>
    </row>
    <row r="37" spans="3:15" x14ac:dyDescent="0.25">
      <c r="C37" s="33" t="str">
        <f t="shared" si="2"/>
        <v/>
      </c>
      <c r="D37" s="23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2"/>
        <v/>
      </c>
      <c r="D38" s="23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2"/>
        <v/>
      </c>
      <c r="D39" s="23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94" priority="19" operator="containsText" text="FAIL">
      <formula>NOT(ISERROR(SEARCH("FAIL",I9)))</formula>
    </cfRule>
  </conditionalFormatting>
  <conditionalFormatting sqref="I9">
    <cfRule type="containsText" dxfId="293" priority="18" operator="containsText" text="GOOD">
      <formula>NOT(ISERROR(SEARCH("GOOD",I9)))</formula>
    </cfRule>
  </conditionalFormatting>
  <conditionalFormatting sqref="I9">
    <cfRule type="containsText" dxfId="292" priority="17" operator="containsText" text="FAIL">
      <formula>NOT(ISERROR(SEARCH("FAIL",I9)))</formula>
    </cfRule>
  </conditionalFormatting>
  <conditionalFormatting sqref="I9">
    <cfRule type="containsText" dxfId="291" priority="16" operator="containsText" text="GOOD">
      <formula>NOT(ISERROR(SEARCH("GOOD",I9)))</formula>
    </cfRule>
  </conditionalFormatting>
  <conditionalFormatting sqref="I9">
    <cfRule type="containsText" dxfId="290" priority="15" operator="containsText" text="FAIL">
      <formula>NOT(ISERROR(SEARCH("FAIL",I9)))</formula>
    </cfRule>
  </conditionalFormatting>
  <conditionalFormatting sqref="I9">
    <cfRule type="containsText" dxfId="289" priority="14" operator="containsText" text="GOOD">
      <formula>NOT(ISERROR(SEARCH("GOOD",I9)))</formula>
    </cfRule>
  </conditionalFormatting>
  <conditionalFormatting sqref="F11">
    <cfRule type="containsText" dxfId="288" priority="13" operator="containsText" text="FAIL">
      <formula>NOT(ISERROR(SEARCH("FAIL",F11)))</formula>
    </cfRule>
  </conditionalFormatting>
  <conditionalFormatting sqref="F11">
    <cfRule type="containsText" dxfId="287" priority="12" operator="containsText" text="GOOD">
      <formula>NOT(ISERROR(SEARCH("GOOD",F11)))</formula>
    </cfRule>
  </conditionalFormatting>
  <conditionalFormatting sqref="I9">
    <cfRule type="containsText" dxfId="286" priority="11" operator="containsText" text="FAIL">
      <formula>NOT(ISERROR(SEARCH("FAIL",I9)))</formula>
    </cfRule>
  </conditionalFormatting>
  <conditionalFormatting sqref="I9">
    <cfRule type="containsText" dxfId="285" priority="10" operator="containsText" text="GOOD">
      <formula>NOT(ISERROR(SEARCH("GOOD",I9)))</formula>
    </cfRule>
  </conditionalFormatting>
  <conditionalFormatting sqref="F11">
    <cfRule type="containsText" dxfId="284" priority="9" operator="containsText" text="FAIL">
      <formula>NOT(ISERROR(SEARCH("FAIL",F11)))</formula>
    </cfRule>
  </conditionalFormatting>
  <conditionalFormatting sqref="F11">
    <cfRule type="containsText" dxfId="283" priority="8" operator="containsText" text="GOOD">
      <formula>NOT(ISERROR(SEARCH("GOOD",F11)))</formula>
    </cfRule>
  </conditionalFormatting>
  <conditionalFormatting sqref="D25">
    <cfRule type="expression" dxfId="282" priority="7" stopIfTrue="1">
      <formula>IF($H$25=1,0)</formula>
    </cfRule>
  </conditionalFormatting>
  <conditionalFormatting sqref="D23:D43">
    <cfRule type="expression" dxfId="281" priority="6">
      <formula>H23=1</formula>
    </cfRule>
  </conditionalFormatting>
  <conditionalFormatting sqref="C23:C43">
    <cfRule type="expression" dxfId="280" priority="5">
      <formula>H23=1</formula>
    </cfRule>
  </conditionalFormatting>
  <conditionalFormatting sqref="E23:E43">
    <cfRule type="expression" dxfId="279" priority="4">
      <formula>H23=1</formula>
    </cfRule>
  </conditionalFormatting>
  <conditionalFormatting sqref="E23:E43">
    <cfRule type="expression" dxfId="278" priority="3">
      <formula>H23=1</formula>
    </cfRule>
  </conditionalFormatting>
  <conditionalFormatting sqref="F11">
    <cfRule type="containsText" dxfId="277" priority="2" operator="containsText" text="FAIL">
      <formula>NOT(ISERROR(SEARCH("FAIL",F11)))</formula>
    </cfRule>
  </conditionalFormatting>
  <conditionalFormatting sqref="F11">
    <cfRule type="containsText" dxfId="276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2:O47"/>
  <sheetViews>
    <sheetView workbookViewId="0">
      <selection activeCell="M16" sqref="M1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297</v>
      </c>
      <c r="I4" s="2" t="s">
        <v>4</v>
      </c>
    </row>
    <row r="5" spans="1:11" x14ac:dyDescent="0.25">
      <c r="D5" s="2" t="s">
        <v>1</v>
      </c>
      <c r="F5" t="s">
        <v>298</v>
      </c>
    </row>
    <row r="6" spans="1:11" x14ac:dyDescent="0.25">
      <c r="D6" s="2" t="s">
        <v>2</v>
      </c>
      <c r="F6" s="6">
        <v>42145</v>
      </c>
      <c r="H6" s="11"/>
    </row>
    <row r="7" spans="1:11" x14ac:dyDescent="0.25">
      <c r="D7" s="2" t="s">
        <v>3</v>
      </c>
      <c r="F7" s="5">
        <v>1550000</v>
      </c>
      <c r="G7" s="2" t="s">
        <v>299</v>
      </c>
      <c r="H7" s="11"/>
    </row>
    <row r="8" spans="1:11" x14ac:dyDescent="0.25">
      <c r="D8" s="2" t="s">
        <v>18</v>
      </c>
      <c r="F8" s="5">
        <f>MIN(I23:I43)</f>
        <v>2333333.33</v>
      </c>
      <c r="H8" s="11"/>
    </row>
    <row r="9" spans="1:11" x14ac:dyDescent="0.25">
      <c r="D9" s="2" t="s">
        <v>67</v>
      </c>
      <c r="F9" s="4">
        <f>+F8-F7</f>
        <v>783333.33000000007</v>
      </c>
      <c r="G9" s="16">
        <f>+F9/F7</f>
        <v>0.50537634193548386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-1436666.665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2986666.665</v>
      </c>
      <c r="G12" s="14"/>
      <c r="H12" s="11">
        <f>COUNT(I23:I43)</f>
        <v>2</v>
      </c>
      <c r="I12" s="1" t="s">
        <v>31</v>
      </c>
      <c r="J12" s="4">
        <f>+F8*0.9</f>
        <v>2099999.997</v>
      </c>
      <c r="K12" s="1" t="s">
        <v>69</v>
      </c>
    </row>
    <row r="13" spans="1:11" x14ac:dyDescent="0.25">
      <c r="D13" s="2" t="s">
        <v>29</v>
      </c>
      <c r="F13" s="4">
        <f>MAX(I23:I43)-MIN(I23:I43)</f>
        <v>1306666.67</v>
      </c>
      <c r="G13" s="269">
        <f>MEDIAN(I23:I43)</f>
        <v>2986666.665</v>
      </c>
      <c r="H13" s="270"/>
      <c r="I13" s="1" t="s">
        <v>30</v>
      </c>
      <c r="J13" s="4">
        <f>+F12*1.1</f>
        <v>3285333.3315000003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146</v>
      </c>
      <c r="E23" s="33"/>
      <c r="F23" t="s">
        <v>147</v>
      </c>
      <c r="G23" t="s">
        <v>93</v>
      </c>
      <c r="H23">
        <f>RANK(I23,I$23:I$43,1)</f>
        <v>1</v>
      </c>
      <c r="I23" s="4">
        <v>2333333.33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182</v>
      </c>
      <c r="E24" s="33"/>
      <c r="F24" t="s">
        <v>131</v>
      </c>
      <c r="G24" t="s">
        <v>25</v>
      </c>
      <c r="H24">
        <f>RANK(I24,I$23:I$43,1)</f>
        <v>2</v>
      </c>
      <c r="I24" s="4">
        <v>3640000</v>
      </c>
      <c r="J24" s="4"/>
      <c r="K24" s="4"/>
      <c r="L24" s="4"/>
      <c r="M24" s="22"/>
      <c r="N24" s="22"/>
      <c r="O24" s="22"/>
    </row>
    <row r="25" spans="3:15" x14ac:dyDescent="0.25">
      <c r="C25" s="33"/>
      <c r="D25" s="23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ref="C27:C43" si="0">IF(H27=1,"u","")</f>
        <v/>
      </c>
      <c r="D27" s="11"/>
      <c r="E27" s="33" t="str">
        <f t="shared" ref="E27:E43" si="1">IF(H27=1,"t","")</f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75" priority="10" operator="containsText" text="FAIL">
      <formula>NOT(ISERROR(SEARCH("FAIL",I9)))</formula>
    </cfRule>
  </conditionalFormatting>
  <conditionalFormatting sqref="I9">
    <cfRule type="containsText" dxfId="274" priority="9" operator="containsText" text="GOOD">
      <formula>NOT(ISERROR(SEARCH("GOOD",I9)))</formula>
    </cfRule>
  </conditionalFormatting>
  <conditionalFormatting sqref="F11">
    <cfRule type="containsText" dxfId="273" priority="8" operator="containsText" text="FAIL">
      <formula>NOT(ISERROR(SEARCH("FAIL",F11)))</formula>
    </cfRule>
  </conditionalFormatting>
  <conditionalFormatting sqref="F11">
    <cfRule type="containsText" dxfId="272" priority="7" operator="containsText" text="GOOD">
      <formula>NOT(ISERROR(SEARCH("GOOD",F11)))</formula>
    </cfRule>
  </conditionalFormatting>
  <conditionalFormatting sqref="D25">
    <cfRule type="expression" dxfId="271" priority="6" stopIfTrue="1">
      <formula>IF($H$25=1,0)</formula>
    </cfRule>
  </conditionalFormatting>
  <conditionalFormatting sqref="D23:D43">
    <cfRule type="expression" dxfId="270" priority="5">
      <formula>H23=1</formula>
    </cfRule>
  </conditionalFormatting>
  <conditionalFormatting sqref="C23:C43">
    <cfRule type="expression" dxfId="269" priority="4">
      <formula>H23=1</formula>
    </cfRule>
  </conditionalFormatting>
  <conditionalFormatting sqref="E23:E43">
    <cfRule type="expression" dxfId="268" priority="3">
      <formula>H23=1</formula>
    </cfRule>
  </conditionalFormatting>
  <conditionalFormatting sqref="F11">
    <cfRule type="containsText" dxfId="267" priority="2" operator="containsText" text="FAIL">
      <formula>NOT(ISERROR(SEARCH("FAIL",F11)))</formula>
    </cfRule>
  </conditionalFormatting>
  <conditionalFormatting sqref="F11">
    <cfRule type="containsText" dxfId="266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2:O47"/>
  <sheetViews>
    <sheetView zoomScaleNormal="100" workbookViewId="0">
      <selection activeCell="K28" sqref="K28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4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4" ht="18.75" x14ac:dyDescent="0.3">
      <c r="C3" s="3" t="s">
        <v>26</v>
      </c>
      <c r="J3" s="8" t="s">
        <v>48</v>
      </c>
    </row>
    <row r="4" spans="1:14" x14ac:dyDescent="0.25">
      <c r="C4" s="1"/>
      <c r="D4" s="2" t="s">
        <v>0</v>
      </c>
      <c r="E4" s="1"/>
      <c r="F4" t="s">
        <v>45</v>
      </c>
      <c r="I4" s="2" t="s">
        <v>4</v>
      </c>
    </row>
    <row r="5" spans="1:14" x14ac:dyDescent="0.25">
      <c r="D5" s="2" t="s">
        <v>1</v>
      </c>
      <c r="F5" t="s">
        <v>46</v>
      </c>
    </row>
    <row r="6" spans="1:14" x14ac:dyDescent="0.25">
      <c r="D6" s="2" t="s">
        <v>2</v>
      </c>
      <c r="F6" s="6">
        <v>42145</v>
      </c>
      <c r="H6" s="11"/>
    </row>
    <row r="7" spans="1:14" x14ac:dyDescent="0.25">
      <c r="D7" s="2" t="s">
        <v>3</v>
      </c>
      <c r="F7" s="5">
        <f>+(K7*L7)+K7+J7+I7</f>
        <v>6400000</v>
      </c>
      <c r="G7" s="2" t="s">
        <v>34</v>
      </c>
      <c r="H7" s="11"/>
      <c r="I7" s="19">
        <v>1900000</v>
      </c>
      <c r="J7" s="19">
        <v>2700000</v>
      </c>
      <c r="K7" s="19">
        <v>1800000</v>
      </c>
      <c r="L7" s="20">
        <v>0</v>
      </c>
    </row>
    <row r="8" spans="1:14" x14ac:dyDescent="0.25">
      <c r="D8" s="2" t="s">
        <v>18</v>
      </c>
      <c r="F8" s="5">
        <f>MIN(L23:L43)</f>
        <v>5777000</v>
      </c>
      <c r="H8" s="11"/>
      <c r="I8" s="18" t="s">
        <v>43</v>
      </c>
      <c r="J8" s="18" t="s">
        <v>44</v>
      </c>
      <c r="K8" s="18" t="s">
        <v>49</v>
      </c>
      <c r="L8" s="18" t="s">
        <v>50</v>
      </c>
    </row>
    <row r="9" spans="1:14" x14ac:dyDescent="0.25">
      <c r="D9" s="2" t="s">
        <v>19</v>
      </c>
      <c r="F9" s="4">
        <f>+F8-F7</f>
        <v>-623000</v>
      </c>
      <c r="G9" s="16">
        <f>+F9/F7</f>
        <v>-9.7343750000000007E-2</v>
      </c>
      <c r="H9" s="12" t="s">
        <v>20</v>
      </c>
      <c r="I9" s="11" t="str">
        <f>(IF(G9&lt;-0.1,"FAIL",IF(G9&gt;0.05,"FAIL","GOOD")))</f>
        <v>GOOD</v>
      </c>
    </row>
    <row r="10" spans="1:14" x14ac:dyDescent="0.25">
      <c r="D10" s="2" t="s">
        <v>68</v>
      </c>
      <c r="F10" s="4">
        <f>+F7-F12</f>
        <v>-802530.71428571455</v>
      </c>
      <c r="H10" s="11"/>
      <c r="K10" s="31"/>
      <c r="N10" t="e">
        <f>LOOKUP(1,D23:D43)</f>
        <v>#N/A</v>
      </c>
    </row>
    <row r="11" spans="1:14" x14ac:dyDescent="0.25">
      <c r="A11" s="30"/>
      <c r="D11" s="2" t="s">
        <v>71</v>
      </c>
      <c r="F11" s="11" t="str">
        <f>(IF(F7&lt;J12,"FAIL",IF(F7&gt;J13,"FAIL","GOOD")))</f>
        <v>GOOD</v>
      </c>
      <c r="H11" s="11"/>
      <c r="L11" s="31"/>
      <c r="N11" t="e">
        <f>MATCH(1,D23:H43,0)</f>
        <v>#N/A</v>
      </c>
    </row>
    <row r="12" spans="1:14" x14ac:dyDescent="0.25">
      <c r="D12" s="2" t="s">
        <v>28</v>
      </c>
      <c r="F12" s="4">
        <f>SUM(L23:L43)/H12</f>
        <v>7202530.7142857146</v>
      </c>
      <c r="G12" s="14"/>
      <c r="H12" s="11">
        <f>COUNT(L23:L43)</f>
        <v>7</v>
      </c>
      <c r="I12" s="1" t="s">
        <v>31</v>
      </c>
      <c r="J12" s="4">
        <f>+F8*0.9</f>
        <v>5199300</v>
      </c>
      <c r="K12" s="1" t="s">
        <v>69</v>
      </c>
      <c r="N12" t="str">
        <f>INDEX(D23:D43,MATCH(1,H23:H43,0))</f>
        <v>D'Annunsio &amp; Sons, Inc.</v>
      </c>
    </row>
    <row r="13" spans="1:14" x14ac:dyDescent="0.25">
      <c r="D13" s="2" t="s">
        <v>29</v>
      </c>
      <c r="F13" s="4">
        <f>MAX(L23:L43)-MIN(L23:L43)</f>
        <v>2598000</v>
      </c>
      <c r="G13" s="269">
        <f>MEDIAN(L23:L43)</f>
        <v>7117005</v>
      </c>
      <c r="H13" s="270"/>
      <c r="I13" s="1" t="s">
        <v>30</v>
      </c>
      <c r="J13" s="4">
        <f>+F12*1.1</f>
        <v>7922783.7857142864</v>
      </c>
      <c r="K13" s="1" t="s">
        <v>70</v>
      </c>
    </row>
    <row r="14" spans="1:14" x14ac:dyDescent="0.25">
      <c r="H14" s="11"/>
    </row>
    <row r="15" spans="1:14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4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42</v>
      </c>
      <c r="L21" s="10" t="s">
        <v>39</v>
      </c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300</v>
      </c>
      <c r="E23" s="33"/>
      <c r="F23" t="s">
        <v>137</v>
      </c>
      <c r="G23" t="s">
        <v>25</v>
      </c>
      <c r="H23">
        <f>RANK(L23,L$23:L$43,1)</f>
        <v>1</v>
      </c>
      <c r="I23" s="4">
        <v>1959000</v>
      </c>
      <c r="J23" s="4">
        <v>1838000</v>
      </c>
      <c r="K23" s="7">
        <v>0.1</v>
      </c>
      <c r="L23" s="4">
        <f>+I23+J23+(K23*K$7)+$K$7</f>
        <v>5777000</v>
      </c>
      <c r="M23" s="22"/>
      <c r="N23" s="22"/>
      <c r="O23" s="22"/>
    </row>
    <row r="24" spans="3:15" x14ac:dyDescent="0.25">
      <c r="C24" s="33" t="str">
        <f>IF(H24=1,"u","")</f>
        <v/>
      </c>
      <c r="D24" s="23" t="s">
        <v>301</v>
      </c>
      <c r="E24" s="33"/>
      <c r="F24" t="s">
        <v>302</v>
      </c>
      <c r="G24" t="s">
        <v>25</v>
      </c>
      <c r="H24">
        <f t="shared" ref="H24:H29" si="0">RANK(L24,L$23:L$43,1)</f>
        <v>2</v>
      </c>
      <c r="I24" s="4">
        <v>2651495</v>
      </c>
      <c r="J24" s="4">
        <v>1896000</v>
      </c>
      <c r="K24" s="7">
        <v>0.1</v>
      </c>
      <c r="L24" s="4">
        <f t="shared" ref="L24:L29" si="1">+I24+J24+(K24*K$7)+$K$7</f>
        <v>6527495</v>
      </c>
      <c r="M24" s="22"/>
      <c r="N24" s="22"/>
      <c r="O24" s="22"/>
    </row>
    <row r="25" spans="3:15" x14ac:dyDescent="0.25">
      <c r="C25" s="33" t="str">
        <f>IF(H25=1,"u","")</f>
        <v/>
      </c>
      <c r="D25" s="23" t="s">
        <v>304</v>
      </c>
      <c r="E25" s="33"/>
      <c r="F25" t="s">
        <v>305</v>
      </c>
      <c r="G25" t="s">
        <v>25</v>
      </c>
      <c r="H25">
        <f t="shared" si="0"/>
        <v>3</v>
      </c>
      <c r="I25" s="4">
        <v>2902941</v>
      </c>
      <c r="J25" s="4">
        <v>1859660</v>
      </c>
      <c r="K25" s="7">
        <v>0.21</v>
      </c>
      <c r="L25" s="4">
        <f t="shared" si="1"/>
        <v>6940601</v>
      </c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23" t="s">
        <v>306</v>
      </c>
      <c r="E26" s="33"/>
      <c r="F26" t="s">
        <v>131</v>
      </c>
      <c r="G26" t="s">
        <v>25</v>
      </c>
      <c r="H26">
        <f t="shared" si="0"/>
        <v>4</v>
      </c>
      <c r="I26" s="4">
        <v>3055755</v>
      </c>
      <c r="J26" s="4">
        <v>2081250</v>
      </c>
      <c r="K26" s="7">
        <v>0.1</v>
      </c>
      <c r="L26" s="4">
        <f t="shared" si="1"/>
        <v>7117005</v>
      </c>
      <c r="M26" s="22"/>
      <c r="N26" s="22"/>
      <c r="O26" s="22"/>
    </row>
    <row r="27" spans="3:15" x14ac:dyDescent="0.25">
      <c r="C27" s="33" t="str">
        <f t="shared" si="2"/>
        <v/>
      </c>
      <c r="D27" s="23" t="s">
        <v>307</v>
      </c>
      <c r="E27" s="33"/>
      <c r="F27" t="s">
        <v>308</v>
      </c>
      <c r="G27" t="s">
        <v>25</v>
      </c>
      <c r="H27">
        <f t="shared" si="0"/>
        <v>5</v>
      </c>
      <c r="I27" s="4">
        <v>3309776</v>
      </c>
      <c r="J27" s="4">
        <v>2187060</v>
      </c>
      <c r="K27" s="7">
        <v>0.18</v>
      </c>
      <c r="L27" s="4">
        <f t="shared" si="1"/>
        <v>7620836</v>
      </c>
      <c r="M27" s="22"/>
      <c r="N27" s="22"/>
      <c r="O27" s="22"/>
    </row>
    <row r="28" spans="3:15" x14ac:dyDescent="0.25">
      <c r="C28" s="33" t="str">
        <f t="shared" si="2"/>
        <v/>
      </c>
      <c r="D28" s="23" t="s">
        <v>134</v>
      </c>
      <c r="E28" s="33"/>
      <c r="F28" t="s">
        <v>135</v>
      </c>
      <c r="G28" t="s">
        <v>25</v>
      </c>
      <c r="H28">
        <f t="shared" si="0"/>
        <v>6</v>
      </c>
      <c r="I28" s="4">
        <v>3454258</v>
      </c>
      <c r="J28" s="4">
        <v>2481520</v>
      </c>
      <c r="K28" s="7">
        <v>0.18</v>
      </c>
      <c r="L28" s="4">
        <f t="shared" si="1"/>
        <v>8059778</v>
      </c>
      <c r="M28" s="22"/>
      <c r="N28" s="22"/>
      <c r="O28" s="22"/>
    </row>
    <row r="29" spans="3:15" x14ac:dyDescent="0.25">
      <c r="C29" s="33" t="str">
        <f t="shared" si="2"/>
        <v/>
      </c>
      <c r="D29" s="23" t="s">
        <v>252</v>
      </c>
      <c r="E29" s="33"/>
      <c r="F29" t="s">
        <v>253</v>
      </c>
      <c r="G29" t="s">
        <v>25</v>
      </c>
      <c r="H29">
        <f t="shared" si="0"/>
        <v>7</v>
      </c>
      <c r="I29" s="4">
        <v>4500000</v>
      </c>
      <c r="J29" s="4">
        <v>1895000</v>
      </c>
      <c r="K29" s="7">
        <v>0.1</v>
      </c>
      <c r="L29" s="4">
        <f t="shared" si="1"/>
        <v>8375000</v>
      </c>
      <c r="M29" s="22"/>
      <c r="N29" s="22"/>
      <c r="O29" s="22"/>
    </row>
    <row r="30" spans="3:15" x14ac:dyDescent="0.25">
      <c r="C30" s="33" t="str">
        <f t="shared" si="2"/>
        <v/>
      </c>
      <c r="D30" s="23"/>
      <c r="E30" s="33" t="str">
        <f t="shared" ref="E30:E43" si="3">IF(H30=1,"t","")</f>
        <v/>
      </c>
      <c r="I30" s="4"/>
      <c r="J30" s="4"/>
      <c r="K30" s="7"/>
      <c r="L30" s="4"/>
      <c r="M30" s="22"/>
      <c r="N30" s="22"/>
      <c r="O30" s="22"/>
    </row>
    <row r="31" spans="3:15" x14ac:dyDescent="0.25">
      <c r="C31" s="33" t="str">
        <f t="shared" si="2"/>
        <v/>
      </c>
      <c r="D31" s="23"/>
      <c r="E31" s="33" t="str">
        <f t="shared" si="3"/>
        <v/>
      </c>
      <c r="I31" s="4"/>
      <c r="J31" s="4"/>
      <c r="K31" s="7"/>
      <c r="L31" s="4"/>
      <c r="M31" s="22"/>
      <c r="N31" s="22"/>
      <c r="O31" s="22"/>
    </row>
    <row r="32" spans="3:15" x14ac:dyDescent="0.25">
      <c r="C32" s="33" t="str">
        <f t="shared" si="2"/>
        <v/>
      </c>
      <c r="D32" s="23"/>
      <c r="E32" s="33" t="str">
        <f t="shared" si="3"/>
        <v/>
      </c>
      <c r="I32" s="4"/>
      <c r="J32" s="4"/>
      <c r="K32" s="7"/>
      <c r="L32" s="4"/>
      <c r="M32" s="22"/>
      <c r="N32" s="22"/>
      <c r="O32" s="22"/>
    </row>
    <row r="33" spans="3:15" x14ac:dyDescent="0.25">
      <c r="C33" s="33" t="str">
        <f t="shared" si="2"/>
        <v/>
      </c>
      <c r="D33" s="23"/>
      <c r="E33" s="33" t="str">
        <f t="shared" si="3"/>
        <v/>
      </c>
      <c r="I33" s="4"/>
      <c r="J33" s="4"/>
      <c r="K33" s="7"/>
      <c r="L33" s="4"/>
      <c r="M33" s="21"/>
      <c r="N33" s="21"/>
      <c r="O33" s="21"/>
    </row>
    <row r="34" spans="3:15" x14ac:dyDescent="0.25">
      <c r="C34" s="33" t="str">
        <f t="shared" si="2"/>
        <v/>
      </c>
      <c r="D34" s="23"/>
      <c r="E34" s="33" t="str">
        <f t="shared" si="3"/>
        <v/>
      </c>
      <c r="K34" s="7"/>
      <c r="M34" s="21"/>
      <c r="N34" s="21"/>
      <c r="O34" s="21"/>
    </row>
    <row r="35" spans="3:15" x14ac:dyDescent="0.25">
      <c r="C35" s="33" t="str">
        <f t="shared" si="2"/>
        <v/>
      </c>
      <c r="D35" s="23"/>
      <c r="E35" s="33" t="str">
        <f t="shared" si="3"/>
        <v/>
      </c>
      <c r="K35" s="7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 t="str">
        <f t="shared" si="3"/>
        <v/>
      </c>
      <c r="K36" s="7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7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7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7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7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7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7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7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  <c r="M47" s="21"/>
      <c r="N47" s="21"/>
      <c r="O47" s="21"/>
    </row>
  </sheetData>
  <mergeCells count="1">
    <mergeCell ref="G13:H13"/>
  </mergeCells>
  <conditionalFormatting sqref="I9 F11">
    <cfRule type="containsText" dxfId="265" priority="8" operator="containsText" text="FAIL">
      <formula>NOT(ISERROR(SEARCH("FAIL",F9)))</formula>
    </cfRule>
  </conditionalFormatting>
  <conditionalFormatting sqref="I9 F11">
    <cfRule type="containsText" dxfId="264" priority="7" operator="containsText" text="GOOD">
      <formula>NOT(ISERROR(SEARCH("GOOD",F9)))</formula>
    </cfRule>
  </conditionalFormatting>
  <conditionalFormatting sqref="I9">
    <cfRule type="containsText" dxfId="263" priority="6" operator="containsText" text="FAIL">
      <formula>NOT(ISERROR(SEARCH("FAIL",I9)))</formula>
    </cfRule>
  </conditionalFormatting>
  <conditionalFormatting sqref="I9">
    <cfRule type="containsText" dxfId="262" priority="5" operator="containsText" text="GOOD">
      <formula>NOT(ISERROR(SEARCH("GOOD",I9)))</formula>
    </cfRule>
  </conditionalFormatting>
  <conditionalFormatting sqref="D25">
    <cfRule type="expression" dxfId="261" priority="4" stopIfTrue="1">
      <formula>IF($H$25=1,0)</formula>
    </cfRule>
  </conditionalFormatting>
  <conditionalFormatting sqref="D23:D43">
    <cfRule type="expression" dxfId="260" priority="3">
      <formula>H23=1</formula>
    </cfRule>
  </conditionalFormatting>
  <conditionalFormatting sqref="C23:C43">
    <cfRule type="expression" dxfId="259" priority="2">
      <formula>H23=1</formula>
    </cfRule>
  </conditionalFormatting>
  <conditionalFormatting sqref="E23:E43">
    <cfRule type="expression" dxfId="258" priority="1">
      <formula>H23=1</formula>
    </cfRule>
  </conditionalFormatting>
  <pageMargins left="0.7" right="0.7" top="0.75" bottom="0.75" header="0.3" footer="0.3"/>
  <pageSetup orientation="portrait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2:O47"/>
  <sheetViews>
    <sheetView workbookViewId="0">
      <selection activeCell="J4" sqref="J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309</v>
      </c>
      <c r="I4" s="2" t="s">
        <v>4</v>
      </c>
    </row>
    <row r="5" spans="1:11" x14ac:dyDescent="0.25">
      <c r="D5" s="2" t="s">
        <v>1</v>
      </c>
      <c r="F5" t="s">
        <v>310</v>
      </c>
    </row>
    <row r="6" spans="1:11" x14ac:dyDescent="0.25">
      <c r="D6" s="2" t="s">
        <v>2</v>
      </c>
      <c r="F6" s="6">
        <v>42144</v>
      </c>
      <c r="H6" s="11"/>
    </row>
    <row r="7" spans="1:11" x14ac:dyDescent="0.25">
      <c r="D7" s="2" t="s">
        <v>3</v>
      </c>
      <c r="F7" s="5">
        <f>+I7+J7</f>
        <v>3340000</v>
      </c>
      <c r="G7" s="2" t="s">
        <v>34</v>
      </c>
      <c r="H7" s="11"/>
      <c r="I7" s="19">
        <v>176000</v>
      </c>
      <c r="J7" s="19">
        <v>3164000</v>
      </c>
    </row>
    <row r="8" spans="1:11" x14ac:dyDescent="0.25">
      <c r="D8" s="2" t="s">
        <v>18</v>
      </c>
      <c r="F8" s="5">
        <f>MIN(K23:K43)</f>
        <v>4538160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1198160</v>
      </c>
      <c r="G9" s="16">
        <f>+F9/F7</f>
        <v>0.35873053892215567</v>
      </c>
      <c r="H9" s="12" t="s">
        <v>20</v>
      </c>
      <c r="I9" s="11" t="str">
        <f>(IF(G9&lt;-0.1,"FAIL",IF(G9&gt;0.05,"FAIL","GOOD")))</f>
        <v>FAIL</v>
      </c>
    </row>
    <row r="10" spans="1:11" x14ac:dyDescent="0.25">
      <c r="D10" s="2" t="s">
        <v>68</v>
      </c>
      <c r="F10" s="4">
        <f>+F7-F12</f>
        <v>-2689053.333333333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SUM(K23:K43)/H12</f>
        <v>6029053.333333333</v>
      </c>
      <c r="G12" s="14"/>
      <c r="H12" s="11">
        <f>COUNT(K23:K43)</f>
        <v>3</v>
      </c>
      <c r="I12" s="1" t="s">
        <v>31</v>
      </c>
      <c r="J12" s="4">
        <f>+F8*0.9</f>
        <v>4084344</v>
      </c>
      <c r="K12" s="1" t="s">
        <v>69</v>
      </c>
    </row>
    <row r="13" spans="1:11" x14ac:dyDescent="0.25">
      <c r="D13" s="2" t="s">
        <v>29</v>
      </c>
      <c r="F13" s="4">
        <f>MAX(K23:K43)-MIN(K23:K43)</f>
        <v>3123540</v>
      </c>
      <c r="G13" s="269">
        <f>MEDIAN(K23:K43)</f>
        <v>5887300</v>
      </c>
      <c r="H13" s="270"/>
      <c r="I13" s="1" t="s">
        <v>30</v>
      </c>
      <c r="J13" s="4">
        <f>+F12*1.1</f>
        <v>6631958.666666667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87</v>
      </c>
      <c r="E23" s="33"/>
      <c r="F23" t="s">
        <v>88</v>
      </c>
      <c r="G23" t="s">
        <v>25</v>
      </c>
      <c r="H23">
        <f>RANK(K23,K$23:K$43,1)</f>
        <v>1</v>
      </c>
      <c r="I23" s="4">
        <v>38160</v>
      </c>
      <c r="J23" s="4">
        <v>4500000</v>
      </c>
      <c r="K23" s="4">
        <f>+J23+I23</f>
        <v>4538160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311</v>
      </c>
      <c r="E24" s="33"/>
      <c r="F24" t="s">
        <v>312</v>
      </c>
      <c r="G24" t="s">
        <v>25</v>
      </c>
      <c r="H24">
        <f>RANK(K24,K$23:K$43,1)</f>
        <v>2</v>
      </c>
      <c r="I24" s="4">
        <v>36000</v>
      </c>
      <c r="J24" s="4">
        <v>5851300</v>
      </c>
      <c r="K24" s="4">
        <f>+J24+I24</f>
        <v>5887300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99</v>
      </c>
      <c r="E25" s="33"/>
      <c r="F25" t="s">
        <v>100</v>
      </c>
      <c r="G25" t="s">
        <v>93</v>
      </c>
      <c r="H25">
        <f>RANK(K25,K$23:K$43,1)</f>
        <v>3</v>
      </c>
      <c r="I25" s="4">
        <v>252000</v>
      </c>
      <c r="J25" s="4">
        <v>7409700</v>
      </c>
      <c r="K25" s="4">
        <f>+J25+I25</f>
        <v>7661700</v>
      </c>
      <c r="L25" s="4"/>
      <c r="M25" s="22"/>
      <c r="N25" s="22"/>
      <c r="O25" s="22"/>
    </row>
    <row r="26" spans="3:15" x14ac:dyDescent="0.25">
      <c r="C26" s="33"/>
      <c r="D26" s="23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23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23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/>
      <c r="D29" s="23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/>
      <c r="D30" s="23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/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/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/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ref="C34:C43" si="0">IF(H34=1,"u","")</f>
        <v/>
      </c>
      <c r="D34" s="11"/>
      <c r="E34" s="33" t="str">
        <f t="shared" ref="E34:E43" si="1">IF(H34=1,"t","")</f>
        <v/>
      </c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57" priority="19" operator="containsText" text="FAIL">
      <formula>NOT(ISERROR(SEARCH("FAIL",I9)))</formula>
    </cfRule>
  </conditionalFormatting>
  <conditionalFormatting sqref="I9">
    <cfRule type="containsText" dxfId="256" priority="18" operator="containsText" text="GOOD">
      <formula>NOT(ISERROR(SEARCH("GOOD",I9)))</formula>
    </cfRule>
  </conditionalFormatting>
  <conditionalFormatting sqref="I9">
    <cfRule type="containsText" dxfId="255" priority="17" operator="containsText" text="FAIL">
      <formula>NOT(ISERROR(SEARCH("FAIL",I9)))</formula>
    </cfRule>
  </conditionalFormatting>
  <conditionalFormatting sqref="I9">
    <cfRule type="containsText" dxfId="254" priority="16" operator="containsText" text="GOOD">
      <formula>NOT(ISERROR(SEARCH("GOOD",I9)))</formula>
    </cfRule>
  </conditionalFormatting>
  <conditionalFormatting sqref="I9">
    <cfRule type="containsText" dxfId="253" priority="15" operator="containsText" text="FAIL">
      <formula>NOT(ISERROR(SEARCH("FAIL",I9)))</formula>
    </cfRule>
  </conditionalFormatting>
  <conditionalFormatting sqref="I9">
    <cfRule type="containsText" dxfId="252" priority="14" operator="containsText" text="GOOD">
      <formula>NOT(ISERROR(SEARCH("GOOD",I9)))</formula>
    </cfRule>
  </conditionalFormatting>
  <conditionalFormatting sqref="F11">
    <cfRule type="containsText" dxfId="251" priority="13" operator="containsText" text="FAIL">
      <formula>NOT(ISERROR(SEARCH("FAIL",F11)))</formula>
    </cfRule>
  </conditionalFormatting>
  <conditionalFormatting sqref="F11">
    <cfRule type="containsText" dxfId="250" priority="12" operator="containsText" text="GOOD">
      <formula>NOT(ISERROR(SEARCH("GOOD",F11)))</formula>
    </cfRule>
  </conditionalFormatting>
  <conditionalFormatting sqref="I9">
    <cfRule type="containsText" dxfId="249" priority="11" operator="containsText" text="FAIL">
      <formula>NOT(ISERROR(SEARCH("FAIL",I9)))</formula>
    </cfRule>
  </conditionalFormatting>
  <conditionalFormatting sqref="I9">
    <cfRule type="containsText" dxfId="248" priority="10" operator="containsText" text="GOOD">
      <formula>NOT(ISERROR(SEARCH("GOOD",I9)))</formula>
    </cfRule>
  </conditionalFormatting>
  <conditionalFormatting sqref="F11">
    <cfRule type="containsText" dxfId="247" priority="9" operator="containsText" text="FAIL">
      <formula>NOT(ISERROR(SEARCH("FAIL",F11)))</formula>
    </cfRule>
  </conditionalFormatting>
  <conditionalFormatting sqref="F11">
    <cfRule type="containsText" dxfId="246" priority="8" operator="containsText" text="GOOD">
      <formula>NOT(ISERROR(SEARCH("GOOD",F11)))</formula>
    </cfRule>
  </conditionalFormatting>
  <conditionalFormatting sqref="D25">
    <cfRule type="expression" dxfId="245" priority="7" stopIfTrue="1">
      <formula>IF($H$25=1,0)</formula>
    </cfRule>
  </conditionalFormatting>
  <conditionalFormatting sqref="D23:D43">
    <cfRule type="expression" dxfId="244" priority="6">
      <formula>H23=1</formula>
    </cfRule>
  </conditionalFormatting>
  <conditionalFormatting sqref="C23:C43">
    <cfRule type="expression" dxfId="243" priority="5">
      <formula>H23=1</formula>
    </cfRule>
  </conditionalFormatting>
  <conditionalFormatting sqref="E23:E43">
    <cfRule type="expression" dxfId="242" priority="4">
      <formula>H23=1</formula>
    </cfRule>
  </conditionalFormatting>
  <conditionalFormatting sqref="E23:E43">
    <cfRule type="expression" dxfId="241" priority="3">
      <formula>H23=1</formula>
    </cfRule>
  </conditionalFormatting>
  <conditionalFormatting sqref="F11">
    <cfRule type="containsText" dxfId="240" priority="2" operator="containsText" text="FAIL">
      <formula>NOT(ISERROR(SEARCH("FAIL",F11)))</formula>
    </cfRule>
  </conditionalFormatting>
  <conditionalFormatting sqref="F11">
    <cfRule type="containsText" dxfId="239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2:O47"/>
  <sheetViews>
    <sheetView workbookViewId="0">
      <selection activeCell="D24" sqref="D2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313</v>
      </c>
      <c r="I4" s="2" t="s">
        <v>4</v>
      </c>
    </row>
    <row r="5" spans="1:11" x14ac:dyDescent="0.25">
      <c r="D5" s="2" t="s">
        <v>1</v>
      </c>
      <c r="F5" t="s">
        <v>314</v>
      </c>
    </row>
    <row r="6" spans="1:11" x14ac:dyDescent="0.25">
      <c r="D6" s="2" t="s">
        <v>2</v>
      </c>
      <c r="F6" s="6">
        <v>42143</v>
      </c>
      <c r="H6" s="11"/>
    </row>
    <row r="7" spans="1:11" x14ac:dyDescent="0.25">
      <c r="D7" s="2" t="s">
        <v>3</v>
      </c>
      <c r="F7" s="5">
        <v>1263000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930000</v>
      </c>
      <c r="H8" s="11"/>
    </row>
    <row r="9" spans="1:11" x14ac:dyDescent="0.25">
      <c r="D9" s="2" t="s">
        <v>67</v>
      </c>
      <c r="F9" s="4">
        <f>+F8-F7</f>
        <v>-333000</v>
      </c>
      <c r="G9" s="16">
        <f>+F9/F7</f>
        <v>-0.26365795724465557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333000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930000</v>
      </c>
      <c r="G12" s="14"/>
      <c r="H12" s="11">
        <f>COUNT(I23:I43)</f>
        <v>1</v>
      </c>
      <c r="I12" s="1" t="s">
        <v>31</v>
      </c>
      <c r="J12" s="4">
        <f>+F8*0.9</f>
        <v>837000</v>
      </c>
      <c r="K12" s="1" t="s">
        <v>69</v>
      </c>
    </row>
    <row r="13" spans="1:11" x14ac:dyDescent="0.25">
      <c r="D13" s="2" t="s">
        <v>29</v>
      </c>
      <c r="F13" s="4">
        <f>MAX(I23:I43)-MIN(I23:I43)</f>
        <v>0</v>
      </c>
      <c r="G13" s="269">
        <f>MEDIAN(I23:I43)</f>
        <v>930000</v>
      </c>
      <c r="H13" s="270"/>
      <c r="I13" s="1" t="s">
        <v>30</v>
      </c>
      <c r="J13" s="4">
        <f>+F12*1.1</f>
        <v>1023000.0000000001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87</v>
      </c>
      <c r="E23" s="33"/>
      <c r="F23" t="s">
        <v>88</v>
      </c>
      <c r="G23" t="s">
        <v>25</v>
      </c>
      <c r="H23">
        <f>RANK(I23,I$23:I$43,1)</f>
        <v>1</v>
      </c>
      <c r="I23" s="4">
        <v>930000</v>
      </c>
      <c r="J23" s="4"/>
      <c r="K23" s="4"/>
      <c r="L23" s="4"/>
      <c r="M23" s="22"/>
      <c r="N23" s="22"/>
      <c r="O23" s="22"/>
    </row>
    <row r="24" spans="3:15" x14ac:dyDescent="0.25">
      <c r="C24" s="33"/>
      <c r="D24" s="23"/>
      <c r="E24" s="33"/>
      <c r="I24" s="4"/>
      <c r="J24" s="4"/>
      <c r="K24" s="4"/>
      <c r="L24" s="4"/>
      <c r="M24" s="22"/>
      <c r="N24" s="22"/>
      <c r="O24" s="22"/>
    </row>
    <row r="25" spans="3:15" x14ac:dyDescent="0.25">
      <c r="C25" s="33"/>
      <c r="D25" s="23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23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ref="C27:C43" si="0">IF(H27=1,"u","")</f>
        <v/>
      </c>
      <c r="D27" s="23"/>
      <c r="E27" s="33" t="str">
        <f t="shared" ref="E27:E43" si="1">IF(H27=1,"t","")</f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23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23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38" priority="10" operator="containsText" text="FAIL">
      <formula>NOT(ISERROR(SEARCH("FAIL",I9)))</formula>
    </cfRule>
  </conditionalFormatting>
  <conditionalFormatting sqref="I9">
    <cfRule type="containsText" dxfId="237" priority="9" operator="containsText" text="GOOD">
      <formula>NOT(ISERROR(SEARCH("GOOD",I9)))</formula>
    </cfRule>
  </conditionalFormatting>
  <conditionalFormatting sqref="F11">
    <cfRule type="containsText" dxfId="236" priority="8" operator="containsText" text="FAIL">
      <formula>NOT(ISERROR(SEARCH("FAIL",F11)))</formula>
    </cfRule>
  </conditionalFormatting>
  <conditionalFormatting sqref="F11">
    <cfRule type="containsText" dxfId="235" priority="7" operator="containsText" text="GOOD">
      <formula>NOT(ISERROR(SEARCH("GOOD",F11)))</formula>
    </cfRule>
  </conditionalFormatting>
  <conditionalFormatting sqref="D25">
    <cfRule type="expression" dxfId="234" priority="6" stopIfTrue="1">
      <formula>IF($H$25=1,0)</formula>
    </cfRule>
  </conditionalFormatting>
  <conditionalFormatting sqref="D23:D43">
    <cfRule type="expression" dxfId="233" priority="5">
      <formula>H23=1</formula>
    </cfRule>
  </conditionalFormatting>
  <conditionalFormatting sqref="C23:C43">
    <cfRule type="expression" dxfId="232" priority="4">
      <formula>H23=1</formula>
    </cfRule>
  </conditionalFormatting>
  <conditionalFormatting sqref="E23:E43">
    <cfRule type="expression" dxfId="231" priority="3">
      <formula>H23=1</formula>
    </cfRule>
  </conditionalFormatting>
  <conditionalFormatting sqref="F11">
    <cfRule type="containsText" dxfId="230" priority="2" operator="containsText" text="FAIL">
      <formula>NOT(ISERROR(SEARCH("FAIL",F11)))</formula>
    </cfRule>
  </conditionalFormatting>
  <conditionalFormatting sqref="F11">
    <cfRule type="containsText" dxfId="229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2:O47"/>
  <sheetViews>
    <sheetView workbookViewId="0">
      <selection activeCell="I27" sqref="I2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418</v>
      </c>
      <c r="I4" s="2" t="s">
        <v>4</v>
      </c>
    </row>
    <row r="5" spans="1:11" x14ac:dyDescent="0.25">
      <c r="D5" s="2" t="s">
        <v>1</v>
      </c>
      <c r="F5" t="s">
        <v>419</v>
      </c>
    </row>
    <row r="6" spans="1:11" x14ac:dyDescent="0.25">
      <c r="D6" s="2" t="s">
        <v>2</v>
      </c>
      <c r="F6" s="6">
        <v>42142</v>
      </c>
      <c r="H6" s="11"/>
    </row>
    <row r="7" spans="1:11" x14ac:dyDescent="0.25">
      <c r="D7" s="2" t="s">
        <v>3</v>
      </c>
      <c r="F7" s="5">
        <v>830000</v>
      </c>
      <c r="G7" s="2" t="s">
        <v>299</v>
      </c>
      <c r="H7" s="11"/>
    </row>
    <row r="8" spans="1:11" x14ac:dyDescent="0.25">
      <c r="D8" s="2" t="s">
        <v>18</v>
      </c>
      <c r="F8" s="5">
        <f>MIN(I23:I43)</f>
        <v>1650000</v>
      </c>
      <c r="H8" s="11"/>
    </row>
    <row r="9" spans="1:11" x14ac:dyDescent="0.25">
      <c r="D9" s="2" t="s">
        <v>67</v>
      </c>
      <c r="F9" s="4">
        <f>+F8-F7</f>
        <v>820000</v>
      </c>
      <c r="G9" s="16">
        <f>+F9/F7</f>
        <v>0.98795180722891562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-820000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1650000</v>
      </c>
      <c r="G12" s="14"/>
      <c r="H12" s="11">
        <f>COUNT(I23:I43)</f>
        <v>1</v>
      </c>
      <c r="I12" s="1" t="s">
        <v>31</v>
      </c>
      <c r="J12" s="4">
        <f>+F8*0.9</f>
        <v>1485000</v>
      </c>
      <c r="K12" s="1" t="s">
        <v>69</v>
      </c>
    </row>
    <row r="13" spans="1:11" x14ac:dyDescent="0.25">
      <c r="D13" s="2" t="s">
        <v>29</v>
      </c>
      <c r="F13" s="4">
        <f>MAX(I23:I43)-MIN(I23:I43)</f>
        <v>0</v>
      </c>
      <c r="G13" s="269">
        <f>MEDIAN(I23:I43)</f>
        <v>1650000</v>
      </c>
      <c r="H13" s="270"/>
      <c r="I13" s="1" t="s">
        <v>30</v>
      </c>
      <c r="J13" s="4">
        <f>+F12*1.1</f>
        <v>1815000.0000000002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 t="s">
        <v>231</v>
      </c>
      <c r="E23" s="33"/>
      <c r="F23" t="s">
        <v>193</v>
      </c>
      <c r="G23" t="s">
        <v>303</v>
      </c>
      <c r="H23">
        <f>RANK(I23,I$23:I$43,1)</f>
        <v>1</v>
      </c>
      <c r="I23" s="4">
        <v>1650000</v>
      </c>
      <c r="J23" s="4"/>
      <c r="K23" s="4"/>
      <c r="L23" s="4"/>
      <c r="M23" s="22"/>
      <c r="N23" s="22"/>
      <c r="O23" s="22"/>
    </row>
    <row r="24" spans="3:15" x14ac:dyDescent="0.25">
      <c r="C24" s="33"/>
      <c r="D24" s="11"/>
      <c r="E24" s="33"/>
      <c r="I24" s="4"/>
      <c r="J24" s="4"/>
      <c r="K24" s="4"/>
      <c r="L24" s="4"/>
      <c r="M24" s="22"/>
      <c r="N24" s="22"/>
      <c r="O24" s="22"/>
    </row>
    <row r="25" spans="3:15" x14ac:dyDescent="0.25">
      <c r="C25" s="33"/>
      <c r="D25" s="11"/>
      <c r="E25" s="33"/>
      <c r="I25" s="4"/>
      <c r="J25" s="4"/>
      <c r="K25" s="4"/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ref="C27:C43" si="0">IF(H27=1,"u","")</f>
        <v/>
      </c>
      <c r="D27" s="11"/>
      <c r="E27" s="33" t="str">
        <f t="shared" ref="E27:E43" si="1">IF(H27=1,"t","")</f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28" priority="10" operator="containsText" text="FAIL">
      <formula>NOT(ISERROR(SEARCH("FAIL",I9)))</formula>
    </cfRule>
  </conditionalFormatting>
  <conditionalFormatting sqref="I9">
    <cfRule type="containsText" dxfId="227" priority="9" operator="containsText" text="GOOD">
      <formula>NOT(ISERROR(SEARCH("GOOD",I9)))</formula>
    </cfRule>
  </conditionalFormatting>
  <conditionalFormatting sqref="F11">
    <cfRule type="containsText" dxfId="226" priority="8" operator="containsText" text="FAIL">
      <formula>NOT(ISERROR(SEARCH("FAIL",F11)))</formula>
    </cfRule>
  </conditionalFormatting>
  <conditionalFormatting sqref="F11">
    <cfRule type="containsText" dxfId="225" priority="7" operator="containsText" text="GOOD">
      <formula>NOT(ISERROR(SEARCH("GOOD",F11)))</formula>
    </cfRule>
  </conditionalFormatting>
  <conditionalFormatting sqref="D25">
    <cfRule type="expression" dxfId="224" priority="6" stopIfTrue="1">
      <formula>IF($H$25=1,0)</formula>
    </cfRule>
  </conditionalFormatting>
  <conditionalFormatting sqref="D23:D43">
    <cfRule type="expression" dxfId="223" priority="5">
      <formula>H23=1</formula>
    </cfRule>
  </conditionalFormatting>
  <conditionalFormatting sqref="C23:C43">
    <cfRule type="expression" dxfId="222" priority="4">
      <formula>H23=1</formula>
    </cfRule>
  </conditionalFormatting>
  <conditionalFormatting sqref="E23:E43">
    <cfRule type="expression" dxfId="221" priority="3">
      <formula>H23=1</formula>
    </cfRule>
  </conditionalFormatting>
  <conditionalFormatting sqref="F11">
    <cfRule type="containsText" dxfId="220" priority="2" operator="containsText" text="FAIL">
      <formula>NOT(ISERROR(SEARCH("FAIL",F11)))</formula>
    </cfRule>
  </conditionalFormatting>
  <conditionalFormatting sqref="F11">
    <cfRule type="containsText" dxfId="219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2:O47"/>
  <sheetViews>
    <sheetView topLeftCell="A7" workbookViewId="0">
      <selection activeCell="I31" sqref="I31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315</v>
      </c>
      <c r="I4" s="2" t="s">
        <v>4</v>
      </c>
    </row>
    <row r="5" spans="1:11" x14ac:dyDescent="0.25">
      <c r="D5" s="2" t="s">
        <v>1</v>
      </c>
      <c r="F5" t="s">
        <v>316</v>
      </c>
    </row>
    <row r="6" spans="1:11" x14ac:dyDescent="0.25">
      <c r="D6" s="2" t="s">
        <v>2</v>
      </c>
      <c r="F6" s="6">
        <v>42115</v>
      </c>
      <c r="H6" s="11"/>
    </row>
    <row r="7" spans="1:11" x14ac:dyDescent="0.25">
      <c r="D7" s="2" t="s">
        <v>3</v>
      </c>
      <c r="F7" s="5">
        <v>735000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512568</v>
      </c>
      <c r="H8" s="11"/>
    </row>
    <row r="9" spans="1:11" x14ac:dyDescent="0.25">
      <c r="D9" s="2" t="s">
        <v>67</v>
      </c>
      <c r="F9" s="4">
        <f>+F8-F7</f>
        <v>-222432</v>
      </c>
      <c r="G9" s="16">
        <f>+F9/F7</f>
        <v>-0.30262857142857141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-58823.2733333332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793823.2733333332</v>
      </c>
      <c r="G12" s="14"/>
      <c r="H12" s="11">
        <f>COUNT(I23:I43)</f>
        <v>9</v>
      </c>
      <c r="I12" s="1" t="s">
        <v>31</v>
      </c>
      <c r="J12" s="4">
        <f>+F8*0.9</f>
        <v>461311.2</v>
      </c>
      <c r="K12" s="1" t="s">
        <v>69</v>
      </c>
    </row>
    <row r="13" spans="1:11" x14ac:dyDescent="0.25">
      <c r="D13" s="2" t="s">
        <v>29</v>
      </c>
      <c r="F13" s="4">
        <f>MAX(I23:I43)-MIN(I23:I43)</f>
        <v>684417</v>
      </c>
      <c r="G13" s="269">
        <f>MEDIAN(I23:I43)</f>
        <v>789232</v>
      </c>
      <c r="H13" s="270"/>
      <c r="I13" s="1" t="s">
        <v>30</v>
      </c>
      <c r="J13" s="4">
        <f>+F12*1.1</f>
        <v>873205.60066666664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317</v>
      </c>
      <c r="E23" s="33"/>
      <c r="F23" t="s">
        <v>320</v>
      </c>
      <c r="G23" t="s">
        <v>321</v>
      </c>
      <c r="H23">
        <f>RANK(I23,I$23:I$43,1)</f>
        <v>1</v>
      </c>
      <c r="I23" s="4">
        <v>512568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318</v>
      </c>
      <c r="E24" s="33"/>
      <c r="F24" t="s">
        <v>319</v>
      </c>
      <c r="G24" t="s">
        <v>93</v>
      </c>
      <c r="H24">
        <f t="shared" ref="H24:H31" si="0">RANK(I24,I$23:I$43,1)</f>
        <v>2</v>
      </c>
      <c r="I24" s="4">
        <v>537725.67000000004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322</v>
      </c>
      <c r="E25" s="33"/>
      <c r="F25" t="s">
        <v>323</v>
      </c>
      <c r="G25" t="s">
        <v>25</v>
      </c>
      <c r="H25">
        <f t="shared" si="0"/>
        <v>3</v>
      </c>
      <c r="I25" s="4">
        <v>699999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23" t="s">
        <v>238</v>
      </c>
      <c r="E26" s="33"/>
      <c r="F26" t="s">
        <v>139</v>
      </c>
      <c r="G26" t="s">
        <v>25</v>
      </c>
      <c r="H26">
        <f t="shared" si="0"/>
        <v>4</v>
      </c>
      <c r="I26" s="4">
        <v>716977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23" t="s">
        <v>324</v>
      </c>
      <c r="E27" s="33" t="str">
        <f t="shared" ref="E27:E43" si="2">IF(H27=1,"t","")</f>
        <v/>
      </c>
      <c r="F27" t="s">
        <v>325</v>
      </c>
      <c r="G27" t="s">
        <v>93</v>
      </c>
      <c r="H27">
        <f t="shared" si="0"/>
        <v>5</v>
      </c>
      <c r="I27" s="4">
        <v>789232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23" t="s">
        <v>326</v>
      </c>
      <c r="E28" s="33" t="str">
        <f t="shared" si="2"/>
        <v/>
      </c>
      <c r="F28" t="s">
        <v>327</v>
      </c>
      <c r="G28" t="s">
        <v>25</v>
      </c>
      <c r="H28">
        <f t="shared" si="0"/>
        <v>6</v>
      </c>
      <c r="I28" s="4">
        <v>829538.19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23" t="s">
        <v>328</v>
      </c>
      <c r="E29" s="33" t="str">
        <f t="shared" si="2"/>
        <v/>
      </c>
      <c r="F29" t="s">
        <v>131</v>
      </c>
      <c r="G29" t="s">
        <v>25</v>
      </c>
      <c r="H29">
        <f t="shared" si="0"/>
        <v>7</v>
      </c>
      <c r="I29" s="4">
        <v>880000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23" t="s">
        <v>329</v>
      </c>
      <c r="E30" s="33" t="str">
        <f t="shared" si="2"/>
        <v/>
      </c>
      <c r="F30" t="s">
        <v>330</v>
      </c>
      <c r="G30" t="s">
        <v>25</v>
      </c>
      <c r="H30">
        <f t="shared" si="0"/>
        <v>8</v>
      </c>
      <c r="I30" s="4">
        <v>981384.6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23" t="s">
        <v>331</v>
      </c>
      <c r="E31" s="33" t="str">
        <f t="shared" si="2"/>
        <v/>
      </c>
      <c r="F31" t="s">
        <v>332</v>
      </c>
      <c r="G31" t="s">
        <v>333</v>
      </c>
      <c r="H31">
        <f t="shared" si="0"/>
        <v>9</v>
      </c>
      <c r="I31" s="4">
        <v>1196985</v>
      </c>
      <c r="J31" s="4"/>
      <c r="K31" s="4"/>
      <c r="L31" s="4"/>
      <c r="M31" s="22"/>
      <c r="N31" s="22"/>
      <c r="O31" s="22"/>
    </row>
    <row r="32" spans="3:15" x14ac:dyDescent="0.25">
      <c r="C32" s="33"/>
      <c r="D32" s="23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/>
      <c r="D33" s="23"/>
      <c r="E33" s="33"/>
      <c r="M33" s="21"/>
      <c r="N33" s="21"/>
      <c r="O33" s="21"/>
    </row>
    <row r="34" spans="3:15" x14ac:dyDescent="0.25">
      <c r="C34" s="33" t="str">
        <f t="shared" si="1"/>
        <v/>
      </c>
      <c r="D34" s="23"/>
      <c r="E34" s="33" t="str">
        <f t="shared" si="2"/>
        <v/>
      </c>
      <c r="M34" s="21"/>
      <c r="N34" s="21"/>
      <c r="O34" s="21"/>
    </row>
    <row r="35" spans="3:15" x14ac:dyDescent="0.25">
      <c r="C35" s="33" t="str">
        <f t="shared" si="1"/>
        <v/>
      </c>
      <c r="D35" s="23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23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23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23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23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23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23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18" priority="10" operator="containsText" text="FAIL">
      <formula>NOT(ISERROR(SEARCH("FAIL",I9)))</formula>
    </cfRule>
  </conditionalFormatting>
  <conditionalFormatting sqref="I9">
    <cfRule type="containsText" dxfId="217" priority="9" operator="containsText" text="GOOD">
      <formula>NOT(ISERROR(SEARCH("GOOD",I9)))</formula>
    </cfRule>
  </conditionalFormatting>
  <conditionalFormatting sqref="F11">
    <cfRule type="containsText" dxfId="216" priority="8" operator="containsText" text="FAIL">
      <formula>NOT(ISERROR(SEARCH("FAIL",F11)))</formula>
    </cfRule>
  </conditionalFormatting>
  <conditionalFormatting sqref="F11">
    <cfRule type="containsText" dxfId="215" priority="7" operator="containsText" text="GOOD">
      <formula>NOT(ISERROR(SEARCH("GOOD",F11)))</formula>
    </cfRule>
  </conditionalFormatting>
  <conditionalFormatting sqref="D25">
    <cfRule type="expression" dxfId="214" priority="6" stopIfTrue="1">
      <formula>IF($H$25=1,0)</formula>
    </cfRule>
  </conditionalFormatting>
  <conditionalFormatting sqref="D23:D43">
    <cfRule type="expression" dxfId="213" priority="5">
      <formula>H23=1</formula>
    </cfRule>
  </conditionalFormatting>
  <conditionalFormatting sqref="C23:C43">
    <cfRule type="expression" dxfId="212" priority="4">
      <formula>H23=1</formula>
    </cfRule>
  </conditionalFormatting>
  <conditionalFormatting sqref="E23:E43">
    <cfRule type="expression" dxfId="211" priority="3">
      <formula>H23=1</formula>
    </cfRule>
  </conditionalFormatting>
  <conditionalFormatting sqref="F11">
    <cfRule type="containsText" dxfId="210" priority="2" operator="containsText" text="FAIL">
      <formula>NOT(ISERROR(SEARCH("FAIL",F11)))</formula>
    </cfRule>
  </conditionalFormatting>
  <conditionalFormatting sqref="F11">
    <cfRule type="containsText" dxfId="209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2:O47"/>
  <sheetViews>
    <sheetView topLeftCell="A4" workbookViewId="0">
      <selection activeCell="I31" sqref="I31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334</v>
      </c>
      <c r="I4" s="2" t="s">
        <v>4</v>
      </c>
    </row>
    <row r="5" spans="1:11" x14ac:dyDescent="0.25">
      <c r="D5" s="2" t="s">
        <v>1</v>
      </c>
      <c r="F5" t="s">
        <v>335</v>
      </c>
    </row>
    <row r="6" spans="1:11" x14ac:dyDescent="0.25">
      <c r="D6" s="2" t="s">
        <v>2</v>
      </c>
      <c r="F6" s="6">
        <v>42108</v>
      </c>
      <c r="H6" s="11"/>
    </row>
    <row r="7" spans="1:11" x14ac:dyDescent="0.25">
      <c r="D7" s="2" t="s">
        <v>3</v>
      </c>
      <c r="F7" s="5">
        <v>2320000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1550780</v>
      </c>
      <c r="H8" s="11"/>
    </row>
    <row r="9" spans="1:11" x14ac:dyDescent="0.25">
      <c r="D9" s="2" t="s">
        <v>67</v>
      </c>
      <c r="F9" s="4">
        <f>+F8-F7</f>
        <v>-769220</v>
      </c>
      <c r="G9" s="16">
        <f>+F9/F7</f>
        <v>-0.33156034482758623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-247351.41111111082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2567351.4111111108</v>
      </c>
      <c r="G12" s="14"/>
      <c r="H12" s="11">
        <f>COUNT(I23:I43)</f>
        <v>9</v>
      </c>
      <c r="I12" s="1" t="s">
        <v>31</v>
      </c>
      <c r="J12" s="4">
        <f>+F8*0.9</f>
        <v>1395702</v>
      </c>
      <c r="K12" s="1" t="s">
        <v>69</v>
      </c>
    </row>
    <row r="13" spans="1:11" x14ac:dyDescent="0.25">
      <c r="D13" s="2" t="s">
        <v>29</v>
      </c>
      <c r="F13" s="4">
        <f>MAX(I23:I43)-MIN(I23:I43)</f>
        <v>5449185</v>
      </c>
      <c r="G13" s="269">
        <f>MEDIAN(I23:I43)</f>
        <v>2050166.2</v>
      </c>
      <c r="H13" s="270"/>
      <c r="I13" s="1" t="s">
        <v>30</v>
      </c>
      <c r="J13" s="4">
        <f>+F12*1.1</f>
        <v>2824086.5522222221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148</v>
      </c>
      <c r="E23" s="33"/>
      <c r="F23" t="s">
        <v>149</v>
      </c>
      <c r="G23" t="s">
        <v>25</v>
      </c>
      <c r="H23">
        <f>RANK(I23,I$23:I$43,1)</f>
        <v>1</v>
      </c>
      <c r="I23" s="4">
        <v>1550780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336</v>
      </c>
      <c r="E24" s="33"/>
      <c r="F24" t="s">
        <v>337</v>
      </c>
      <c r="G24" t="s">
        <v>25</v>
      </c>
      <c r="H24">
        <f t="shared" ref="H24:H31" si="0">RANK(I24,I$23:I$43,1)</f>
        <v>2</v>
      </c>
      <c r="I24" s="4">
        <v>1631620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257</v>
      </c>
      <c r="E25" s="33"/>
      <c r="F25" t="s">
        <v>147</v>
      </c>
      <c r="G25" t="s">
        <v>93</v>
      </c>
      <c r="H25">
        <f t="shared" si="0"/>
        <v>3</v>
      </c>
      <c r="I25" s="4">
        <v>1876150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23" t="s">
        <v>191</v>
      </c>
      <c r="E26" s="33"/>
      <c r="F26" t="s">
        <v>192</v>
      </c>
      <c r="G26" t="s">
        <v>25</v>
      </c>
      <c r="H26">
        <f t="shared" si="0"/>
        <v>4</v>
      </c>
      <c r="I26" s="4">
        <v>1881822.75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23" t="s">
        <v>338</v>
      </c>
      <c r="E27" s="33" t="str">
        <f t="shared" ref="E27:E43" si="2">IF(H27=1,"t","")</f>
        <v/>
      </c>
      <c r="F27" t="s">
        <v>147</v>
      </c>
      <c r="G27" t="s">
        <v>93</v>
      </c>
      <c r="H27">
        <f t="shared" si="0"/>
        <v>5</v>
      </c>
      <c r="I27" s="4">
        <v>2050166.2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23" t="s">
        <v>138</v>
      </c>
      <c r="E28" s="33" t="str">
        <f t="shared" si="2"/>
        <v/>
      </c>
      <c r="F28" t="s">
        <v>139</v>
      </c>
      <c r="G28" t="s">
        <v>25</v>
      </c>
      <c r="H28">
        <f t="shared" si="0"/>
        <v>6</v>
      </c>
      <c r="I28" s="4">
        <v>2131570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23" t="s">
        <v>128</v>
      </c>
      <c r="E29" s="33" t="str">
        <f t="shared" si="2"/>
        <v/>
      </c>
      <c r="F29" t="s">
        <v>129</v>
      </c>
      <c r="G29" t="s">
        <v>25</v>
      </c>
      <c r="H29">
        <f t="shared" si="0"/>
        <v>7</v>
      </c>
      <c r="I29" s="4">
        <v>2355224.75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23" t="s">
        <v>339</v>
      </c>
      <c r="E30" s="33" t="str">
        <f t="shared" si="2"/>
        <v/>
      </c>
      <c r="F30" t="s">
        <v>323</v>
      </c>
      <c r="G30" t="s">
        <v>93</v>
      </c>
      <c r="H30">
        <f t="shared" si="0"/>
        <v>8</v>
      </c>
      <c r="I30" s="4">
        <v>2628864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23" t="s">
        <v>340</v>
      </c>
      <c r="E31" s="33" t="str">
        <f t="shared" si="2"/>
        <v/>
      </c>
      <c r="F31" t="s">
        <v>341</v>
      </c>
      <c r="G31" t="s">
        <v>25</v>
      </c>
      <c r="H31">
        <f t="shared" si="0"/>
        <v>9</v>
      </c>
      <c r="I31" s="4">
        <v>6999965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23"/>
      <c r="E32" s="33" t="str">
        <f t="shared" si="2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23"/>
      <c r="E33" s="33" t="str">
        <f t="shared" si="2"/>
        <v/>
      </c>
      <c r="M33" s="21"/>
      <c r="N33" s="21"/>
      <c r="O33" s="21"/>
    </row>
    <row r="34" spans="3:15" x14ac:dyDescent="0.25">
      <c r="C34" s="33" t="str">
        <f t="shared" si="1"/>
        <v/>
      </c>
      <c r="D34" s="23"/>
      <c r="E34" s="33" t="str">
        <f t="shared" si="2"/>
        <v/>
      </c>
      <c r="M34" s="21"/>
      <c r="N34" s="21"/>
      <c r="O34" s="21"/>
    </row>
    <row r="35" spans="3:15" x14ac:dyDescent="0.25">
      <c r="C35" s="33" t="str">
        <f t="shared" si="1"/>
        <v/>
      </c>
      <c r="D35" s="23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23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23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208" priority="10" operator="containsText" text="FAIL">
      <formula>NOT(ISERROR(SEARCH("FAIL",I9)))</formula>
    </cfRule>
  </conditionalFormatting>
  <conditionalFormatting sqref="I9">
    <cfRule type="containsText" dxfId="207" priority="9" operator="containsText" text="GOOD">
      <formula>NOT(ISERROR(SEARCH("GOOD",I9)))</formula>
    </cfRule>
  </conditionalFormatting>
  <conditionalFormatting sqref="F11">
    <cfRule type="containsText" dxfId="206" priority="8" operator="containsText" text="FAIL">
      <formula>NOT(ISERROR(SEARCH("FAIL",F11)))</formula>
    </cfRule>
  </conditionalFormatting>
  <conditionalFormatting sqref="F11">
    <cfRule type="containsText" dxfId="205" priority="7" operator="containsText" text="GOOD">
      <formula>NOT(ISERROR(SEARCH("GOOD",F11)))</formula>
    </cfRule>
  </conditionalFormatting>
  <conditionalFormatting sqref="D25">
    <cfRule type="expression" dxfId="204" priority="6" stopIfTrue="1">
      <formula>IF($H$25=1,0)</formula>
    </cfRule>
  </conditionalFormatting>
  <conditionalFormatting sqref="D23:D43">
    <cfRule type="expression" dxfId="203" priority="5">
      <formula>H23=1</formula>
    </cfRule>
  </conditionalFormatting>
  <conditionalFormatting sqref="C23:C43">
    <cfRule type="expression" dxfId="202" priority="4">
      <formula>H23=1</formula>
    </cfRule>
  </conditionalFormatting>
  <conditionalFormatting sqref="E23:E43">
    <cfRule type="expression" dxfId="201" priority="3">
      <formula>H23=1</formula>
    </cfRule>
  </conditionalFormatting>
  <conditionalFormatting sqref="F11">
    <cfRule type="containsText" dxfId="200" priority="2" operator="containsText" text="FAIL">
      <formula>NOT(ISERROR(SEARCH("FAIL",F11)))</formula>
    </cfRule>
  </conditionalFormatting>
  <conditionalFormatting sqref="F11">
    <cfRule type="containsText" dxfId="199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2:O47"/>
  <sheetViews>
    <sheetView workbookViewId="0">
      <selection activeCell="F5" sqref="F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420</v>
      </c>
      <c r="I4" s="2" t="s">
        <v>4</v>
      </c>
    </row>
    <row r="5" spans="1:11" x14ac:dyDescent="0.25">
      <c r="D5" s="2" t="s">
        <v>1</v>
      </c>
      <c r="F5" t="s">
        <v>342</v>
      </c>
    </row>
    <row r="6" spans="1:11" x14ac:dyDescent="0.25">
      <c r="D6" s="2" t="s">
        <v>2</v>
      </c>
      <c r="F6" s="6">
        <v>42108</v>
      </c>
      <c r="H6" s="11"/>
    </row>
    <row r="7" spans="1:11" x14ac:dyDescent="0.25">
      <c r="D7" s="2" t="s">
        <v>3</v>
      </c>
      <c r="F7" s="5">
        <v>521000</v>
      </c>
      <c r="G7" s="2" t="s">
        <v>190</v>
      </c>
      <c r="H7" s="11"/>
    </row>
    <row r="8" spans="1:11" x14ac:dyDescent="0.25">
      <c r="D8" s="2" t="s">
        <v>18</v>
      </c>
      <c r="F8" s="5">
        <f>MIN(I23:I43)</f>
        <v>1840000</v>
      </c>
      <c r="H8" s="11"/>
    </row>
    <row r="9" spans="1:11" x14ac:dyDescent="0.25">
      <c r="D9" s="2" t="s">
        <v>67</v>
      </c>
      <c r="F9" s="4">
        <f>+F8-F7</f>
        <v>1319000</v>
      </c>
      <c r="G9" s="16">
        <f>+F9/F7</f>
        <v>2.5316698656429941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-1889333.3333333335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2410333.3333333335</v>
      </c>
      <c r="G12" s="14"/>
      <c r="H12" s="11">
        <f>COUNT(I23:I43)</f>
        <v>3</v>
      </c>
      <c r="I12" s="1" t="s">
        <v>31</v>
      </c>
      <c r="J12" s="4">
        <f>+F8*0.9</f>
        <v>1656000</v>
      </c>
      <c r="K12" s="1" t="s">
        <v>69</v>
      </c>
    </row>
    <row r="13" spans="1:11" x14ac:dyDescent="0.25">
      <c r="D13" s="2" t="s">
        <v>29</v>
      </c>
      <c r="F13" s="4">
        <f>MAX(I23:I43)-MIN(I23:I43)</f>
        <v>1710000</v>
      </c>
      <c r="G13" s="269">
        <f>MEDIAN(I23:I43)</f>
        <v>1841000</v>
      </c>
      <c r="H13" s="270"/>
      <c r="I13" s="1" t="s">
        <v>30</v>
      </c>
      <c r="J13" s="4">
        <f>+F12*1.1</f>
        <v>2651366.666666667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116</v>
      </c>
      <c r="E23" s="33"/>
      <c r="F23" t="s">
        <v>113</v>
      </c>
      <c r="G23" t="s">
        <v>25</v>
      </c>
      <c r="H23">
        <f>RANK(I23,I$23:I$43,1)</f>
        <v>1</v>
      </c>
      <c r="I23" s="4">
        <v>1840000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343</v>
      </c>
      <c r="E24" s="33"/>
      <c r="F24" t="s">
        <v>295</v>
      </c>
      <c r="G24" t="s">
        <v>25</v>
      </c>
      <c r="H24">
        <f>RANK(I24,I$23:I$43,1)</f>
        <v>2</v>
      </c>
      <c r="I24" s="4">
        <v>1841000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200</v>
      </c>
      <c r="E25" s="33"/>
      <c r="F25" t="s">
        <v>201</v>
      </c>
      <c r="G25" t="s">
        <v>25</v>
      </c>
      <c r="H25">
        <f>RANK(I25,I$23:I$43,1)</f>
        <v>3</v>
      </c>
      <c r="I25" s="4">
        <v>3550000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23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ref="C27:C43" si="0">IF(H27=1,"u","")</f>
        <v/>
      </c>
      <c r="D27" s="23"/>
      <c r="E27" s="33" t="str">
        <f t="shared" ref="E27:E43" si="1">IF(H27=1,"t","")</f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23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23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23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98" priority="10" operator="containsText" text="FAIL">
      <formula>NOT(ISERROR(SEARCH("FAIL",I9)))</formula>
    </cfRule>
  </conditionalFormatting>
  <conditionalFormatting sqref="I9">
    <cfRule type="containsText" dxfId="197" priority="9" operator="containsText" text="GOOD">
      <formula>NOT(ISERROR(SEARCH("GOOD",I9)))</formula>
    </cfRule>
  </conditionalFormatting>
  <conditionalFormatting sqref="F11">
    <cfRule type="containsText" dxfId="196" priority="8" operator="containsText" text="FAIL">
      <formula>NOT(ISERROR(SEARCH("FAIL",F11)))</formula>
    </cfRule>
  </conditionalFormatting>
  <conditionalFormatting sqref="F11">
    <cfRule type="containsText" dxfId="195" priority="7" operator="containsText" text="GOOD">
      <formula>NOT(ISERROR(SEARCH("GOOD",F11)))</formula>
    </cfRule>
  </conditionalFormatting>
  <conditionalFormatting sqref="D25">
    <cfRule type="expression" dxfId="194" priority="6" stopIfTrue="1">
      <formula>IF($H$25=1,0)</formula>
    </cfRule>
  </conditionalFormatting>
  <conditionalFormatting sqref="D23:D43">
    <cfRule type="expression" dxfId="193" priority="5">
      <formula>H23=1</formula>
    </cfRule>
  </conditionalFormatting>
  <conditionalFormatting sqref="C23:C43">
    <cfRule type="expression" dxfId="192" priority="4">
      <formula>H23=1</formula>
    </cfRule>
  </conditionalFormatting>
  <conditionalFormatting sqref="E23:E43">
    <cfRule type="expression" dxfId="191" priority="3">
      <formula>H23=1</formula>
    </cfRule>
  </conditionalFormatting>
  <conditionalFormatting sqref="F11">
    <cfRule type="containsText" dxfId="190" priority="2" operator="containsText" text="FAIL">
      <formula>NOT(ISERROR(SEARCH("FAIL",F11)))</formula>
    </cfRule>
  </conditionalFormatting>
  <conditionalFormatting sqref="F11">
    <cfRule type="containsText" dxfId="189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2:O47"/>
  <sheetViews>
    <sheetView workbookViewId="0">
      <selection activeCell="K32" sqref="K32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344</v>
      </c>
      <c r="I4" s="2" t="s">
        <v>4</v>
      </c>
    </row>
    <row r="5" spans="1:11" x14ac:dyDescent="0.25">
      <c r="D5" s="2" t="s">
        <v>1</v>
      </c>
      <c r="F5" t="s">
        <v>345</v>
      </c>
    </row>
    <row r="6" spans="1:11" x14ac:dyDescent="0.25">
      <c r="D6" s="2" t="s">
        <v>2</v>
      </c>
      <c r="F6" s="6">
        <v>42104</v>
      </c>
      <c r="H6" s="11"/>
    </row>
    <row r="7" spans="1:11" x14ac:dyDescent="0.25">
      <c r="D7" s="2" t="s">
        <v>3</v>
      </c>
      <c r="F7" s="5">
        <f>+I7+J7</f>
        <v>3760000</v>
      </c>
      <c r="G7" s="2" t="s">
        <v>34</v>
      </c>
      <c r="H7" s="11"/>
      <c r="I7" s="19">
        <v>177000</v>
      </c>
      <c r="J7" s="19">
        <v>3583000</v>
      </c>
    </row>
    <row r="8" spans="1:11" x14ac:dyDescent="0.25">
      <c r="D8" s="2" t="s">
        <v>18</v>
      </c>
      <c r="F8" s="5">
        <f>MIN(K23:K43)</f>
        <v>2999293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-760707</v>
      </c>
      <c r="G9" s="16">
        <f>+F9/F7</f>
        <v>-0.20231569148936171</v>
      </c>
      <c r="H9" s="12" t="s">
        <v>20</v>
      </c>
      <c r="I9" s="11" t="str">
        <f>(IF(G9&lt;-0.1,"FAIL",IF(G9&gt;0.05,"FAIL","GOOD")))</f>
        <v>FAIL</v>
      </c>
    </row>
    <row r="10" spans="1:11" x14ac:dyDescent="0.25">
      <c r="D10" s="2" t="s">
        <v>68</v>
      </c>
      <c r="F10" s="4">
        <f>+F7-F12</f>
        <v>-129035.29999999981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3889035.3</v>
      </c>
      <c r="G12" s="14"/>
      <c r="H12" s="11">
        <f>COUNT(K23:K43)</f>
        <v>10</v>
      </c>
      <c r="I12" s="1" t="s">
        <v>31</v>
      </c>
      <c r="J12" s="4">
        <f>+F8*0.9</f>
        <v>2699363.7</v>
      </c>
      <c r="K12" s="1" t="s">
        <v>69</v>
      </c>
    </row>
    <row r="13" spans="1:11" x14ac:dyDescent="0.25">
      <c r="D13" s="2" t="s">
        <v>29</v>
      </c>
      <c r="F13" s="4">
        <f>MAX(K23:K43)-MIN(K23:K43)</f>
        <v>2730707</v>
      </c>
      <c r="G13" s="269">
        <f>MEDIAN(K23:K43)</f>
        <v>3368414.5</v>
      </c>
      <c r="H13" s="270"/>
      <c r="I13" s="1" t="s">
        <v>30</v>
      </c>
      <c r="J13" s="4">
        <f>+F12*1.1</f>
        <v>4277938.83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262</v>
      </c>
      <c r="E23" s="33"/>
      <c r="F23" t="s">
        <v>161</v>
      </c>
      <c r="G23" t="s">
        <v>93</v>
      </c>
      <c r="H23">
        <f>RANK(K23,K$23:K$43,1)</f>
        <v>1</v>
      </c>
      <c r="I23" s="4">
        <v>187500</v>
      </c>
      <c r="J23" s="4">
        <v>2811793</v>
      </c>
      <c r="K23" s="4">
        <f>+J23+I23</f>
        <v>2999293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346</v>
      </c>
      <c r="E24" s="33"/>
      <c r="F24" t="s">
        <v>261</v>
      </c>
      <c r="G24" t="s">
        <v>93</v>
      </c>
      <c r="H24">
        <f t="shared" ref="H24:H32" si="0">RANK(K24,K$23:K$43,1)</f>
        <v>2</v>
      </c>
      <c r="I24" s="4">
        <v>200000</v>
      </c>
      <c r="J24" s="4">
        <v>2823651</v>
      </c>
      <c r="K24" s="4">
        <f t="shared" ref="K24:K32" si="1">+J24+I24</f>
        <v>3023651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347</v>
      </c>
      <c r="E25" s="33"/>
      <c r="F25" t="s">
        <v>147</v>
      </c>
      <c r="G25" t="s">
        <v>93</v>
      </c>
      <c r="H25">
        <f t="shared" si="0"/>
        <v>3</v>
      </c>
      <c r="I25" s="4">
        <v>200000</v>
      </c>
      <c r="J25" s="4">
        <v>2973135</v>
      </c>
      <c r="K25" s="4">
        <f t="shared" si="1"/>
        <v>3173135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23" t="s">
        <v>348</v>
      </c>
      <c r="E26" s="33"/>
      <c r="F26" t="s">
        <v>159</v>
      </c>
      <c r="G26" t="s">
        <v>93</v>
      </c>
      <c r="H26">
        <f t="shared" si="0"/>
        <v>4</v>
      </c>
      <c r="I26" s="4">
        <v>162500</v>
      </c>
      <c r="J26" s="4">
        <v>3100000</v>
      </c>
      <c r="K26" s="4">
        <f t="shared" si="1"/>
        <v>3262500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23" t="s">
        <v>207</v>
      </c>
      <c r="E27" s="33"/>
      <c r="F27" t="s">
        <v>208</v>
      </c>
      <c r="G27" t="s">
        <v>93</v>
      </c>
      <c r="H27">
        <f t="shared" si="0"/>
        <v>5</v>
      </c>
      <c r="I27" s="4">
        <v>142500</v>
      </c>
      <c r="J27" s="4">
        <v>3207329</v>
      </c>
      <c r="K27" s="4">
        <f t="shared" si="1"/>
        <v>3349829</v>
      </c>
      <c r="L27" s="4"/>
      <c r="M27" s="22"/>
      <c r="N27" s="22"/>
      <c r="O27" s="22"/>
    </row>
    <row r="28" spans="3:15" x14ac:dyDescent="0.25">
      <c r="C28" s="33" t="str">
        <f t="shared" si="2"/>
        <v/>
      </c>
      <c r="D28" s="23" t="s">
        <v>98</v>
      </c>
      <c r="E28" s="33"/>
      <c r="F28" t="s">
        <v>95</v>
      </c>
      <c r="G28" t="s">
        <v>93</v>
      </c>
      <c r="H28">
        <f t="shared" si="0"/>
        <v>6</v>
      </c>
      <c r="I28" s="4">
        <v>152500</v>
      </c>
      <c r="J28" s="4">
        <v>3234500</v>
      </c>
      <c r="K28" s="4">
        <f t="shared" si="1"/>
        <v>3387000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23" t="s">
        <v>99</v>
      </c>
      <c r="E29" s="33"/>
      <c r="F29" t="s">
        <v>100</v>
      </c>
      <c r="G29" t="s">
        <v>93</v>
      </c>
      <c r="H29">
        <f t="shared" si="0"/>
        <v>7</v>
      </c>
      <c r="I29" s="4">
        <v>187500</v>
      </c>
      <c r="J29" s="4">
        <v>3934150</v>
      </c>
      <c r="K29" s="4">
        <f t="shared" si="1"/>
        <v>4121650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23" t="s">
        <v>349</v>
      </c>
      <c r="E30" s="33"/>
      <c r="F30" t="s">
        <v>350</v>
      </c>
      <c r="G30" t="s">
        <v>93</v>
      </c>
      <c r="H30">
        <f t="shared" si="0"/>
        <v>8</v>
      </c>
      <c r="I30" s="4">
        <v>212500</v>
      </c>
      <c r="J30" s="4">
        <v>4185345</v>
      </c>
      <c r="K30" s="4">
        <f t="shared" si="1"/>
        <v>4397845</v>
      </c>
      <c r="L30" s="4"/>
      <c r="M30" s="22"/>
      <c r="N30" s="22"/>
      <c r="O30" s="22"/>
    </row>
    <row r="31" spans="3:15" x14ac:dyDescent="0.25">
      <c r="C31" s="33" t="str">
        <f t="shared" si="2"/>
        <v/>
      </c>
      <c r="D31" s="23" t="s">
        <v>351</v>
      </c>
      <c r="E31" s="33"/>
      <c r="F31" t="s">
        <v>264</v>
      </c>
      <c r="G31" t="s">
        <v>93</v>
      </c>
      <c r="H31">
        <f t="shared" si="0"/>
        <v>9</v>
      </c>
      <c r="I31" s="4">
        <v>300000</v>
      </c>
      <c r="J31" s="4">
        <v>5145450</v>
      </c>
      <c r="K31" s="4">
        <f t="shared" si="1"/>
        <v>5445450</v>
      </c>
      <c r="L31" s="4"/>
      <c r="M31" s="22"/>
      <c r="N31" s="22"/>
      <c r="O31" s="22"/>
    </row>
    <row r="32" spans="3:15" x14ac:dyDescent="0.25">
      <c r="C32" s="33" t="str">
        <f t="shared" si="2"/>
        <v/>
      </c>
      <c r="D32" s="23" t="s">
        <v>202</v>
      </c>
      <c r="E32" s="33"/>
      <c r="F32" t="s">
        <v>203</v>
      </c>
      <c r="G32" t="s">
        <v>204</v>
      </c>
      <c r="H32">
        <f t="shared" si="0"/>
        <v>10</v>
      </c>
      <c r="I32" s="4">
        <v>250000</v>
      </c>
      <c r="J32" s="4">
        <v>5480000</v>
      </c>
      <c r="K32" s="4">
        <f t="shared" si="1"/>
        <v>5730000</v>
      </c>
      <c r="L32" s="4"/>
      <c r="M32" s="22"/>
      <c r="N32" s="22"/>
      <c r="O32" s="22"/>
    </row>
    <row r="33" spans="3:15" x14ac:dyDescent="0.25">
      <c r="C33" s="33"/>
      <c r="D33" s="23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2"/>
        <v/>
      </c>
      <c r="D34" s="23"/>
      <c r="E34" s="33" t="str">
        <f t="shared" ref="E34:E43" si="3">IF(H34=1,"t","")</f>
        <v/>
      </c>
      <c r="K34" s="4"/>
      <c r="M34" s="21"/>
      <c r="N34" s="21"/>
      <c r="O34" s="21"/>
    </row>
    <row r="35" spans="3:15" x14ac:dyDescent="0.25">
      <c r="C35" s="33" t="str">
        <f t="shared" si="2"/>
        <v/>
      </c>
      <c r="D35" s="23"/>
      <c r="E35" s="33" t="str">
        <f t="shared" si="3"/>
        <v/>
      </c>
      <c r="K35" s="4"/>
      <c r="M35" s="21"/>
      <c r="N35" s="21"/>
      <c r="O35" s="21"/>
    </row>
    <row r="36" spans="3:15" x14ac:dyDescent="0.25">
      <c r="C36" s="33" t="str">
        <f t="shared" si="2"/>
        <v/>
      </c>
      <c r="D36" s="23"/>
      <c r="E36" s="33" t="str">
        <f t="shared" si="3"/>
        <v/>
      </c>
      <c r="K36" s="4"/>
      <c r="M36" s="21"/>
      <c r="N36" s="21"/>
      <c r="O36" s="21"/>
    </row>
    <row r="37" spans="3:15" x14ac:dyDescent="0.25">
      <c r="C37" s="33" t="str">
        <f t="shared" si="2"/>
        <v/>
      </c>
      <c r="D37" s="23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88" priority="19" operator="containsText" text="FAIL">
      <formula>NOT(ISERROR(SEARCH("FAIL",I9)))</formula>
    </cfRule>
  </conditionalFormatting>
  <conditionalFormatting sqref="I9">
    <cfRule type="containsText" dxfId="187" priority="18" operator="containsText" text="GOOD">
      <formula>NOT(ISERROR(SEARCH("GOOD",I9)))</formula>
    </cfRule>
  </conditionalFormatting>
  <conditionalFormatting sqref="I9">
    <cfRule type="containsText" dxfId="186" priority="17" operator="containsText" text="FAIL">
      <formula>NOT(ISERROR(SEARCH("FAIL",I9)))</formula>
    </cfRule>
  </conditionalFormatting>
  <conditionalFormatting sqref="I9">
    <cfRule type="containsText" dxfId="185" priority="16" operator="containsText" text="GOOD">
      <formula>NOT(ISERROR(SEARCH("GOOD",I9)))</formula>
    </cfRule>
  </conditionalFormatting>
  <conditionalFormatting sqref="I9">
    <cfRule type="containsText" dxfId="184" priority="15" operator="containsText" text="FAIL">
      <formula>NOT(ISERROR(SEARCH("FAIL",I9)))</formula>
    </cfRule>
  </conditionalFormatting>
  <conditionalFormatting sqref="I9">
    <cfRule type="containsText" dxfId="183" priority="14" operator="containsText" text="GOOD">
      <formula>NOT(ISERROR(SEARCH("GOOD",I9)))</formula>
    </cfRule>
  </conditionalFormatting>
  <conditionalFormatting sqref="F11">
    <cfRule type="containsText" dxfId="182" priority="13" operator="containsText" text="FAIL">
      <formula>NOT(ISERROR(SEARCH("FAIL",F11)))</formula>
    </cfRule>
  </conditionalFormatting>
  <conditionalFormatting sqref="F11">
    <cfRule type="containsText" dxfId="181" priority="12" operator="containsText" text="GOOD">
      <formula>NOT(ISERROR(SEARCH("GOOD",F11)))</formula>
    </cfRule>
  </conditionalFormatting>
  <conditionalFormatting sqref="I9">
    <cfRule type="containsText" dxfId="180" priority="11" operator="containsText" text="FAIL">
      <formula>NOT(ISERROR(SEARCH("FAIL",I9)))</formula>
    </cfRule>
  </conditionalFormatting>
  <conditionalFormatting sqref="I9">
    <cfRule type="containsText" dxfId="179" priority="10" operator="containsText" text="GOOD">
      <formula>NOT(ISERROR(SEARCH("GOOD",I9)))</formula>
    </cfRule>
  </conditionalFormatting>
  <conditionalFormatting sqref="F11">
    <cfRule type="containsText" dxfId="178" priority="9" operator="containsText" text="FAIL">
      <formula>NOT(ISERROR(SEARCH("FAIL",F11)))</formula>
    </cfRule>
  </conditionalFormatting>
  <conditionalFormatting sqref="F11">
    <cfRule type="containsText" dxfId="177" priority="8" operator="containsText" text="GOOD">
      <formula>NOT(ISERROR(SEARCH("GOOD",F11)))</formula>
    </cfRule>
  </conditionalFormatting>
  <conditionalFormatting sqref="D25">
    <cfRule type="expression" dxfId="176" priority="7" stopIfTrue="1">
      <formula>IF($H$25=1,0)</formula>
    </cfRule>
  </conditionalFormatting>
  <conditionalFormatting sqref="D23:D43">
    <cfRule type="expression" dxfId="175" priority="6">
      <formula>H23=1</formula>
    </cfRule>
  </conditionalFormatting>
  <conditionalFormatting sqref="C23:C43">
    <cfRule type="expression" dxfId="174" priority="5">
      <formula>H23=1</formula>
    </cfRule>
  </conditionalFormatting>
  <conditionalFormatting sqref="E23:E43">
    <cfRule type="expression" dxfId="173" priority="4">
      <formula>H23=1</formula>
    </cfRule>
  </conditionalFormatting>
  <conditionalFormatting sqref="E23:E43">
    <cfRule type="expression" dxfId="172" priority="3">
      <formula>H23=1</formula>
    </cfRule>
  </conditionalFormatting>
  <conditionalFormatting sqref="F11">
    <cfRule type="containsText" dxfId="171" priority="2" operator="containsText" text="FAIL">
      <formula>NOT(ISERROR(SEARCH("FAIL",F11)))</formula>
    </cfRule>
  </conditionalFormatting>
  <conditionalFormatting sqref="F11">
    <cfRule type="containsText" dxfId="170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2:O47"/>
  <sheetViews>
    <sheetView workbookViewId="0">
      <selection activeCell="F5" sqref="F5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421</v>
      </c>
      <c r="I4" s="2" t="s">
        <v>4</v>
      </c>
    </row>
    <row r="5" spans="1:11" x14ac:dyDescent="0.25">
      <c r="D5" s="2" t="s">
        <v>1</v>
      </c>
      <c r="F5" t="s">
        <v>352</v>
      </c>
    </row>
    <row r="6" spans="1:11" x14ac:dyDescent="0.25">
      <c r="D6" s="2" t="s">
        <v>2</v>
      </c>
      <c r="F6" s="6">
        <v>42104</v>
      </c>
      <c r="H6" s="11"/>
    </row>
    <row r="7" spans="1:11" x14ac:dyDescent="0.25">
      <c r="D7" s="2" t="s">
        <v>3</v>
      </c>
      <c r="F7" s="5">
        <f>+I7+J7</f>
        <v>1770000</v>
      </c>
      <c r="G7" s="2" t="s">
        <v>34</v>
      </c>
      <c r="H7" s="11"/>
      <c r="I7" s="19">
        <v>49000</v>
      </c>
      <c r="J7" s="19">
        <v>1721000</v>
      </c>
    </row>
    <row r="8" spans="1:11" x14ac:dyDescent="0.25">
      <c r="D8" s="2" t="s">
        <v>18</v>
      </c>
      <c r="F8" s="5">
        <f>MIN(K23:K43)</f>
        <v>1397380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-372620</v>
      </c>
      <c r="G9" s="16">
        <f>+F9/F7</f>
        <v>-0.21051977401129943</v>
      </c>
      <c r="H9" s="12" t="s">
        <v>20</v>
      </c>
      <c r="I9" s="11" t="str">
        <f>(IF(G9&lt;-0.1,"FAIL",IF(G9&gt;0.05,"FAIL","GOOD")))</f>
        <v>FAIL</v>
      </c>
    </row>
    <row r="10" spans="1:11" x14ac:dyDescent="0.25">
      <c r="D10" s="2" t="s">
        <v>68</v>
      </c>
      <c r="F10" s="4">
        <f>+F7-F12</f>
        <v>-278375.49099999992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2048375.4909999999</v>
      </c>
      <c r="G12" s="14"/>
      <c r="H12" s="11">
        <f>COUNT(K23:K43)</f>
        <v>10</v>
      </c>
      <c r="I12" s="1" t="s">
        <v>31</v>
      </c>
      <c r="J12" s="4">
        <f>+F8*0.9</f>
        <v>1257642</v>
      </c>
      <c r="K12" s="1" t="s">
        <v>69</v>
      </c>
    </row>
    <row r="13" spans="1:11" x14ac:dyDescent="0.25">
      <c r="D13" s="2" t="s">
        <v>29</v>
      </c>
      <c r="F13" s="4">
        <f>MAX(K23:K43)-MIN(K23:K43)</f>
        <v>2147620</v>
      </c>
      <c r="G13" s="269">
        <f>MEDIAN(K23:K43)</f>
        <v>1848970.9550000001</v>
      </c>
      <c r="H13" s="270"/>
      <c r="I13" s="1" t="s">
        <v>30</v>
      </c>
      <c r="J13" s="4">
        <f>+F12*1.1</f>
        <v>2253213.0400999999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260</v>
      </c>
      <c r="E23" s="33"/>
      <c r="F23" t="s">
        <v>261</v>
      </c>
      <c r="G23" t="s">
        <v>93</v>
      </c>
      <c r="H23">
        <f>RANK(K23,K$23:K$43,1)</f>
        <v>1</v>
      </c>
      <c r="I23" s="4">
        <v>71250</v>
      </c>
      <c r="J23" s="4">
        <v>1326130</v>
      </c>
      <c r="K23" s="4">
        <f>+J23+I23</f>
        <v>1397380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262</v>
      </c>
      <c r="E24" s="33"/>
      <c r="F24" t="s">
        <v>161</v>
      </c>
      <c r="G24" t="s">
        <v>93</v>
      </c>
      <c r="H24">
        <f t="shared" ref="H24:H32" si="0">RANK(K24,K$23:K$43,1)</f>
        <v>2</v>
      </c>
      <c r="I24" s="4">
        <v>56250</v>
      </c>
      <c r="J24" s="4">
        <v>1477865</v>
      </c>
      <c r="K24" s="4">
        <f t="shared" ref="K24:K32" si="1">+J24+I24</f>
        <v>1534115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99</v>
      </c>
      <c r="E25" s="33"/>
      <c r="F25" t="s">
        <v>100</v>
      </c>
      <c r="G25" t="s">
        <v>93</v>
      </c>
      <c r="H25">
        <f t="shared" si="0"/>
        <v>3</v>
      </c>
      <c r="I25" s="4">
        <v>75000</v>
      </c>
      <c r="J25" s="4">
        <v>1594730</v>
      </c>
      <c r="K25" s="4">
        <f t="shared" si="1"/>
        <v>1669730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/>
      </c>
      <c r="D26" s="23" t="s">
        <v>207</v>
      </c>
      <c r="E26" s="33"/>
      <c r="F26" t="s">
        <v>208</v>
      </c>
      <c r="G26" t="s">
        <v>93</v>
      </c>
      <c r="H26">
        <f t="shared" si="0"/>
        <v>4</v>
      </c>
      <c r="I26" s="4">
        <v>42750</v>
      </c>
      <c r="J26" s="4">
        <v>1647477</v>
      </c>
      <c r="K26" s="4">
        <f t="shared" si="1"/>
        <v>1690227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23" t="s">
        <v>353</v>
      </c>
      <c r="E27" s="33"/>
      <c r="F27" t="s">
        <v>282</v>
      </c>
      <c r="G27" t="s">
        <v>93</v>
      </c>
      <c r="H27">
        <f t="shared" si="0"/>
        <v>5</v>
      </c>
      <c r="I27" s="4">
        <v>48750</v>
      </c>
      <c r="J27" s="4">
        <v>1730000</v>
      </c>
      <c r="K27" s="4">
        <f t="shared" si="1"/>
        <v>1778750</v>
      </c>
      <c r="L27" s="4"/>
      <c r="M27" s="22"/>
      <c r="N27" s="22"/>
      <c r="O27" s="22"/>
    </row>
    <row r="28" spans="3:15" x14ac:dyDescent="0.25">
      <c r="C28" s="33" t="str">
        <f t="shared" si="2"/>
        <v/>
      </c>
      <c r="D28" s="23" t="s">
        <v>146</v>
      </c>
      <c r="E28" s="33"/>
      <c r="F28" t="s">
        <v>354</v>
      </c>
      <c r="G28" t="s">
        <v>355</v>
      </c>
      <c r="H28">
        <f t="shared" si="0"/>
        <v>6</v>
      </c>
      <c r="I28" s="4">
        <v>1844191.91</v>
      </c>
      <c r="J28" s="4">
        <v>75000</v>
      </c>
      <c r="K28" s="4">
        <f t="shared" si="1"/>
        <v>1919191.91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23" t="s">
        <v>356</v>
      </c>
      <c r="E29" s="33"/>
      <c r="F29" t="s">
        <v>203</v>
      </c>
      <c r="G29" t="s">
        <v>204</v>
      </c>
      <c r="H29">
        <f t="shared" si="0"/>
        <v>7</v>
      </c>
      <c r="I29" s="4">
        <v>45750</v>
      </c>
      <c r="J29" s="4">
        <v>1901250</v>
      </c>
      <c r="K29" s="4">
        <f t="shared" si="1"/>
        <v>1947000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23" t="s">
        <v>357</v>
      </c>
      <c r="E30" s="33"/>
      <c r="F30" t="s">
        <v>264</v>
      </c>
      <c r="G30" t="s">
        <v>93</v>
      </c>
      <c r="H30">
        <f t="shared" si="0"/>
        <v>8</v>
      </c>
      <c r="I30" s="4">
        <v>2384680</v>
      </c>
      <c r="J30" s="4">
        <v>90000</v>
      </c>
      <c r="K30" s="4">
        <f t="shared" si="1"/>
        <v>2474680</v>
      </c>
      <c r="L30" s="4"/>
      <c r="M30" s="22"/>
      <c r="N30" s="22"/>
      <c r="O30" s="22"/>
    </row>
    <row r="31" spans="3:15" x14ac:dyDescent="0.25">
      <c r="C31" s="33" t="str">
        <f t="shared" si="2"/>
        <v/>
      </c>
      <c r="D31" s="23" t="s">
        <v>205</v>
      </c>
      <c r="E31" s="33"/>
      <c r="F31" t="s">
        <v>161</v>
      </c>
      <c r="G31" t="s">
        <v>93</v>
      </c>
      <c r="H31">
        <f t="shared" si="0"/>
        <v>9</v>
      </c>
      <c r="I31" s="4">
        <v>60000</v>
      </c>
      <c r="J31" s="4">
        <v>2467681</v>
      </c>
      <c r="K31" s="4">
        <f t="shared" si="1"/>
        <v>2527681</v>
      </c>
      <c r="L31" s="4"/>
      <c r="M31" s="22"/>
      <c r="N31" s="22"/>
      <c r="O31" s="22"/>
    </row>
    <row r="32" spans="3:15" x14ac:dyDescent="0.25">
      <c r="C32" s="33" t="str">
        <f t="shared" si="2"/>
        <v/>
      </c>
      <c r="D32" s="23" t="s">
        <v>202</v>
      </c>
      <c r="E32" s="33"/>
      <c r="F32" t="s">
        <v>203</v>
      </c>
      <c r="G32" t="s">
        <v>204</v>
      </c>
      <c r="H32">
        <f t="shared" si="0"/>
        <v>10</v>
      </c>
      <c r="I32" s="4">
        <v>75000</v>
      </c>
      <c r="J32" s="4">
        <v>3470000</v>
      </c>
      <c r="K32" s="4">
        <f t="shared" si="1"/>
        <v>3545000</v>
      </c>
      <c r="L32" s="4"/>
      <c r="M32" s="22"/>
      <c r="N32" s="22"/>
      <c r="O32" s="22"/>
    </row>
    <row r="33" spans="3:15" x14ac:dyDescent="0.25">
      <c r="C33" s="33"/>
      <c r="D33" s="23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si="2"/>
        <v/>
      </c>
      <c r="D34" s="23"/>
      <c r="E34" s="33" t="str">
        <f t="shared" ref="E34:E43" si="3">IF(H34=1,"t","")</f>
        <v/>
      </c>
      <c r="K34" s="4"/>
      <c r="M34" s="21"/>
      <c r="N34" s="21"/>
      <c r="O34" s="21"/>
    </row>
    <row r="35" spans="3:15" x14ac:dyDescent="0.25">
      <c r="C35" s="33" t="str">
        <f t="shared" si="2"/>
        <v/>
      </c>
      <c r="D35" s="23"/>
      <c r="E35" s="33" t="str">
        <f t="shared" si="3"/>
        <v/>
      </c>
      <c r="K35" s="4"/>
      <c r="M35" s="21"/>
      <c r="N35" s="21"/>
      <c r="O35" s="21"/>
    </row>
    <row r="36" spans="3:15" x14ac:dyDescent="0.25">
      <c r="C36" s="33" t="str">
        <f t="shared" si="2"/>
        <v/>
      </c>
      <c r="D36" s="23"/>
      <c r="E36" s="33" t="str">
        <f t="shared" si="3"/>
        <v/>
      </c>
      <c r="K36" s="4"/>
      <c r="M36" s="21"/>
      <c r="N36" s="21"/>
      <c r="O36" s="21"/>
    </row>
    <row r="37" spans="3:15" x14ac:dyDescent="0.25">
      <c r="C37" s="33" t="str">
        <f t="shared" si="2"/>
        <v/>
      </c>
      <c r="D37" s="23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69" priority="19" operator="containsText" text="FAIL">
      <formula>NOT(ISERROR(SEARCH("FAIL",I9)))</formula>
    </cfRule>
  </conditionalFormatting>
  <conditionalFormatting sqref="I9">
    <cfRule type="containsText" dxfId="168" priority="18" operator="containsText" text="GOOD">
      <formula>NOT(ISERROR(SEARCH("GOOD",I9)))</formula>
    </cfRule>
  </conditionalFormatting>
  <conditionalFormatting sqref="I9">
    <cfRule type="containsText" dxfId="167" priority="17" operator="containsText" text="FAIL">
      <formula>NOT(ISERROR(SEARCH("FAIL",I9)))</formula>
    </cfRule>
  </conditionalFormatting>
  <conditionalFormatting sqref="I9">
    <cfRule type="containsText" dxfId="166" priority="16" operator="containsText" text="GOOD">
      <formula>NOT(ISERROR(SEARCH("GOOD",I9)))</formula>
    </cfRule>
  </conditionalFormatting>
  <conditionalFormatting sqref="I9">
    <cfRule type="containsText" dxfId="165" priority="15" operator="containsText" text="FAIL">
      <formula>NOT(ISERROR(SEARCH("FAIL",I9)))</formula>
    </cfRule>
  </conditionalFormatting>
  <conditionalFormatting sqref="I9">
    <cfRule type="containsText" dxfId="164" priority="14" operator="containsText" text="GOOD">
      <formula>NOT(ISERROR(SEARCH("GOOD",I9)))</formula>
    </cfRule>
  </conditionalFormatting>
  <conditionalFormatting sqref="F11">
    <cfRule type="containsText" dxfId="163" priority="13" operator="containsText" text="FAIL">
      <formula>NOT(ISERROR(SEARCH("FAIL",F11)))</formula>
    </cfRule>
  </conditionalFormatting>
  <conditionalFormatting sqref="F11">
    <cfRule type="containsText" dxfId="162" priority="12" operator="containsText" text="GOOD">
      <formula>NOT(ISERROR(SEARCH("GOOD",F11)))</formula>
    </cfRule>
  </conditionalFormatting>
  <conditionalFormatting sqref="I9">
    <cfRule type="containsText" dxfId="161" priority="11" operator="containsText" text="FAIL">
      <formula>NOT(ISERROR(SEARCH("FAIL",I9)))</formula>
    </cfRule>
  </conditionalFormatting>
  <conditionalFormatting sqref="I9">
    <cfRule type="containsText" dxfId="160" priority="10" operator="containsText" text="GOOD">
      <formula>NOT(ISERROR(SEARCH("GOOD",I9)))</formula>
    </cfRule>
  </conditionalFormatting>
  <conditionalFormatting sqref="F11">
    <cfRule type="containsText" dxfId="159" priority="9" operator="containsText" text="FAIL">
      <formula>NOT(ISERROR(SEARCH("FAIL",F11)))</formula>
    </cfRule>
  </conditionalFormatting>
  <conditionalFormatting sqref="F11">
    <cfRule type="containsText" dxfId="158" priority="8" operator="containsText" text="GOOD">
      <formula>NOT(ISERROR(SEARCH("GOOD",F11)))</formula>
    </cfRule>
  </conditionalFormatting>
  <conditionalFormatting sqref="D25">
    <cfRule type="expression" dxfId="157" priority="7" stopIfTrue="1">
      <formula>IF($H$25=1,0)</formula>
    </cfRule>
  </conditionalFormatting>
  <conditionalFormatting sqref="D23:D43">
    <cfRule type="expression" dxfId="156" priority="6">
      <formula>H23=1</formula>
    </cfRule>
  </conditionalFormatting>
  <conditionalFormatting sqref="C23:C43">
    <cfRule type="expression" dxfId="155" priority="5">
      <formula>H23=1</formula>
    </cfRule>
  </conditionalFormatting>
  <conditionalFormatting sqref="E23:E43">
    <cfRule type="expression" dxfId="154" priority="4">
      <formula>H23=1</formula>
    </cfRule>
  </conditionalFormatting>
  <conditionalFormatting sqref="E23:E43">
    <cfRule type="expression" dxfId="153" priority="3">
      <formula>H23=1</formula>
    </cfRule>
  </conditionalFormatting>
  <conditionalFormatting sqref="F11">
    <cfRule type="containsText" dxfId="152" priority="2" operator="containsText" text="FAIL">
      <formula>NOT(ISERROR(SEARCH("FAIL",F11)))</formula>
    </cfRule>
  </conditionalFormatting>
  <conditionalFormatting sqref="F11">
    <cfRule type="containsText" dxfId="151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2:O47"/>
  <sheetViews>
    <sheetView workbookViewId="0">
      <selection activeCell="I29" sqref="I2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358</v>
      </c>
      <c r="I4" s="2" t="s">
        <v>4</v>
      </c>
      <c r="J4" t="s">
        <v>5</v>
      </c>
    </row>
    <row r="5" spans="1:11" x14ac:dyDescent="0.25">
      <c r="D5" s="2" t="s">
        <v>1</v>
      </c>
      <c r="F5" t="s">
        <v>359</v>
      </c>
    </row>
    <row r="6" spans="1:11" x14ac:dyDescent="0.25">
      <c r="D6" s="2" t="s">
        <v>2</v>
      </c>
      <c r="F6" s="6">
        <v>42103</v>
      </c>
      <c r="H6" s="11"/>
    </row>
    <row r="7" spans="1:11" x14ac:dyDescent="0.25">
      <c r="D7" s="2" t="s">
        <v>3</v>
      </c>
      <c r="F7" s="5">
        <v>1850000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2137550</v>
      </c>
      <c r="H8" s="11"/>
    </row>
    <row r="9" spans="1:11" x14ac:dyDescent="0.25">
      <c r="D9" s="2" t="s">
        <v>67</v>
      </c>
      <c r="F9" s="4">
        <f>+F8-F7</f>
        <v>287550</v>
      </c>
      <c r="G9" s="16">
        <f>+F9/F7</f>
        <v>0.15543243243243243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-2406180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4256180</v>
      </c>
      <c r="G12" s="14"/>
      <c r="H12" s="11">
        <f>COUNT(I23:I43)</f>
        <v>8</v>
      </c>
      <c r="I12" s="1" t="s">
        <v>31</v>
      </c>
      <c r="J12" s="4">
        <f>+F8*0.9</f>
        <v>1923795</v>
      </c>
      <c r="K12" s="1" t="s">
        <v>69</v>
      </c>
    </row>
    <row r="13" spans="1:11" x14ac:dyDescent="0.25">
      <c r="D13" s="2" t="s">
        <v>29</v>
      </c>
      <c r="F13" s="4">
        <f>MAX(I23:I43)-MIN(I23:I43)</f>
        <v>7609450</v>
      </c>
      <c r="G13" s="269">
        <f>MEDIAN(I23:I43)</f>
        <v>3842270</v>
      </c>
      <c r="H13" s="270"/>
      <c r="I13" s="1" t="s">
        <v>30</v>
      </c>
      <c r="J13" s="4">
        <f>+F12*1.1</f>
        <v>4681798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360</v>
      </c>
      <c r="E23" s="33"/>
      <c r="F23" t="s">
        <v>100</v>
      </c>
      <c r="G23" t="s">
        <v>93</v>
      </c>
      <c r="H23">
        <f>RANK(I23,I$23:I$43,1)</f>
        <v>1</v>
      </c>
      <c r="I23" s="4">
        <v>2137550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202</v>
      </c>
      <c r="E24" s="33"/>
      <c r="F24" t="s">
        <v>203</v>
      </c>
      <c r="G24" t="s">
        <v>204</v>
      </c>
      <c r="H24">
        <f t="shared" ref="H24:H30" si="0">RANK(I24,I$23:I$43,1)</f>
        <v>2</v>
      </c>
      <c r="I24" s="4">
        <v>2959000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361</v>
      </c>
      <c r="E25" s="33"/>
      <c r="F25" t="s">
        <v>362</v>
      </c>
      <c r="G25" t="s">
        <v>25</v>
      </c>
      <c r="H25">
        <f t="shared" si="0"/>
        <v>3</v>
      </c>
      <c r="I25" s="4">
        <v>3043700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23" t="s">
        <v>363</v>
      </c>
      <c r="E26" s="33"/>
      <c r="F26" t="s">
        <v>289</v>
      </c>
      <c r="G26" t="s">
        <v>93</v>
      </c>
      <c r="H26">
        <f t="shared" si="0"/>
        <v>4</v>
      </c>
      <c r="I26" s="4">
        <v>3842000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23" t="s">
        <v>364</v>
      </c>
      <c r="E27" s="33" t="str">
        <f t="shared" ref="E27:E43" si="2">IF(H27=1,"t","")</f>
        <v/>
      </c>
      <c r="F27" t="s">
        <v>181</v>
      </c>
      <c r="G27" t="s">
        <v>93</v>
      </c>
      <c r="H27">
        <f t="shared" si="0"/>
        <v>5</v>
      </c>
      <c r="I27" s="4">
        <v>3842540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23" t="s">
        <v>365</v>
      </c>
      <c r="E28" s="33" t="str">
        <f t="shared" si="2"/>
        <v/>
      </c>
      <c r="F28" t="s">
        <v>167</v>
      </c>
      <c r="G28" t="s">
        <v>93</v>
      </c>
      <c r="H28">
        <f t="shared" si="0"/>
        <v>6</v>
      </c>
      <c r="I28" s="4">
        <v>3898000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23" t="s">
        <v>366</v>
      </c>
      <c r="E29" s="33" t="str">
        <f t="shared" si="2"/>
        <v/>
      </c>
      <c r="F29" t="s">
        <v>147</v>
      </c>
      <c r="G29" t="s">
        <v>93</v>
      </c>
      <c r="H29">
        <f t="shared" si="0"/>
        <v>7</v>
      </c>
      <c r="I29" s="4">
        <v>4579650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23" t="s">
        <v>367</v>
      </c>
      <c r="E30" s="33" t="str">
        <f t="shared" si="2"/>
        <v/>
      </c>
      <c r="F30" t="s">
        <v>170</v>
      </c>
      <c r="G30" t="s">
        <v>93</v>
      </c>
      <c r="H30">
        <f t="shared" si="0"/>
        <v>8</v>
      </c>
      <c r="I30" s="4">
        <v>9747000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23"/>
      <c r="E31" s="33" t="str">
        <f t="shared" si="2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23"/>
      <c r="E32" s="33" t="str">
        <f t="shared" si="2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23"/>
      <c r="E33" s="33" t="str">
        <f t="shared" si="2"/>
        <v/>
      </c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si="2"/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50" priority="10" operator="containsText" text="FAIL">
      <formula>NOT(ISERROR(SEARCH("FAIL",I9)))</formula>
    </cfRule>
  </conditionalFormatting>
  <conditionalFormatting sqref="I9">
    <cfRule type="containsText" dxfId="149" priority="9" operator="containsText" text="GOOD">
      <formula>NOT(ISERROR(SEARCH("GOOD",I9)))</formula>
    </cfRule>
  </conditionalFormatting>
  <conditionalFormatting sqref="F11">
    <cfRule type="containsText" dxfId="148" priority="8" operator="containsText" text="FAIL">
      <formula>NOT(ISERROR(SEARCH("FAIL",F11)))</formula>
    </cfRule>
  </conditionalFormatting>
  <conditionalFormatting sqref="F11">
    <cfRule type="containsText" dxfId="147" priority="7" operator="containsText" text="GOOD">
      <formula>NOT(ISERROR(SEARCH("GOOD",F11)))</formula>
    </cfRule>
  </conditionalFormatting>
  <conditionalFormatting sqref="D25">
    <cfRule type="expression" dxfId="146" priority="6" stopIfTrue="1">
      <formula>IF($H$25=1,0)</formula>
    </cfRule>
  </conditionalFormatting>
  <conditionalFormatting sqref="D23:D43">
    <cfRule type="expression" dxfId="145" priority="5">
      <formula>H23=1</formula>
    </cfRule>
  </conditionalFormatting>
  <conditionalFormatting sqref="C23:C43">
    <cfRule type="expression" dxfId="144" priority="4">
      <formula>H23=1</formula>
    </cfRule>
  </conditionalFormatting>
  <conditionalFormatting sqref="E23:E43">
    <cfRule type="expression" dxfId="143" priority="3">
      <formula>H23=1</formula>
    </cfRule>
  </conditionalFormatting>
  <conditionalFormatting sqref="F11">
    <cfRule type="containsText" dxfId="142" priority="2" operator="containsText" text="FAIL">
      <formula>NOT(ISERROR(SEARCH("FAIL",F11)))</formula>
    </cfRule>
  </conditionalFormatting>
  <conditionalFormatting sqref="F11">
    <cfRule type="containsText" dxfId="141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2:O47"/>
  <sheetViews>
    <sheetView topLeftCell="A4" workbookViewId="0">
      <selection activeCell="I31" sqref="I31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368</v>
      </c>
      <c r="I4" s="2" t="s">
        <v>4</v>
      </c>
    </row>
    <row r="5" spans="1:11" x14ac:dyDescent="0.25">
      <c r="D5" s="2" t="s">
        <v>1</v>
      </c>
      <c r="F5" t="s">
        <v>369</v>
      </c>
    </row>
    <row r="6" spans="1:11" x14ac:dyDescent="0.25">
      <c r="D6" s="2" t="s">
        <v>2</v>
      </c>
      <c r="F6" s="6">
        <v>42102</v>
      </c>
      <c r="H6" s="11"/>
    </row>
    <row r="7" spans="1:11" x14ac:dyDescent="0.25">
      <c r="D7" s="2" t="s">
        <v>3</v>
      </c>
      <c r="F7" s="5">
        <v>4900000</v>
      </c>
      <c r="G7" s="2" t="s">
        <v>34</v>
      </c>
      <c r="H7" s="11"/>
    </row>
    <row r="8" spans="1:11" x14ac:dyDescent="0.25">
      <c r="D8" s="2" t="s">
        <v>18</v>
      </c>
      <c r="F8" s="5">
        <f>MIN(I23:I43)</f>
        <v>3388390</v>
      </c>
      <c r="H8" s="11"/>
    </row>
    <row r="9" spans="1:11" x14ac:dyDescent="0.25">
      <c r="D9" s="2" t="s">
        <v>67</v>
      </c>
      <c r="F9" s="4">
        <f>+F8-F7</f>
        <v>-1511610</v>
      </c>
      <c r="G9" s="16">
        <f>+F9/F7</f>
        <v>-0.30849183673469388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485704.66999999993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SUM(I23:I43)/H12</f>
        <v>4414295.33</v>
      </c>
      <c r="G12" s="14"/>
      <c r="H12" s="11">
        <f>COUNT(I23:I43)</f>
        <v>9</v>
      </c>
      <c r="I12" s="1" t="s">
        <v>31</v>
      </c>
      <c r="J12" s="4">
        <f>+F8*0.9</f>
        <v>3049551</v>
      </c>
      <c r="K12" s="1" t="s">
        <v>69</v>
      </c>
    </row>
    <row r="13" spans="1:11" x14ac:dyDescent="0.25">
      <c r="D13" s="2" t="s">
        <v>29</v>
      </c>
      <c r="F13" s="4">
        <f>MAX(I23:I43)-MIN(I23:I43)</f>
        <v>2030090.0899999999</v>
      </c>
      <c r="G13" s="269">
        <f>MEDIAN(I23:I43)</f>
        <v>4647500</v>
      </c>
      <c r="H13" s="270"/>
      <c r="I13" s="1" t="s">
        <v>30</v>
      </c>
      <c r="J13" s="4">
        <f>+F12*1.1</f>
        <v>4855724.8630000008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221</v>
      </c>
      <c r="E23" s="33"/>
      <c r="F23" t="s">
        <v>161</v>
      </c>
      <c r="G23" t="s">
        <v>93</v>
      </c>
      <c r="H23">
        <f>RANK(I23,I$23:I$43,1)</f>
        <v>1</v>
      </c>
      <c r="I23" s="4">
        <v>3388390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357</v>
      </c>
      <c r="E24" s="33"/>
      <c r="F24" t="s">
        <v>264</v>
      </c>
      <c r="G24" t="s">
        <v>93</v>
      </c>
      <c r="H24">
        <f t="shared" ref="H24:H31" si="0">RANK(I24,I$23:I$43,1)</f>
        <v>2</v>
      </c>
      <c r="I24" s="4">
        <v>3460545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99</v>
      </c>
      <c r="E25" s="33"/>
      <c r="F25" t="s">
        <v>100</v>
      </c>
      <c r="G25" t="s">
        <v>93</v>
      </c>
      <c r="H25">
        <f t="shared" si="0"/>
        <v>3</v>
      </c>
      <c r="I25" s="4">
        <v>3840139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23" t="s">
        <v>348</v>
      </c>
      <c r="E26" s="33"/>
      <c r="F26" t="s">
        <v>282</v>
      </c>
      <c r="G26" t="s">
        <v>93</v>
      </c>
      <c r="H26">
        <f t="shared" si="0"/>
        <v>4</v>
      </c>
      <c r="I26" s="4">
        <v>4084460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23" t="s">
        <v>370</v>
      </c>
      <c r="E27" s="33" t="str">
        <f t="shared" ref="E27:E43" si="2">IF(H27=1,"t","")</f>
        <v/>
      </c>
      <c r="F27" t="s">
        <v>354</v>
      </c>
      <c r="G27" t="s">
        <v>355</v>
      </c>
      <c r="H27">
        <f t="shared" si="0"/>
        <v>5</v>
      </c>
      <c r="I27" s="4">
        <v>4647500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23" t="s">
        <v>98</v>
      </c>
      <c r="E28" s="33" t="str">
        <f t="shared" si="2"/>
        <v/>
      </c>
      <c r="F28" t="s">
        <v>95</v>
      </c>
      <c r="G28" t="s">
        <v>93</v>
      </c>
      <c r="H28">
        <f t="shared" si="0"/>
        <v>6</v>
      </c>
      <c r="I28" s="4">
        <v>4757000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23" t="s">
        <v>347</v>
      </c>
      <c r="E29" s="33" t="str">
        <f t="shared" si="2"/>
        <v/>
      </c>
      <c r="F29" t="s">
        <v>147</v>
      </c>
      <c r="G29" t="s">
        <v>93</v>
      </c>
      <c r="H29">
        <f t="shared" si="0"/>
        <v>7</v>
      </c>
      <c r="I29" s="4">
        <v>4888888.88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23" t="s">
        <v>371</v>
      </c>
      <c r="E30" s="33"/>
      <c r="F30" t="s">
        <v>240</v>
      </c>
      <c r="G30" t="s">
        <v>93</v>
      </c>
      <c r="H30">
        <f t="shared" si="0"/>
        <v>8</v>
      </c>
      <c r="I30" s="4">
        <v>5243255</v>
      </c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23" t="s">
        <v>349</v>
      </c>
      <c r="E31" s="33" t="str">
        <f t="shared" si="2"/>
        <v/>
      </c>
      <c r="F31" t="s">
        <v>350</v>
      </c>
      <c r="G31" t="s">
        <v>93</v>
      </c>
      <c r="H31">
        <f t="shared" si="0"/>
        <v>9</v>
      </c>
      <c r="I31" s="4">
        <v>5418480.0899999999</v>
      </c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23"/>
      <c r="E32" s="33" t="str">
        <f t="shared" si="2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23"/>
      <c r="E33" s="33" t="str">
        <f t="shared" si="2"/>
        <v/>
      </c>
      <c r="M33" s="21"/>
      <c r="N33" s="21"/>
      <c r="O33" s="21"/>
    </row>
    <row r="34" spans="3:15" x14ac:dyDescent="0.25">
      <c r="C34" s="33" t="str">
        <f t="shared" si="1"/>
        <v/>
      </c>
      <c r="D34" s="11"/>
      <c r="E34" s="33" t="str">
        <f t="shared" si="2"/>
        <v/>
      </c>
      <c r="M34" s="21"/>
      <c r="N34" s="21"/>
      <c r="O34" s="21"/>
    </row>
    <row r="35" spans="3:15" x14ac:dyDescent="0.25">
      <c r="C35" s="33" t="str">
        <f t="shared" si="1"/>
        <v/>
      </c>
      <c r="D35" s="11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40" priority="10" operator="containsText" text="FAIL">
      <formula>NOT(ISERROR(SEARCH("FAIL",I9)))</formula>
    </cfRule>
  </conditionalFormatting>
  <conditionalFormatting sqref="I9">
    <cfRule type="containsText" dxfId="139" priority="9" operator="containsText" text="GOOD">
      <formula>NOT(ISERROR(SEARCH("GOOD",I9)))</formula>
    </cfRule>
  </conditionalFormatting>
  <conditionalFormatting sqref="F11">
    <cfRule type="containsText" dxfId="138" priority="8" operator="containsText" text="FAIL">
      <formula>NOT(ISERROR(SEARCH("FAIL",F11)))</formula>
    </cfRule>
  </conditionalFormatting>
  <conditionalFormatting sqref="F11">
    <cfRule type="containsText" dxfId="137" priority="7" operator="containsText" text="GOOD">
      <formula>NOT(ISERROR(SEARCH("GOOD",F11)))</formula>
    </cfRule>
  </conditionalFormatting>
  <conditionalFormatting sqref="D25">
    <cfRule type="expression" dxfId="136" priority="6" stopIfTrue="1">
      <formula>IF($H$25=1,0)</formula>
    </cfRule>
  </conditionalFormatting>
  <conditionalFormatting sqref="D29:D43 D23:D27">
    <cfRule type="expression" dxfId="135" priority="5">
      <formula>H23=1</formula>
    </cfRule>
  </conditionalFormatting>
  <conditionalFormatting sqref="C23:C43">
    <cfRule type="expression" dxfId="134" priority="4">
      <formula>H23=1</formula>
    </cfRule>
  </conditionalFormatting>
  <conditionalFormatting sqref="E23:E43">
    <cfRule type="expression" dxfId="133" priority="3">
      <formula>H23=1</formula>
    </cfRule>
  </conditionalFormatting>
  <conditionalFormatting sqref="D28">
    <cfRule type="expression" dxfId="132" priority="17">
      <formula>H27=1</formula>
    </cfRule>
  </conditionalFormatting>
  <pageMargins left="0.7" right="0.7" top="0.75" bottom="0.75" header="0.3" footer="0.3"/>
  <pageSetup orientation="portrait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2:O47"/>
  <sheetViews>
    <sheetView topLeftCell="A4" workbookViewId="0">
      <selection activeCell="I29" sqref="I29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372</v>
      </c>
      <c r="I4" s="2" t="s">
        <v>4</v>
      </c>
    </row>
    <row r="5" spans="1:11" x14ac:dyDescent="0.25">
      <c r="D5" s="2" t="s">
        <v>1</v>
      </c>
      <c r="F5" t="s">
        <v>373</v>
      </c>
    </row>
    <row r="6" spans="1:11" x14ac:dyDescent="0.25">
      <c r="D6" s="2" t="s">
        <v>2</v>
      </c>
      <c r="F6" s="6">
        <v>42102</v>
      </c>
      <c r="H6" s="11"/>
    </row>
    <row r="7" spans="1:11" x14ac:dyDescent="0.25">
      <c r="D7" s="2" t="s">
        <v>3</v>
      </c>
      <c r="F7" s="5">
        <v>1300000</v>
      </c>
      <c r="G7" s="23" t="s">
        <v>374</v>
      </c>
      <c r="H7" s="11"/>
    </row>
    <row r="8" spans="1:11" x14ac:dyDescent="0.25">
      <c r="D8" s="2" t="s">
        <v>18</v>
      </c>
      <c r="F8" s="5">
        <f>MIN(I23:I43)</f>
        <v>878175</v>
      </c>
      <c r="H8" s="11"/>
    </row>
    <row r="9" spans="1:11" x14ac:dyDescent="0.25">
      <c r="D9" s="2" t="s">
        <v>67</v>
      </c>
      <c r="F9" s="4">
        <f>+F8-F7</f>
        <v>-421825</v>
      </c>
      <c r="G9" s="16">
        <f>+F9/F7</f>
        <v>-0.32448076923076924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-232892.55714285723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1532892.5571428572</v>
      </c>
      <c r="G12" s="14"/>
      <c r="H12" s="11">
        <f>COUNT(I23:I43)</f>
        <v>7</v>
      </c>
      <c r="I12" s="1" t="s">
        <v>31</v>
      </c>
      <c r="J12" s="4">
        <f>+F8*0.9</f>
        <v>790357.5</v>
      </c>
      <c r="K12" s="1" t="s">
        <v>69</v>
      </c>
    </row>
    <row r="13" spans="1:11" x14ac:dyDescent="0.25">
      <c r="D13" s="2" t="s">
        <v>29</v>
      </c>
      <c r="F13" s="4">
        <f>MAX(I23:I43)-MIN(I23:I43)</f>
        <v>1010625</v>
      </c>
      <c r="G13" s="269">
        <f>MEDIAN(I23:I43)</f>
        <v>1645367.9</v>
      </c>
      <c r="H13" s="270"/>
      <c r="I13" s="1" t="s">
        <v>30</v>
      </c>
      <c r="J13" s="4">
        <f>+F12*1.1</f>
        <v>1686181.8128571431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375</v>
      </c>
      <c r="E23" s="33"/>
      <c r="F23" t="s">
        <v>376</v>
      </c>
      <c r="G23" t="s">
        <v>93</v>
      </c>
      <c r="H23">
        <f>RANK(I23,I$23:I$43,1)</f>
        <v>1</v>
      </c>
      <c r="I23" s="4">
        <v>878175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377</v>
      </c>
      <c r="E24" s="33"/>
      <c r="F24" t="s">
        <v>113</v>
      </c>
      <c r="G24" t="s">
        <v>25</v>
      </c>
      <c r="H24">
        <f t="shared" ref="H24:H29" si="0">RANK(I24,I$23:I$43,1)</f>
        <v>2</v>
      </c>
      <c r="I24" s="4">
        <v>1321680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146</v>
      </c>
      <c r="E25" s="33"/>
      <c r="F25" t="s">
        <v>354</v>
      </c>
      <c r="G25" t="s">
        <v>355</v>
      </c>
      <c r="H25">
        <f t="shared" si="0"/>
        <v>3</v>
      </c>
      <c r="I25" s="4">
        <v>1493925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1">IF(H26=1,"u","")</f>
        <v/>
      </c>
      <c r="D26" s="23" t="s">
        <v>378</v>
      </c>
      <c r="E26" s="33"/>
      <c r="F26" t="s">
        <v>323</v>
      </c>
      <c r="G26" t="s">
        <v>25</v>
      </c>
      <c r="H26">
        <f t="shared" si="0"/>
        <v>4</v>
      </c>
      <c r="I26" s="4">
        <v>1645367.9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1"/>
        <v/>
      </c>
      <c r="D27" s="23" t="s">
        <v>379</v>
      </c>
      <c r="E27" s="33" t="str">
        <f t="shared" ref="E27:E43" si="2">IF(H27=1,"t","")</f>
        <v/>
      </c>
      <c r="F27" t="s">
        <v>380</v>
      </c>
      <c r="G27" t="s">
        <v>93</v>
      </c>
      <c r="H27">
        <f t="shared" si="0"/>
        <v>5</v>
      </c>
      <c r="I27" s="4">
        <v>1726800</v>
      </c>
      <c r="J27" s="4"/>
      <c r="K27" s="4"/>
      <c r="L27" s="4"/>
      <c r="M27" s="22"/>
      <c r="N27" s="22"/>
      <c r="O27" s="22"/>
    </row>
    <row r="28" spans="3:15" x14ac:dyDescent="0.25">
      <c r="C28" s="33" t="str">
        <f t="shared" si="1"/>
        <v/>
      </c>
      <c r="D28" s="23" t="s">
        <v>84</v>
      </c>
      <c r="E28" s="33" t="str">
        <f t="shared" si="2"/>
        <v/>
      </c>
      <c r="F28" t="s">
        <v>381</v>
      </c>
      <c r="G28" t="s">
        <v>93</v>
      </c>
      <c r="H28">
        <f t="shared" si="0"/>
        <v>6</v>
      </c>
      <c r="I28" s="4">
        <v>1775500</v>
      </c>
      <c r="J28" s="4"/>
      <c r="K28" s="4"/>
      <c r="L28" s="4"/>
      <c r="M28" s="22"/>
      <c r="N28" s="22"/>
      <c r="O28" s="22"/>
    </row>
    <row r="29" spans="3:15" x14ac:dyDescent="0.25">
      <c r="C29" s="33" t="str">
        <f t="shared" si="1"/>
        <v/>
      </c>
      <c r="D29" s="23" t="s">
        <v>382</v>
      </c>
      <c r="E29" s="33" t="str">
        <f t="shared" si="2"/>
        <v/>
      </c>
      <c r="F29" t="s">
        <v>131</v>
      </c>
      <c r="G29" t="s">
        <v>25</v>
      </c>
      <c r="H29">
        <f t="shared" si="0"/>
        <v>7</v>
      </c>
      <c r="I29" s="4">
        <v>1888800</v>
      </c>
      <c r="J29" s="4"/>
      <c r="K29" s="4"/>
      <c r="L29" s="4"/>
      <c r="M29" s="22"/>
      <c r="N29" s="22"/>
      <c r="O29" s="22"/>
    </row>
    <row r="30" spans="3:15" x14ac:dyDescent="0.25">
      <c r="C30" s="33" t="str">
        <f t="shared" si="1"/>
        <v/>
      </c>
      <c r="D30" s="23"/>
      <c r="E30" s="33" t="str">
        <f t="shared" si="2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1"/>
        <v/>
      </c>
      <c r="D31" s="23"/>
      <c r="E31" s="33" t="str">
        <f t="shared" si="2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1"/>
        <v/>
      </c>
      <c r="D32" s="23"/>
      <c r="E32" s="33" t="str">
        <f t="shared" si="2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1"/>
        <v/>
      </c>
      <c r="D33" s="23"/>
      <c r="E33" s="33" t="str">
        <f t="shared" si="2"/>
        <v/>
      </c>
      <c r="M33" s="21"/>
      <c r="N33" s="21"/>
      <c r="O33" s="21"/>
    </row>
    <row r="34" spans="3:15" x14ac:dyDescent="0.25">
      <c r="C34" s="33" t="str">
        <f t="shared" si="1"/>
        <v/>
      </c>
      <c r="D34" s="23"/>
      <c r="E34" s="33" t="str">
        <f t="shared" si="2"/>
        <v/>
      </c>
      <c r="M34" s="21"/>
      <c r="N34" s="21"/>
      <c r="O34" s="21"/>
    </row>
    <row r="35" spans="3:15" x14ac:dyDescent="0.25">
      <c r="C35" s="33" t="str">
        <f t="shared" si="1"/>
        <v/>
      </c>
      <c r="D35" s="23"/>
      <c r="E35" s="33" t="str">
        <f t="shared" si="2"/>
        <v/>
      </c>
      <c r="M35" s="21"/>
      <c r="N35" s="21"/>
      <c r="O35" s="21"/>
    </row>
    <row r="36" spans="3:15" x14ac:dyDescent="0.25">
      <c r="C36" s="33" t="str">
        <f t="shared" si="1"/>
        <v/>
      </c>
      <c r="D36" s="11"/>
      <c r="E36" s="33" t="str">
        <f t="shared" si="2"/>
        <v/>
      </c>
      <c r="M36" s="21"/>
      <c r="N36" s="21"/>
      <c r="O36" s="21"/>
    </row>
    <row r="37" spans="3:15" x14ac:dyDescent="0.25">
      <c r="C37" s="33" t="str">
        <f t="shared" si="1"/>
        <v/>
      </c>
      <c r="D37" s="11"/>
      <c r="E37" s="33" t="str">
        <f t="shared" si="2"/>
        <v/>
      </c>
      <c r="M37" s="21"/>
      <c r="N37" s="21"/>
      <c r="O37" s="21"/>
    </row>
    <row r="38" spans="3:15" x14ac:dyDescent="0.25">
      <c r="C38" s="33" t="str">
        <f t="shared" si="1"/>
        <v/>
      </c>
      <c r="D38" s="11"/>
      <c r="E38" s="33" t="str">
        <f t="shared" si="2"/>
        <v/>
      </c>
      <c r="M38" s="21"/>
      <c r="N38" s="21"/>
      <c r="O38" s="21"/>
    </row>
    <row r="39" spans="3:15" x14ac:dyDescent="0.25">
      <c r="C39" s="33" t="str">
        <f t="shared" si="1"/>
        <v/>
      </c>
      <c r="D39" s="11"/>
      <c r="E39" s="33" t="str">
        <f t="shared" si="2"/>
        <v/>
      </c>
      <c r="M39" s="21"/>
      <c r="N39" s="21"/>
      <c r="O39" s="21"/>
    </row>
    <row r="40" spans="3:15" x14ac:dyDescent="0.25">
      <c r="C40" s="33" t="str">
        <f t="shared" si="1"/>
        <v/>
      </c>
      <c r="D40" s="11"/>
      <c r="E40" s="33" t="str">
        <f t="shared" si="2"/>
        <v/>
      </c>
      <c r="M40" s="21"/>
      <c r="N40" s="21"/>
      <c r="O40" s="21"/>
    </row>
    <row r="41" spans="3:15" x14ac:dyDescent="0.25">
      <c r="C41" s="33" t="str">
        <f t="shared" si="1"/>
        <v/>
      </c>
      <c r="D41" s="11"/>
      <c r="E41" s="33" t="str">
        <f t="shared" si="2"/>
        <v/>
      </c>
      <c r="M41" s="21"/>
      <c r="N41" s="21"/>
      <c r="O41" s="21"/>
    </row>
    <row r="42" spans="3:15" x14ac:dyDescent="0.25">
      <c r="C42" s="33" t="str">
        <f t="shared" si="1"/>
        <v/>
      </c>
      <c r="D42" s="11"/>
      <c r="E42" s="33" t="str">
        <f t="shared" si="2"/>
        <v/>
      </c>
      <c r="M42" s="21"/>
      <c r="N42" s="21"/>
      <c r="O42" s="21"/>
    </row>
    <row r="43" spans="3:15" x14ac:dyDescent="0.25">
      <c r="C43" s="33" t="str">
        <f t="shared" si="1"/>
        <v/>
      </c>
      <c r="D43" s="11"/>
      <c r="E43" s="33" t="str">
        <f t="shared" si="2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31" priority="10" operator="containsText" text="FAIL">
      <formula>NOT(ISERROR(SEARCH("FAIL",I9)))</formula>
    </cfRule>
  </conditionalFormatting>
  <conditionalFormatting sqref="I9">
    <cfRule type="containsText" dxfId="130" priority="9" operator="containsText" text="GOOD">
      <formula>NOT(ISERROR(SEARCH("GOOD",I9)))</formula>
    </cfRule>
  </conditionalFormatting>
  <conditionalFormatting sqref="F11">
    <cfRule type="containsText" dxfId="129" priority="8" operator="containsText" text="FAIL">
      <formula>NOT(ISERROR(SEARCH("FAIL",F11)))</formula>
    </cfRule>
  </conditionalFormatting>
  <conditionalFormatting sqref="F11">
    <cfRule type="containsText" dxfId="128" priority="7" operator="containsText" text="GOOD">
      <formula>NOT(ISERROR(SEARCH("GOOD",F11)))</formula>
    </cfRule>
  </conditionalFormatting>
  <conditionalFormatting sqref="D25">
    <cfRule type="expression" dxfId="127" priority="6" stopIfTrue="1">
      <formula>IF($H$25=1,0)</formula>
    </cfRule>
  </conditionalFormatting>
  <conditionalFormatting sqref="D23:D43">
    <cfRule type="expression" dxfId="126" priority="5">
      <formula>H23=1</formula>
    </cfRule>
  </conditionalFormatting>
  <conditionalFormatting sqref="C23:C43">
    <cfRule type="expression" dxfId="125" priority="4">
      <formula>H23=1</formula>
    </cfRule>
  </conditionalFormatting>
  <conditionalFormatting sqref="E23:E43">
    <cfRule type="expression" dxfId="124" priority="3">
      <formula>H23=1</formula>
    </cfRule>
  </conditionalFormatting>
  <conditionalFormatting sqref="F11">
    <cfRule type="containsText" dxfId="123" priority="2" operator="containsText" text="FAIL">
      <formula>NOT(ISERROR(SEARCH("FAIL",F11)))</formula>
    </cfRule>
  </conditionalFormatting>
  <conditionalFormatting sqref="F11">
    <cfRule type="containsText" dxfId="122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2:O47"/>
  <sheetViews>
    <sheetView topLeftCell="A4" workbookViewId="0">
      <selection activeCell="J26" sqref="J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383</v>
      </c>
      <c r="I4" s="2" t="s">
        <v>4</v>
      </c>
      <c r="J4" t="s">
        <v>5</v>
      </c>
    </row>
    <row r="5" spans="1:11" x14ac:dyDescent="0.25">
      <c r="D5" s="2" t="s">
        <v>1</v>
      </c>
      <c r="F5" t="s">
        <v>384</v>
      </c>
    </row>
    <row r="6" spans="1:11" x14ac:dyDescent="0.25">
      <c r="D6" s="2" t="s">
        <v>2</v>
      </c>
      <c r="F6" s="6">
        <v>42080</v>
      </c>
      <c r="H6" s="11"/>
    </row>
    <row r="7" spans="1:11" x14ac:dyDescent="0.25">
      <c r="D7" s="2" t="s">
        <v>3</v>
      </c>
      <c r="F7" s="5">
        <v>4450000</v>
      </c>
      <c r="G7" s="2" t="s">
        <v>190</v>
      </c>
      <c r="H7" s="11"/>
    </row>
    <row r="8" spans="1:11" x14ac:dyDescent="0.25">
      <c r="D8" s="2" t="s">
        <v>18</v>
      </c>
      <c r="F8" s="5">
        <f>MIN(I23:I43)</f>
        <v>3620000</v>
      </c>
      <c r="H8" s="11"/>
    </row>
    <row r="9" spans="1:11" x14ac:dyDescent="0.25">
      <c r="D9" s="2" t="s">
        <v>67</v>
      </c>
      <c r="F9" s="4">
        <f>+F8-F7</f>
        <v>-830000</v>
      </c>
      <c r="G9" s="16">
        <f>+F9/F7</f>
        <v>-0.18651685393258427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285227.66666666651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4164772.3333333335</v>
      </c>
      <c r="G12" s="14"/>
      <c r="H12" s="11">
        <f>COUNT(I23:I43)</f>
        <v>3</v>
      </c>
      <c r="I12" s="1" t="s">
        <v>31</v>
      </c>
      <c r="J12" s="4">
        <f>+F8*0.9</f>
        <v>3258000</v>
      </c>
      <c r="K12" s="1" t="s">
        <v>69</v>
      </c>
    </row>
    <row r="13" spans="1:11" x14ac:dyDescent="0.25">
      <c r="D13" s="2" t="s">
        <v>29</v>
      </c>
      <c r="F13" s="4">
        <f>MAX(I23:I43)-MIN(I23:I43)</f>
        <v>956000</v>
      </c>
      <c r="G13" s="269">
        <f>MEDIAN(I23:I43)</f>
        <v>4298317</v>
      </c>
      <c r="H13" s="270"/>
      <c r="I13" s="1" t="s">
        <v>30</v>
      </c>
      <c r="J13" s="4">
        <f>+F12*1.1</f>
        <v>4581249.5666666673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385</v>
      </c>
      <c r="E23" s="33"/>
      <c r="F23" t="s">
        <v>386</v>
      </c>
      <c r="G23" t="s">
        <v>25</v>
      </c>
      <c r="H23">
        <f>RANK(I23,I$23:I$43,1)</f>
        <v>1</v>
      </c>
      <c r="I23" s="4">
        <v>3620000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387</v>
      </c>
      <c r="E24" s="33"/>
      <c r="F24" t="s">
        <v>100</v>
      </c>
      <c r="G24" t="s">
        <v>93</v>
      </c>
      <c r="H24">
        <f>RANK(I24,I$23:I$43,1)</f>
        <v>2</v>
      </c>
      <c r="I24" s="4">
        <v>4298317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116</v>
      </c>
      <c r="E25" s="33"/>
      <c r="F25" t="s">
        <v>113</v>
      </c>
      <c r="G25" t="s">
        <v>25</v>
      </c>
      <c r="H25">
        <f>RANK(I25,I$23:I$43,1)</f>
        <v>3</v>
      </c>
      <c r="I25" s="4">
        <v>4576000</v>
      </c>
      <c r="J25" s="4"/>
      <c r="K25" s="4"/>
      <c r="L25" s="4"/>
      <c r="M25" s="22"/>
      <c r="N25" s="22"/>
      <c r="O25" s="22"/>
    </row>
    <row r="26" spans="3:15" x14ac:dyDescent="0.25">
      <c r="C26" s="33"/>
      <c r="D26" s="23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ref="C27:C43" si="0">IF(H27=1,"u","")</f>
        <v/>
      </c>
      <c r="D27" s="23"/>
      <c r="E27" s="33" t="str">
        <f t="shared" ref="E27:E43" si="1">IF(H27=1,"t","")</f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121" priority="10" operator="containsText" text="FAIL">
      <formula>NOT(ISERROR(SEARCH("FAIL",I9)))</formula>
    </cfRule>
  </conditionalFormatting>
  <conditionalFormatting sqref="I9">
    <cfRule type="containsText" dxfId="120" priority="9" operator="containsText" text="GOOD">
      <formula>NOT(ISERROR(SEARCH("GOOD",I9)))</formula>
    </cfRule>
  </conditionalFormatting>
  <conditionalFormatting sqref="F11">
    <cfRule type="containsText" dxfId="119" priority="8" operator="containsText" text="FAIL">
      <formula>NOT(ISERROR(SEARCH("FAIL",F11)))</formula>
    </cfRule>
  </conditionalFormatting>
  <conditionalFormatting sqref="F11">
    <cfRule type="containsText" dxfId="118" priority="7" operator="containsText" text="GOOD">
      <formula>NOT(ISERROR(SEARCH("GOOD",F11)))</formula>
    </cfRule>
  </conditionalFormatting>
  <conditionalFormatting sqref="D25">
    <cfRule type="expression" dxfId="117" priority="6" stopIfTrue="1">
      <formula>IF($H$25=1,0)</formula>
    </cfRule>
  </conditionalFormatting>
  <conditionalFormatting sqref="D23:D43">
    <cfRule type="expression" dxfId="116" priority="5">
      <formula>H23=1</formula>
    </cfRule>
  </conditionalFormatting>
  <conditionalFormatting sqref="C23:C43">
    <cfRule type="expression" dxfId="115" priority="4">
      <formula>H23=1</formula>
    </cfRule>
  </conditionalFormatting>
  <conditionalFormatting sqref="E23:E43">
    <cfRule type="expression" dxfId="114" priority="3">
      <formula>H23=1</formula>
    </cfRule>
  </conditionalFormatting>
  <conditionalFormatting sqref="F11">
    <cfRule type="containsText" dxfId="113" priority="2" operator="containsText" text="FAIL">
      <formula>NOT(ISERROR(SEARCH("FAIL",F11)))</formula>
    </cfRule>
  </conditionalFormatting>
  <conditionalFormatting sqref="F11">
    <cfRule type="containsText" dxfId="112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2:O48"/>
  <sheetViews>
    <sheetView topLeftCell="A4" workbookViewId="0">
      <selection activeCell="K34" sqref="K3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388</v>
      </c>
      <c r="I4" s="2" t="s">
        <v>4</v>
      </c>
    </row>
    <row r="5" spans="1:11" x14ac:dyDescent="0.25">
      <c r="D5" s="2" t="s">
        <v>1</v>
      </c>
      <c r="F5" t="s">
        <v>389</v>
      </c>
    </row>
    <row r="6" spans="1:11" x14ac:dyDescent="0.25">
      <c r="D6" s="2" t="s">
        <v>2</v>
      </c>
      <c r="F6" s="6">
        <v>42072</v>
      </c>
      <c r="H6" s="11"/>
    </row>
    <row r="7" spans="1:11" x14ac:dyDescent="0.25">
      <c r="D7" s="2" t="s">
        <v>3</v>
      </c>
      <c r="F7" s="5">
        <f>+I7+J7</f>
        <v>9600000</v>
      </c>
      <c r="G7" s="2" t="s">
        <v>34</v>
      </c>
      <c r="H7" s="11"/>
      <c r="I7" s="19">
        <v>1300000</v>
      </c>
      <c r="J7" s="19">
        <v>8300000</v>
      </c>
    </row>
    <row r="8" spans="1:11" x14ac:dyDescent="0.25">
      <c r="D8" s="2" t="s">
        <v>18</v>
      </c>
      <c r="F8" s="5">
        <f>MIN(K23:K44)</f>
        <v>6748000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-2852000</v>
      </c>
      <c r="G9" s="16">
        <f>+F9/F7</f>
        <v>-0.29708333333333331</v>
      </c>
      <c r="H9" s="12" t="s">
        <v>20</v>
      </c>
      <c r="I9" s="11" t="str">
        <f>(IF(G9&lt;-0.1,"FAIL",IF(G9&gt;0.05,"FAIL","GOOD")))</f>
        <v>FAIL</v>
      </c>
    </row>
    <row r="10" spans="1:11" x14ac:dyDescent="0.25">
      <c r="D10" s="2" t="s">
        <v>68</v>
      </c>
      <c r="F10" s="4">
        <f>+F7-F12</f>
        <v>170648.41666666605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SUM(K23:K44)/H12</f>
        <v>9429351.583333334</v>
      </c>
      <c r="G12" s="14"/>
      <c r="H12" s="11">
        <f>COUNT(K23:K44)</f>
        <v>12</v>
      </c>
      <c r="I12" s="1" t="s">
        <v>31</v>
      </c>
      <c r="J12" s="4">
        <f>+F8*0.9</f>
        <v>6073200</v>
      </c>
      <c r="K12" s="1" t="s">
        <v>69</v>
      </c>
    </row>
    <row r="13" spans="1:11" x14ac:dyDescent="0.25">
      <c r="D13" s="2" t="s">
        <v>29</v>
      </c>
      <c r="F13" s="4">
        <f>MAX(K23:K44)-MIN(K23:K44)</f>
        <v>7592306</v>
      </c>
      <c r="G13" s="269">
        <f>MEDIAN(K23:K44)</f>
        <v>9232867.5</v>
      </c>
      <c r="H13" s="270"/>
      <c r="I13" s="1" t="s">
        <v>30</v>
      </c>
      <c r="J13" s="4">
        <f>+F12*1.1</f>
        <v>10372286.741666669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390</v>
      </c>
      <c r="E23" s="33"/>
      <c r="F23" t="s">
        <v>391</v>
      </c>
      <c r="G23" t="s">
        <v>93</v>
      </c>
      <c r="H23">
        <f>RANK(K23,K$23:K$44,1)</f>
        <v>1</v>
      </c>
      <c r="I23" s="4">
        <v>1139300</v>
      </c>
      <c r="J23" s="4">
        <v>5608700</v>
      </c>
      <c r="K23" s="4">
        <f>+J23+I23</f>
        <v>6748000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392</v>
      </c>
      <c r="E24" s="33"/>
      <c r="F24" t="s">
        <v>393</v>
      </c>
      <c r="G24" t="s">
        <v>25</v>
      </c>
      <c r="H24">
        <f t="shared" ref="H24:H34" si="0">RANK(K24,K$23:K$44,1)</f>
        <v>2</v>
      </c>
      <c r="I24" s="4">
        <v>997200</v>
      </c>
      <c r="J24" s="4">
        <v>6067200</v>
      </c>
      <c r="K24" s="4">
        <f t="shared" ref="K24:K34" si="1">+J24+I24</f>
        <v>7064400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394</v>
      </c>
      <c r="E25" s="33"/>
      <c r="F25" t="s">
        <v>312</v>
      </c>
      <c r="G25" t="s">
        <v>25</v>
      </c>
      <c r="H25">
        <f t="shared" si="0"/>
        <v>3</v>
      </c>
      <c r="I25" s="4">
        <v>1389750</v>
      </c>
      <c r="J25" s="4">
        <v>7054000</v>
      </c>
      <c r="K25" s="4">
        <f t="shared" si="1"/>
        <v>8443750</v>
      </c>
      <c r="L25" s="4"/>
      <c r="M25" s="22"/>
      <c r="N25" s="22"/>
      <c r="O25" s="22"/>
    </row>
    <row r="26" spans="3:15" x14ac:dyDescent="0.25">
      <c r="C26" s="33" t="str">
        <f t="shared" ref="C26:C44" si="2">IF(H26=1,"u","")</f>
        <v/>
      </c>
      <c r="D26" s="23" t="s">
        <v>284</v>
      </c>
      <c r="E26" s="33"/>
      <c r="F26" t="s">
        <v>285</v>
      </c>
      <c r="G26" t="s">
        <v>25</v>
      </c>
      <c r="H26">
        <f t="shared" si="0"/>
        <v>4</v>
      </c>
      <c r="I26" s="4">
        <v>1644200</v>
      </c>
      <c r="J26" s="4">
        <v>7355790</v>
      </c>
      <c r="K26" s="4">
        <f t="shared" si="1"/>
        <v>8999990</v>
      </c>
      <c r="L26" s="4"/>
      <c r="M26" s="22"/>
      <c r="N26" s="22"/>
      <c r="O26" s="22"/>
    </row>
    <row r="27" spans="3:15" x14ac:dyDescent="0.25">
      <c r="C27" s="33" t="str">
        <f t="shared" si="2"/>
        <v/>
      </c>
      <c r="D27" s="23" t="s">
        <v>395</v>
      </c>
      <c r="E27" s="33"/>
      <c r="F27" t="s">
        <v>193</v>
      </c>
      <c r="G27" t="s">
        <v>25</v>
      </c>
      <c r="H27">
        <f t="shared" si="0"/>
        <v>5</v>
      </c>
      <c r="I27" s="4">
        <v>1246400</v>
      </c>
      <c r="J27" s="4">
        <v>7904750</v>
      </c>
      <c r="K27" s="4">
        <f t="shared" si="1"/>
        <v>9151150</v>
      </c>
      <c r="L27" s="4"/>
      <c r="M27" s="22"/>
      <c r="N27" s="22"/>
      <c r="O27" s="22"/>
    </row>
    <row r="28" spans="3:15" x14ac:dyDescent="0.25">
      <c r="C28" s="33" t="str">
        <f t="shared" si="2"/>
        <v/>
      </c>
      <c r="D28" s="23" t="s">
        <v>134</v>
      </c>
      <c r="E28" s="33"/>
      <c r="F28" t="s">
        <v>135</v>
      </c>
      <c r="G28" t="s">
        <v>25</v>
      </c>
      <c r="H28">
        <f t="shared" si="0"/>
        <v>6</v>
      </c>
      <c r="I28" s="4">
        <v>1860730</v>
      </c>
      <c r="J28" s="4">
        <v>7334505</v>
      </c>
      <c r="K28" s="4">
        <f t="shared" si="1"/>
        <v>9195235</v>
      </c>
      <c r="L28" s="4"/>
      <c r="M28" s="22"/>
      <c r="N28" s="22"/>
      <c r="O28" s="22"/>
    </row>
    <row r="29" spans="3:15" x14ac:dyDescent="0.25">
      <c r="C29" s="33" t="str">
        <f t="shared" si="2"/>
        <v/>
      </c>
      <c r="D29" s="23" t="s">
        <v>396</v>
      </c>
      <c r="E29" s="33"/>
      <c r="F29" t="s">
        <v>397</v>
      </c>
      <c r="G29" t="s">
        <v>25</v>
      </c>
      <c r="H29">
        <f t="shared" si="0"/>
        <v>7</v>
      </c>
      <c r="I29" s="4">
        <v>2035500</v>
      </c>
      <c r="J29" s="4">
        <v>7235000</v>
      </c>
      <c r="K29" s="4">
        <f t="shared" si="1"/>
        <v>9270500</v>
      </c>
      <c r="L29" s="4"/>
      <c r="M29" s="22"/>
      <c r="N29" s="22"/>
      <c r="O29" s="22"/>
    </row>
    <row r="30" spans="3:15" x14ac:dyDescent="0.25">
      <c r="C30" s="33" t="str">
        <f t="shared" si="2"/>
        <v/>
      </c>
      <c r="D30" s="23" t="s">
        <v>398</v>
      </c>
      <c r="E30" s="33"/>
      <c r="F30" t="s">
        <v>147</v>
      </c>
      <c r="G30" t="s">
        <v>93</v>
      </c>
      <c r="H30">
        <f t="shared" si="0"/>
        <v>8</v>
      </c>
      <c r="I30" s="4">
        <v>3300750</v>
      </c>
      <c r="J30" s="4">
        <v>6587375</v>
      </c>
      <c r="K30" s="4">
        <f t="shared" si="1"/>
        <v>9888125</v>
      </c>
      <c r="L30" s="4"/>
      <c r="M30" s="22"/>
      <c r="N30" s="22"/>
      <c r="O30" s="22"/>
    </row>
    <row r="31" spans="3:15" x14ac:dyDescent="0.25">
      <c r="C31" s="33" t="str">
        <f t="shared" si="2"/>
        <v/>
      </c>
      <c r="D31" s="23" t="s">
        <v>399</v>
      </c>
      <c r="E31" s="33"/>
      <c r="F31" t="s">
        <v>302</v>
      </c>
      <c r="G31" t="s">
        <v>25</v>
      </c>
      <c r="H31">
        <f t="shared" si="0"/>
        <v>9</v>
      </c>
      <c r="I31" s="4">
        <v>2117350</v>
      </c>
      <c r="J31" s="4">
        <v>7800000</v>
      </c>
      <c r="K31" s="4">
        <f t="shared" si="1"/>
        <v>9917350</v>
      </c>
      <c r="L31" s="4"/>
      <c r="M31" s="22"/>
      <c r="N31" s="22"/>
      <c r="O31" s="22"/>
    </row>
    <row r="32" spans="3:15" x14ac:dyDescent="0.25">
      <c r="C32" s="33" t="str">
        <f t="shared" si="2"/>
        <v/>
      </c>
      <c r="D32" s="23" t="s">
        <v>400</v>
      </c>
      <c r="E32" s="33"/>
      <c r="F32" t="s">
        <v>305</v>
      </c>
      <c r="G32" t="s">
        <v>25</v>
      </c>
      <c r="H32">
        <f t="shared" si="0"/>
        <v>10</v>
      </c>
      <c r="I32" s="4">
        <v>1960280</v>
      </c>
      <c r="J32" s="4">
        <v>8036420</v>
      </c>
      <c r="K32" s="4">
        <f t="shared" si="1"/>
        <v>9996700</v>
      </c>
      <c r="L32" s="4"/>
      <c r="M32" s="22"/>
      <c r="N32" s="22"/>
      <c r="O32" s="22"/>
    </row>
    <row r="33" spans="3:15" x14ac:dyDescent="0.25">
      <c r="C33" s="33" t="str">
        <f t="shared" si="2"/>
        <v/>
      </c>
      <c r="D33" s="23" t="s">
        <v>291</v>
      </c>
      <c r="E33" s="33"/>
      <c r="F33" t="s">
        <v>292</v>
      </c>
      <c r="G33" t="s">
        <v>25</v>
      </c>
      <c r="H33">
        <f t="shared" si="0"/>
        <v>11</v>
      </c>
      <c r="I33" s="4">
        <v>2045245</v>
      </c>
      <c r="J33" s="4">
        <v>8091468</v>
      </c>
      <c r="K33" s="4">
        <f t="shared" si="1"/>
        <v>10136713</v>
      </c>
      <c r="L33" s="4"/>
      <c r="M33" s="22"/>
      <c r="N33" s="22"/>
      <c r="O33" s="22"/>
    </row>
    <row r="34" spans="3:15" x14ac:dyDescent="0.25">
      <c r="C34" s="33" t="str">
        <f t="shared" si="2"/>
        <v/>
      </c>
      <c r="D34" s="23" t="s">
        <v>401</v>
      </c>
      <c r="E34" s="33"/>
      <c r="F34" t="s">
        <v>147</v>
      </c>
      <c r="G34" t="s">
        <v>93</v>
      </c>
      <c r="H34">
        <f t="shared" si="0"/>
        <v>12</v>
      </c>
      <c r="I34" s="4">
        <v>2521290</v>
      </c>
      <c r="J34" s="4">
        <v>11819016</v>
      </c>
      <c r="K34" s="4">
        <f t="shared" si="1"/>
        <v>14340306</v>
      </c>
      <c r="M34" s="21"/>
      <c r="N34" s="21"/>
      <c r="O34" s="21"/>
    </row>
    <row r="35" spans="3:15" x14ac:dyDescent="0.25">
      <c r="C35" s="33" t="str">
        <f t="shared" si="2"/>
        <v/>
      </c>
      <c r="D35" s="23"/>
      <c r="E35" s="33" t="str">
        <f t="shared" ref="E35:E44" si="3">IF(H35=1,"t","")</f>
        <v/>
      </c>
      <c r="K35" s="4"/>
      <c r="M35" s="21"/>
      <c r="N35" s="21"/>
      <c r="O35" s="21"/>
    </row>
    <row r="36" spans="3:15" x14ac:dyDescent="0.25">
      <c r="C36" s="33" t="str">
        <f t="shared" si="2"/>
        <v/>
      </c>
      <c r="D36" s="23"/>
      <c r="E36" s="33" t="str">
        <f t="shared" si="3"/>
        <v/>
      </c>
      <c r="K36" s="4"/>
      <c r="M36" s="21"/>
      <c r="N36" s="21"/>
      <c r="O36" s="21"/>
    </row>
    <row r="37" spans="3:15" x14ac:dyDescent="0.25">
      <c r="C37" s="33" t="str">
        <f t="shared" si="2"/>
        <v/>
      </c>
      <c r="D37" s="23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2"/>
        <v/>
      </c>
      <c r="D38" s="23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2"/>
        <v/>
      </c>
      <c r="D39" s="23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23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23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23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23"/>
      <c r="E43" s="33" t="str">
        <f t="shared" si="3"/>
        <v/>
      </c>
      <c r="K43" s="4"/>
      <c r="M43" s="21"/>
      <c r="N43" s="21"/>
      <c r="O43" s="21"/>
    </row>
    <row r="44" spans="3:15" x14ac:dyDescent="0.25">
      <c r="C44" s="33" t="str">
        <f t="shared" si="2"/>
        <v/>
      </c>
      <c r="D44" s="23"/>
      <c r="E44" s="33" t="str">
        <f t="shared" si="3"/>
        <v/>
      </c>
      <c r="K44" s="4"/>
      <c r="M44" s="21"/>
      <c r="N44" s="21"/>
      <c r="O44" s="21"/>
    </row>
    <row r="45" spans="3:15" ht="6" customHeight="1" x14ac:dyDescent="0.25">
      <c r="C45" s="9"/>
      <c r="D45" s="9"/>
      <c r="E45" s="9"/>
      <c r="F45" s="9"/>
      <c r="G45" s="9"/>
      <c r="H45" s="9"/>
      <c r="I45" s="9"/>
      <c r="J45" s="9"/>
      <c r="K45" s="9"/>
      <c r="L45" s="9"/>
      <c r="M45" s="21"/>
      <c r="N45" s="21"/>
      <c r="O45" s="21"/>
    </row>
    <row r="46" spans="3:15" ht="6" customHeight="1" x14ac:dyDescent="0.25">
      <c r="M46" s="21"/>
      <c r="N46" s="21"/>
      <c r="O46" s="21"/>
    </row>
    <row r="47" spans="3:15" x14ac:dyDescent="0.25">
      <c r="C47" s="15" t="s">
        <v>79</v>
      </c>
      <c r="M47" s="21"/>
      <c r="N47" s="21"/>
      <c r="O47" s="21"/>
    </row>
    <row r="48" spans="3:15" x14ac:dyDescent="0.25">
      <c r="C48" s="15" t="s">
        <v>78</v>
      </c>
    </row>
  </sheetData>
  <mergeCells count="1">
    <mergeCell ref="G13:H13"/>
  </mergeCells>
  <conditionalFormatting sqref="I9">
    <cfRule type="containsText" dxfId="111" priority="19" operator="containsText" text="FAIL">
      <formula>NOT(ISERROR(SEARCH("FAIL",I9)))</formula>
    </cfRule>
  </conditionalFormatting>
  <conditionalFormatting sqref="I9">
    <cfRule type="containsText" dxfId="110" priority="18" operator="containsText" text="GOOD">
      <formula>NOT(ISERROR(SEARCH("GOOD",I9)))</formula>
    </cfRule>
  </conditionalFormatting>
  <conditionalFormatting sqref="I9">
    <cfRule type="containsText" dxfId="109" priority="17" operator="containsText" text="FAIL">
      <formula>NOT(ISERROR(SEARCH("FAIL",I9)))</formula>
    </cfRule>
  </conditionalFormatting>
  <conditionalFormatting sqref="I9">
    <cfRule type="containsText" dxfId="108" priority="16" operator="containsText" text="GOOD">
      <formula>NOT(ISERROR(SEARCH("GOOD",I9)))</formula>
    </cfRule>
  </conditionalFormatting>
  <conditionalFormatting sqref="I9">
    <cfRule type="containsText" dxfId="107" priority="15" operator="containsText" text="FAIL">
      <formula>NOT(ISERROR(SEARCH("FAIL",I9)))</formula>
    </cfRule>
  </conditionalFormatting>
  <conditionalFormatting sqref="I9">
    <cfRule type="containsText" dxfId="106" priority="14" operator="containsText" text="GOOD">
      <formula>NOT(ISERROR(SEARCH("GOOD",I9)))</formula>
    </cfRule>
  </conditionalFormatting>
  <conditionalFormatting sqref="F11">
    <cfRule type="containsText" dxfId="105" priority="13" operator="containsText" text="FAIL">
      <formula>NOT(ISERROR(SEARCH("FAIL",F11)))</formula>
    </cfRule>
  </conditionalFormatting>
  <conditionalFormatting sqref="F11">
    <cfRule type="containsText" dxfId="104" priority="12" operator="containsText" text="GOOD">
      <formula>NOT(ISERROR(SEARCH("GOOD",F11)))</formula>
    </cfRule>
  </conditionalFormatting>
  <conditionalFormatting sqref="I9">
    <cfRule type="containsText" dxfId="103" priority="11" operator="containsText" text="FAIL">
      <formula>NOT(ISERROR(SEARCH("FAIL",I9)))</formula>
    </cfRule>
  </conditionalFormatting>
  <conditionalFormatting sqref="I9">
    <cfRule type="containsText" dxfId="102" priority="10" operator="containsText" text="GOOD">
      <formula>NOT(ISERROR(SEARCH("GOOD",I9)))</formula>
    </cfRule>
  </conditionalFormatting>
  <conditionalFormatting sqref="F11">
    <cfRule type="containsText" dxfId="101" priority="9" operator="containsText" text="FAIL">
      <formula>NOT(ISERROR(SEARCH("FAIL",F11)))</formula>
    </cfRule>
  </conditionalFormatting>
  <conditionalFormatting sqref="F11">
    <cfRule type="containsText" dxfId="100" priority="8" operator="containsText" text="GOOD">
      <formula>NOT(ISERROR(SEARCH("GOOD",F11)))</formula>
    </cfRule>
  </conditionalFormatting>
  <conditionalFormatting sqref="D25">
    <cfRule type="expression" dxfId="99" priority="7" stopIfTrue="1">
      <formula>IF($H$25=1,0)</formula>
    </cfRule>
  </conditionalFormatting>
  <conditionalFormatting sqref="D23:D44">
    <cfRule type="expression" dxfId="98" priority="6">
      <formula>H23=1</formula>
    </cfRule>
  </conditionalFormatting>
  <conditionalFormatting sqref="C23:C44">
    <cfRule type="expression" dxfId="97" priority="5">
      <formula>H23=1</formula>
    </cfRule>
  </conditionalFormatting>
  <conditionalFormatting sqref="E23:E44">
    <cfRule type="expression" dxfId="96" priority="4">
      <formula>H23=1</formula>
    </cfRule>
  </conditionalFormatting>
  <conditionalFormatting sqref="E23:E44">
    <cfRule type="expression" dxfId="95" priority="3">
      <formula>H23=1</formula>
    </cfRule>
  </conditionalFormatting>
  <conditionalFormatting sqref="F11">
    <cfRule type="containsText" dxfId="94" priority="2" operator="containsText" text="FAIL">
      <formula>NOT(ISERROR(SEARCH("FAIL",F11)))</formula>
    </cfRule>
  </conditionalFormatting>
  <conditionalFormatting sqref="F11">
    <cfRule type="containsText" dxfId="93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2:O47"/>
  <sheetViews>
    <sheetView workbookViewId="0">
      <selection activeCell="K26" sqref="K26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F4" t="s">
        <v>402</v>
      </c>
      <c r="I4" s="2" t="s">
        <v>4</v>
      </c>
    </row>
    <row r="5" spans="1:11" x14ac:dyDescent="0.25">
      <c r="D5" s="2" t="s">
        <v>1</v>
      </c>
      <c r="F5" t="s">
        <v>403</v>
      </c>
    </row>
    <row r="6" spans="1:11" x14ac:dyDescent="0.25">
      <c r="D6" s="2" t="s">
        <v>2</v>
      </c>
      <c r="F6" s="6">
        <v>42060</v>
      </c>
      <c r="H6" s="11"/>
    </row>
    <row r="7" spans="1:11" x14ac:dyDescent="0.25">
      <c r="D7" s="2" t="s">
        <v>3</v>
      </c>
      <c r="F7" s="5">
        <v>640000</v>
      </c>
      <c r="G7" s="2" t="s">
        <v>177</v>
      </c>
      <c r="H7" s="11"/>
    </row>
    <row r="8" spans="1:11" x14ac:dyDescent="0.25">
      <c r="D8" s="2" t="s">
        <v>18</v>
      </c>
      <c r="F8" s="5">
        <f>MIN(I23:I43)</f>
        <v>574000</v>
      </c>
      <c r="H8" s="11"/>
    </row>
    <row r="9" spans="1:11" x14ac:dyDescent="0.25">
      <c r="D9" s="2" t="s">
        <v>67</v>
      </c>
      <c r="F9" s="4">
        <f>+F8-F7</f>
        <v>-66000</v>
      </c>
      <c r="G9" s="16">
        <f>+F9/F7</f>
        <v>-0.10312499999999999</v>
      </c>
      <c r="H9" s="12" t="s">
        <v>20</v>
      </c>
      <c r="I9" s="11" t="str">
        <f>(IF(G9&lt;-0.1,"FAIL",IF(G9&gt;0.05,"FAIL","GOOD")))</f>
        <v>FAIL</v>
      </c>
      <c r="J9" s="14" t="s">
        <v>72</v>
      </c>
    </row>
    <row r="10" spans="1:11" x14ac:dyDescent="0.25">
      <c r="D10" s="2" t="s">
        <v>68</v>
      </c>
      <c r="F10" s="4">
        <f>+F7-F12</f>
        <v>-111437.71499999997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SUM(I23:I43)/H12</f>
        <v>751437.71499999997</v>
      </c>
      <c r="G12" s="14"/>
      <c r="H12" s="11">
        <f>COUNT(I23:I43)</f>
        <v>4</v>
      </c>
      <c r="I12" s="1" t="s">
        <v>31</v>
      </c>
      <c r="J12" s="4">
        <f>+F8*0.9</f>
        <v>516600</v>
      </c>
      <c r="K12" s="1" t="s">
        <v>69</v>
      </c>
    </row>
    <row r="13" spans="1:11" x14ac:dyDescent="0.25">
      <c r="D13" s="2" t="s">
        <v>29</v>
      </c>
      <c r="F13" s="4">
        <f>MAX(I23:I43)-MIN(I23:I43)</f>
        <v>414000</v>
      </c>
      <c r="G13" s="269">
        <f>MEDIAN(I23:I43)</f>
        <v>721875.42999999993</v>
      </c>
      <c r="H13" s="270"/>
      <c r="I13" s="1" t="s">
        <v>30</v>
      </c>
      <c r="J13" s="4">
        <f>+F12*1.1</f>
        <v>826581.4865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  <c r="M17" s="21"/>
      <c r="N17" s="21"/>
      <c r="O17" s="21"/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404</v>
      </c>
      <c r="E23" s="33"/>
      <c r="F23" t="s">
        <v>405</v>
      </c>
      <c r="G23" t="s">
        <v>93</v>
      </c>
      <c r="H23">
        <f>RANK(I23,I$23:I$43,1)</f>
        <v>1</v>
      </c>
      <c r="I23" s="4">
        <v>574000</v>
      </c>
      <c r="J23" s="4"/>
      <c r="K23" s="4"/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406</v>
      </c>
      <c r="E24" s="33"/>
      <c r="F24" t="s">
        <v>407</v>
      </c>
      <c r="G24" t="s">
        <v>93</v>
      </c>
      <c r="H24">
        <f>RANK(I24,I$23:I$43,1)</f>
        <v>2</v>
      </c>
      <c r="I24" s="4">
        <v>610750.86</v>
      </c>
      <c r="J24" s="4"/>
      <c r="K24" s="4"/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408</v>
      </c>
      <c r="E25" s="33"/>
      <c r="F25" t="s">
        <v>186</v>
      </c>
      <c r="G25" t="s">
        <v>93</v>
      </c>
      <c r="H25">
        <f>RANK(I25,I$23:I$43,1)</f>
        <v>3</v>
      </c>
      <c r="I25" s="4">
        <v>833000</v>
      </c>
      <c r="J25" s="4"/>
      <c r="K25" s="4"/>
      <c r="L25" s="4"/>
      <c r="M25" s="22"/>
      <c r="N25" s="22"/>
      <c r="O25" s="22"/>
    </row>
    <row r="26" spans="3:15" x14ac:dyDescent="0.25">
      <c r="C26" s="33" t="str">
        <f t="shared" ref="C26:C43" si="0">IF(H26=1,"u","")</f>
        <v/>
      </c>
      <c r="D26" s="23" t="s">
        <v>409</v>
      </c>
      <c r="E26" s="33"/>
      <c r="F26" t="s">
        <v>131</v>
      </c>
      <c r="G26" t="s">
        <v>25</v>
      </c>
      <c r="H26">
        <f>RANK(I26,I$23:I$43,1)</f>
        <v>4</v>
      </c>
      <c r="I26" s="4">
        <v>988000</v>
      </c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23"/>
      <c r="E27" s="33" t="str">
        <f t="shared" ref="E27:E43" si="1">IF(H27=1,"t","")</f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23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92" priority="10" operator="containsText" text="FAIL">
      <formula>NOT(ISERROR(SEARCH("FAIL",I9)))</formula>
    </cfRule>
  </conditionalFormatting>
  <conditionalFormatting sqref="I9">
    <cfRule type="containsText" dxfId="91" priority="9" operator="containsText" text="GOOD">
      <formula>NOT(ISERROR(SEARCH("GOOD",I9)))</formula>
    </cfRule>
  </conditionalFormatting>
  <conditionalFormatting sqref="F11">
    <cfRule type="containsText" dxfId="90" priority="8" operator="containsText" text="FAIL">
      <formula>NOT(ISERROR(SEARCH("FAIL",F11)))</formula>
    </cfRule>
  </conditionalFormatting>
  <conditionalFormatting sqref="F11">
    <cfRule type="containsText" dxfId="89" priority="7" operator="containsText" text="GOOD">
      <formula>NOT(ISERROR(SEARCH("GOOD",F11)))</formula>
    </cfRule>
  </conditionalFormatting>
  <conditionalFormatting sqref="D25">
    <cfRule type="expression" dxfId="88" priority="6" stopIfTrue="1">
      <formula>IF($H$25=1,0)</formula>
    </cfRule>
  </conditionalFormatting>
  <conditionalFormatting sqref="D23:D43">
    <cfRule type="expression" dxfId="87" priority="5">
      <formula>H23=1</formula>
    </cfRule>
  </conditionalFormatting>
  <conditionalFormatting sqref="C23:C43">
    <cfRule type="expression" dxfId="86" priority="4">
      <formula>H23=1</formula>
    </cfRule>
  </conditionalFormatting>
  <conditionalFormatting sqref="E23:E43">
    <cfRule type="expression" dxfId="85" priority="3">
      <formula>H23=1</formula>
    </cfRule>
  </conditionalFormatting>
  <conditionalFormatting sqref="F11">
    <cfRule type="containsText" dxfId="84" priority="2" operator="containsText" text="FAIL">
      <formula>NOT(ISERROR(SEARCH("FAIL",F11)))</formula>
    </cfRule>
  </conditionalFormatting>
  <conditionalFormatting sqref="F11">
    <cfRule type="containsText" dxfId="83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2:O47"/>
  <sheetViews>
    <sheetView workbookViewId="0">
      <selection activeCell="J4" sqref="J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410</v>
      </c>
      <c r="I4" s="2" t="s">
        <v>4</v>
      </c>
    </row>
    <row r="5" spans="1:11" x14ac:dyDescent="0.25">
      <c r="D5" s="2" t="s">
        <v>1</v>
      </c>
      <c r="F5" t="s">
        <v>411</v>
      </c>
    </row>
    <row r="6" spans="1:11" x14ac:dyDescent="0.25">
      <c r="D6" s="2" t="s">
        <v>2</v>
      </c>
      <c r="F6" s="6">
        <v>42057</v>
      </c>
      <c r="H6" s="11"/>
    </row>
    <row r="7" spans="1:11" x14ac:dyDescent="0.25">
      <c r="D7" s="2" t="s">
        <v>3</v>
      </c>
      <c r="F7" s="5">
        <f>+I7+J7</f>
        <v>9700000</v>
      </c>
      <c r="G7" s="2" t="s">
        <v>190</v>
      </c>
      <c r="H7" s="11"/>
      <c r="I7" s="19">
        <v>3815000</v>
      </c>
      <c r="J7" s="19">
        <v>5885000</v>
      </c>
    </row>
    <row r="8" spans="1:11" x14ac:dyDescent="0.25">
      <c r="D8" s="2" t="s">
        <v>18</v>
      </c>
      <c r="F8" s="5">
        <f>MIN(K23:K43)</f>
        <v>8742268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-957732</v>
      </c>
      <c r="G9" s="16">
        <f>+F9/F7</f>
        <v>-9.8735257731958764E-2</v>
      </c>
      <c r="H9" s="12" t="s">
        <v>20</v>
      </c>
      <c r="I9" s="11" t="str">
        <f>(IF(G9&lt;-0.1,"FAIL",IF(G9&gt;0.05,"FAIL","GOOD")))</f>
        <v>GOOD</v>
      </c>
    </row>
    <row r="10" spans="1:11" x14ac:dyDescent="0.25">
      <c r="D10" s="2" t="s">
        <v>68</v>
      </c>
      <c r="F10" s="4">
        <f>+F7-F12</f>
        <v>185209.66666666605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9514790.333333334</v>
      </c>
      <c r="G12" s="14"/>
      <c r="H12" s="11">
        <f>COUNT(K23:K43)</f>
        <v>3</v>
      </c>
      <c r="I12" s="1" t="s">
        <v>31</v>
      </c>
      <c r="J12" s="4">
        <f>+F8*0.9</f>
        <v>7868041.2000000002</v>
      </c>
      <c r="K12" s="1" t="s">
        <v>69</v>
      </c>
    </row>
    <row r="13" spans="1:11" x14ac:dyDescent="0.25">
      <c r="D13" s="2" t="s">
        <v>29</v>
      </c>
      <c r="F13" s="4">
        <f>MAX(K23:K43)-MIN(K23:K43)</f>
        <v>1234285</v>
      </c>
      <c r="G13" s="269">
        <f>MEDIAN(K23:K43)</f>
        <v>9825550</v>
      </c>
      <c r="H13" s="270"/>
      <c r="I13" s="1" t="s">
        <v>30</v>
      </c>
      <c r="J13" s="4">
        <f>+F12*1.1</f>
        <v>10466269.366666669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412</v>
      </c>
      <c r="E23" s="33"/>
      <c r="F23" t="s">
        <v>413</v>
      </c>
      <c r="G23" t="s">
        <v>93</v>
      </c>
      <c r="H23">
        <f>RANK(K23,K$23:K$43,1)</f>
        <v>1</v>
      </c>
      <c r="I23" s="4">
        <v>3282300</v>
      </c>
      <c r="J23" s="4">
        <v>5459968</v>
      </c>
      <c r="K23" s="4">
        <f>+J23+I23</f>
        <v>8742268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281</v>
      </c>
      <c r="E24" s="33"/>
      <c r="F24" t="s">
        <v>159</v>
      </c>
      <c r="G24" t="s">
        <v>93</v>
      </c>
      <c r="H24">
        <f>RANK(K24,K$23:K$43,1)</f>
        <v>2</v>
      </c>
      <c r="I24" s="4">
        <v>3605550</v>
      </c>
      <c r="J24" s="4">
        <v>6220000</v>
      </c>
      <c r="K24" s="4">
        <f>+J24+I24</f>
        <v>9825550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194</v>
      </c>
      <c r="E25" s="33"/>
      <c r="F25" t="s">
        <v>222</v>
      </c>
      <c r="G25" t="s">
        <v>25</v>
      </c>
      <c r="H25">
        <f>RANK(K25,K$23:K$43,1)</f>
        <v>3</v>
      </c>
      <c r="I25" s="4">
        <v>2147750</v>
      </c>
      <c r="J25" s="4">
        <v>7828803</v>
      </c>
      <c r="K25" s="4">
        <f>+J25+I25</f>
        <v>9976553</v>
      </c>
      <c r="L25" s="4"/>
      <c r="M25" s="22"/>
      <c r="N25" s="22"/>
      <c r="O25" s="22"/>
    </row>
    <row r="26" spans="3:15" x14ac:dyDescent="0.25">
      <c r="C26" s="33"/>
      <c r="D26" s="11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11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11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/>
      <c r="D29" s="11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/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/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/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/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/>
      <c r="D34" s="11"/>
      <c r="E34" s="33"/>
      <c r="K34" s="4"/>
      <c r="M34" s="21"/>
      <c r="N34" s="21"/>
      <c r="O34" s="21"/>
    </row>
    <row r="35" spans="3:15" x14ac:dyDescent="0.25">
      <c r="C35" s="33" t="str">
        <f t="shared" ref="C35:C43" si="0">IF(H35=1,"u","")</f>
        <v/>
      </c>
      <c r="D35" s="11"/>
      <c r="E35" s="33" t="str">
        <f t="shared" ref="E35:E43" si="1">IF(H35=1,"t","")</f>
        <v/>
      </c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82" priority="19" operator="containsText" text="FAIL">
      <formula>NOT(ISERROR(SEARCH("FAIL",I9)))</formula>
    </cfRule>
  </conditionalFormatting>
  <conditionalFormatting sqref="I9">
    <cfRule type="containsText" dxfId="81" priority="18" operator="containsText" text="GOOD">
      <formula>NOT(ISERROR(SEARCH("GOOD",I9)))</formula>
    </cfRule>
  </conditionalFormatting>
  <conditionalFormatting sqref="I9">
    <cfRule type="containsText" dxfId="80" priority="17" operator="containsText" text="FAIL">
      <formula>NOT(ISERROR(SEARCH("FAIL",I9)))</formula>
    </cfRule>
  </conditionalFormatting>
  <conditionalFormatting sqref="I9">
    <cfRule type="containsText" dxfId="79" priority="16" operator="containsText" text="GOOD">
      <formula>NOT(ISERROR(SEARCH("GOOD",I9)))</formula>
    </cfRule>
  </conditionalFormatting>
  <conditionalFormatting sqref="I9">
    <cfRule type="containsText" dxfId="78" priority="15" operator="containsText" text="FAIL">
      <formula>NOT(ISERROR(SEARCH("FAIL",I9)))</formula>
    </cfRule>
  </conditionalFormatting>
  <conditionalFormatting sqref="I9">
    <cfRule type="containsText" dxfId="77" priority="14" operator="containsText" text="GOOD">
      <formula>NOT(ISERROR(SEARCH("GOOD",I9)))</formula>
    </cfRule>
  </conditionalFormatting>
  <conditionalFormatting sqref="F11">
    <cfRule type="containsText" dxfId="76" priority="13" operator="containsText" text="FAIL">
      <formula>NOT(ISERROR(SEARCH("FAIL",F11)))</formula>
    </cfRule>
  </conditionalFormatting>
  <conditionalFormatting sqref="F11">
    <cfRule type="containsText" dxfId="75" priority="12" operator="containsText" text="GOOD">
      <formula>NOT(ISERROR(SEARCH("GOOD",F11)))</formula>
    </cfRule>
  </conditionalFormatting>
  <conditionalFormatting sqref="I9">
    <cfRule type="containsText" dxfId="74" priority="11" operator="containsText" text="FAIL">
      <formula>NOT(ISERROR(SEARCH("FAIL",I9)))</formula>
    </cfRule>
  </conditionalFormatting>
  <conditionalFormatting sqref="I9">
    <cfRule type="containsText" dxfId="73" priority="10" operator="containsText" text="GOOD">
      <formula>NOT(ISERROR(SEARCH("GOOD",I9)))</formula>
    </cfRule>
  </conditionalFormatting>
  <conditionalFormatting sqref="F11">
    <cfRule type="containsText" dxfId="72" priority="9" operator="containsText" text="FAIL">
      <formula>NOT(ISERROR(SEARCH("FAIL",F11)))</formula>
    </cfRule>
  </conditionalFormatting>
  <conditionalFormatting sqref="F11">
    <cfRule type="containsText" dxfId="71" priority="8" operator="containsText" text="GOOD">
      <formula>NOT(ISERROR(SEARCH("GOOD",F11)))</formula>
    </cfRule>
  </conditionalFormatting>
  <conditionalFormatting sqref="D25">
    <cfRule type="expression" dxfId="70" priority="7" stopIfTrue="1">
      <formula>IF($H$25=1,0)</formula>
    </cfRule>
  </conditionalFormatting>
  <conditionalFormatting sqref="D23:D43">
    <cfRule type="expression" dxfId="69" priority="6">
      <formula>H23=1</formula>
    </cfRule>
  </conditionalFormatting>
  <conditionalFormatting sqref="C23:C43">
    <cfRule type="expression" dxfId="68" priority="5">
      <formula>H23=1</formula>
    </cfRule>
  </conditionalFormatting>
  <conditionalFormatting sqref="E23:E43">
    <cfRule type="expression" dxfId="67" priority="4">
      <formula>H23=1</formula>
    </cfRule>
  </conditionalFormatting>
  <conditionalFormatting sqref="E23:E43">
    <cfRule type="expression" dxfId="66" priority="3">
      <formula>H23=1</formula>
    </cfRule>
  </conditionalFormatting>
  <conditionalFormatting sqref="F11">
    <cfRule type="containsText" dxfId="65" priority="2" operator="containsText" text="FAIL">
      <formula>NOT(ISERROR(SEARCH("FAIL",F11)))</formula>
    </cfRule>
  </conditionalFormatting>
  <conditionalFormatting sqref="F11">
    <cfRule type="containsText" dxfId="64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2:O47"/>
  <sheetViews>
    <sheetView workbookViewId="0">
      <selection activeCell="M14" sqref="M14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F4" t="s">
        <v>414</v>
      </c>
      <c r="I4" s="2" t="s">
        <v>4</v>
      </c>
    </row>
    <row r="5" spans="1:11" x14ac:dyDescent="0.25">
      <c r="D5" s="2" t="s">
        <v>1</v>
      </c>
      <c r="F5" t="s">
        <v>415</v>
      </c>
    </row>
    <row r="6" spans="1:11" x14ac:dyDescent="0.25">
      <c r="D6" s="2" t="s">
        <v>2</v>
      </c>
      <c r="F6" s="6">
        <v>42038</v>
      </c>
      <c r="H6" s="11"/>
    </row>
    <row r="7" spans="1:11" x14ac:dyDescent="0.25">
      <c r="D7" s="2" t="s">
        <v>3</v>
      </c>
      <c r="F7" s="5">
        <f>+I7+J7</f>
        <v>25770000</v>
      </c>
      <c r="G7" s="2" t="s">
        <v>190</v>
      </c>
      <c r="H7" s="11"/>
      <c r="I7" s="19">
        <v>10979000</v>
      </c>
      <c r="J7" s="19">
        <v>14791000</v>
      </c>
    </row>
    <row r="8" spans="1:11" x14ac:dyDescent="0.25">
      <c r="D8" s="2" t="s">
        <v>18</v>
      </c>
      <c r="F8" s="5">
        <f>MIN(K23:K43)</f>
        <v>28747550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2977550</v>
      </c>
      <c r="G9" s="16">
        <f>+F9/F7</f>
        <v>0.11554326736515327</v>
      </c>
      <c r="H9" s="12" t="s">
        <v>20</v>
      </c>
      <c r="I9" s="11" t="str">
        <f>(IF(G9&lt;-0.1,"FAIL",IF(G9&gt;0.05,"FAIL","GOOD")))</f>
        <v>FAIL</v>
      </c>
    </row>
    <row r="10" spans="1:11" x14ac:dyDescent="0.25">
      <c r="D10" s="2" t="s">
        <v>68</v>
      </c>
      <c r="F10" s="4">
        <f>+F7-F12</f>
        <v>-3657360.6666666679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FAIL</v>
      </c>
      <c r="H11" s="11"/>
    </row>
    <row r="12" spans="1:11" x14ac:dyDescent="0.25">
      <c r="D12" s="2" t="s">
        <v>28</v>
      </c>
      <c r="F12" s="4">
        <f>SUM(K23:K43)/H12</f>
        <v>29427360.666666668</v>
      </c>
      <c r="G12" s="14"/>
      <c r="H12" s="11">
        <f>COUNT(K23:K43)</f>
        <v>3</v>
      </c>
      <c r="I12" s="1" t="s">
        <v>31</v>
      </c>
      <c r="J12" s="4">
        <f>+F8*0.9</f>
        <v>25872795</v>
      </c>
      <c r="K12" s="1" t="s">
        <v>69</v>
      </c>
    </row>
    <row r="13" spans="1:11" x14ac:dyDescent="0.25">
      <c r="D13" s="2" t="s">
        <v>29</v>
      </c>
      <c r="F13" s="4">
        <f>MAX(K23:K43)-MIN(K23:K43)</f>
        <v>1302450</v>
      </c>
      <c r="G13" s="269">
        <f>MEDIAN(K23:K43)</f>
        <v>29484532</v>
      </c>
      <c r="H13" s="270"/>
      <c r="I13" s="1" t="s">
        <v>30</v>
      </c>
      <c r="J13" s="4">
        <f>+F12*1.1</f>
        <v>32370096.733333338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/>
      <c r="G15" s="1" t="s">
        <v>9</v>
      </c>
      <c r="H15" s="11"/>
      <c r="I15" t="s">
        <v>15</v>
      </c>
      <c r="J15" s="7" t="e">
        <f>+F16/F15</f>
        <v>#DIV/0!</v>
      </c>
    </row>
    <row r="16" spans="1:11" x14ac:dyDescent="0.25">
      <c r="F16" s="4"/>
      <c r="G16" s="1" t="s">
        <v>10</v>
      </c>
      <c r="H16" s="11"/>
      <c r="I16" t="s">
        <v>14</v>
      </c>
      <c r="J16" s="7" t="e">
        <f>+F17/F16</f>
        <v>#DIV/0!</v>
      </c>
    </row>
    <row r="17" spans="3:15" x14ac:dyDescent="0.25">
      <c r="F17" s="4"/>
      <c r="G17" s="1" t="s">
        <v>11</v>
      </c>
      <c r="H17" s="11"/>
      <c r="I17" t="s">
        <v>13</v>
      </c>
      <c r="J17" s="7" t="e">
        <f>+F18/F17</f>
        <v>#DIV/0!</v>
      </c>
    </row>
    <row r="18" spans="3:15" x14ac:dyDescent="0.25">
      <c r="F18" s="4"/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 t="e">
        <f>+F8/F15</f>
        <v>#DIV/0!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23" t="s">
        <v>348</v>
      </c>
      <c r="E23" s="33"/>
      <c r="F23" t="s">
        <v>159</v>
      </c>
      <c r="G23" t="s">
        <v>93</v>
      </c>
      <c r="H23">
        <f>RANK(K23,K$23:K$43,1)</f>
        <v>1</v>
      </c>
      <c r="I23" s="4">
        <v>7172550</v>
      </c>
      <c r="J23" s="4">
        <v>21575000</v>
      </c>
      <c r="K23" s="4">
        <f>+J23+I23</f>
        <v>28747550</v>
      </c>
      <c r="L23" s="4"/>
      <c r="M23" s="22"/>
      <c r="N23" s="22"/>
      <c r="O23" s="22"/>
    </row>
    <row r="24" spans="3:15" x14ac:dyDescent="0.25">
      <c r="C24" s="33" t="str">
        <f>IF(H24=1,"u","")</f>
        <v/>
      </c>
      <c r="D24" s="23" t="s">
        <v>412</v>
      </c>
      <c r="E24" s="33"/>
      <c r="F24" t="s">
        <v>413</v>
      </c>
      <c r="G24" t="s">
        <v>93</v>
      </c>
      <c r="H24">
        <f>RANK(K24,K$23:K$43,1)</f>
        <v>2</v>
      </c>
      <c r="I24" s="4">
        <v>8559600</v>
      </c>
      <c r="J24" s="4">
        <v>20924932</v>
      </c>
      <c r="K24" s="4">
        <f>+J24+I24</f>
        <v>29484532</v>
      </c>
      <c r="L24" s="4"/>
      <c r="M24" s="22"/>
      <c r="N24" s="22"/>
      <c r="O24" s="22"/>
    </row>
    <row r="25" spans="3:15" x14ac:dyDescent="0.25">
      <c r="C25" s="33" t="str">
        <f>IF(H25=1,"u","")</f>
        <v/>
      </c>
      <c r="D25" s="23" t="s">
        <v>194</v>
      </c>
      <c r="E25" s="33"/>
      <c r="F25" t="s">
        <v>222</v>
      </c>
      <c r="G25" t="s">
        <v>25</v>
      </c>
      <c r="H25">
        <f>RANK(K25,K$23:K$43,1)</f>
        <v>3</v>
      </c>
      <c r="I25" s="4">
        <v>8154900</v>
      </c>
      <c r="J25" s="4">
        <v>21895100</v>
      </c>
      <c r="K25" s="4">
        <f>+J25+I25</f>
        <v>30050000</v>
      </c>
      <c r="L25" s="4"/>
      <c r="M25" s="22"/>
      <c r="N25" s="22"/>
      <c r="O25" s="22"/>
    </row>
    <row r="26" spans="3:15" x14ac:dyDescent="0.25">
      <c r="C26" s="33"/>
      <c r="D26" s="23"/>
      <c r="E26" s="33"/>
      <c r="I26" s="4"/>
      <c r="J26" s="4"/>
      <c r="K26" s="4"/>
      <c r="L26" s="4"/>
      <c r="M26" s="22"/>
      <c r="N26" s="22"/>
      <c r="O26" s="22"/>
    </row>
    <row r="27" spans="3:15" x14ac:dyDescent="0.25">
      <c r="C27" s="33"/>
      <c r="D27" s="23"/>
      <c r="E27" s="33"/>
      <c r="I27" s="4"/>
      <c r="J27" s="4"/>
      <c r="K27" s="4"/>
      <c r="L27" s="4"/>
      <c r="M27" s="22"/>
      <c r="N27" s="22"/>
      <c r="O27" s="22"/>
    </row>
    <row r="28" spans="3:15" x14ac:dyDescent="0.25">
      <c r="C28" s="33"/>
      <c r="D28" s="23"/>
      <c r="E28" s="33"/>
      <c r="I28" s="4"/>
      <c r="J28" s="4"/>
      <c r="K28" s="4"/>
      <c r="L28" s="4"/>
      <c r="M28" s="22"/>
      <c r="N28" s="22"/>
      <c r="O28" s="22"/>
    </row>
    <row r="29" spans="3:15" x14ac:dyDescent="0.25">
      <c r="C29" s="33"/>
      <c r="D29" s="23"/>
      <c r="E29" s="33"/>
      <c r="I29" s="4"/>
      <c r="J29" s="4"/>
      <c r="K29" s="4"/>
      <c r="L29" s="4"/>
      <c r="M29" s="22"/>
      <c r="N29" s="22"/>
      <c r="O29" s="22"/>
    </row>
    <row r="30" spans="3:15" x14ac:dyDescent="0.25">
      <c r="C30" s="33"/>
      <c r="D30" s="11"/>
      <c r="E30" s="33"/>
      <c r="I30" s="4"/>
      <c r="J30" s="4"/>
      <c r="K30" s="4"/>
      <c r="L30" s="4"/>
      <c r="M30" s="22"/>
      <c r="N30" s="22"/>
      <c r="O30" s="22"/>
    </row>
    <row r="31" spans="3:15" x14ac:dyDescent="0.25">
      <c r="C31" s="33"/>
      <c r="D31" s="11"/>
      <c r="E31" s="33"/>
      <c r="I31" s="4"/>
      <c r="J31" s="4"/>
      <c r="K31" s="4"/>
      <c r="L31" s="4"/>
      <c r="M31" s="22"/>
      <c r="N31" s="22"/>
      <c r="O31" s="22"/>
    </row>
    <row r="32" spans="3:15" x14ac:dyDescent="0.25">
      <c r="C32" s="33"/>
      <c r="D32" s="11"/>
      <c r="E32" s="33"/>
      <c r="I32" s="4"/>
      <c r="J32" s="4"/>
      <c r="K32" s="4"/>
      <c r="L32" s="4"/>
      <c r="M32" s="22"/>
      <c r="N32" s="22"/>
      <c r="O32" s="22"/>
    </row>
    <row r="33" spans="3:15" x14ac:dyDescent="0.25">
      <c r="C33" s="33"/>
      <c r="D33" s="11"/>
      <c r="E33" s="33"/>
      <c r="I33" s="4"/>
      <c r="J33" s="4"/>
      <c r="K33" s="4"/>
      <c r="M33" s="21"/>
      <c r="N33" s="21"/>
      <c r="O33" s="21"/>
    </row>
    <row r="34" spans="3:15" x14ac:dyDescent="0.25">
      <c r="C34" s="33" t="str">
        <f t="shared" ref="C34:C43" si="0">IF(H34=1,"u","")</f>
        <v/>
      </c>
      <c r="D34" s="11"/>
      <c r="E34" s="33" t="str">
        <f t="shared" ref="E34:E43" si="1">IF(H34=1,"t","")</f>
        <v/>
      </c>
      <c r="K34" s="4"/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K35" s="4"/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K36" s="4"/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K37" s="4"/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K38" s="4"/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K39" s="4"/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K40" s="4"/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K41" s="4"/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K42" s="4"/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63" priority="19" operator="containsText" text="FAIL">
      <formula>NOT(ISERROR(SEARCH("FAIL",I9)))</formula>
    </cfRule>
  </conditionalFormatting>
  <conditionalFormatting sqref="I9">
    <cfRule type="containsText" dxfId="62" priority="18" operator="containsText" text="GOOD">
      <formula>NOT(ISERROR(SEARCH("GOOD",I9)))</formula>
    </cfRule>
  </conditionalFormatting>
  <conditionalFormatting sqref="I9">
    <cfRule type="containsText" dxfId="61" priority="17" operator="containsText" text="FAIL">
      <formula>NOT(ISERROR(SEARCH("FAIL",I9)))</formula>
    </cfRule>
  </conditionalFormatting>
  <conditionalFormatting sqref="I9">
    <cfRule type="containsText" dxfId="60" priority="16" operator="containsText" text="GOOD">
      <formula>NOT(ISERROR(SEARCH("GOOD",I9)))</formula>
    </cfRule>
  </conditionalFormatting>
  <conditionalFormatting sqref="I9">
    <cfRule type="containsText" dxfId="59" priority="15" operator="containsText" text="FAIL">
      <formula>NOT(ISERROR(SEARCH("FAIL",I9)))</formula>
    </cfRule>
  </conditionalFormatting>
  <conditionalFormatting sqref="I9">
    <cfRule type="containsText" dxfId="58" priority="14" operator="containsText" text="GOOD">
      <formula>NOT(ISERROR(SEARCH("GOOD",I9)))</formula>
    </cfRule>
  </conditionalFormatting>
  <conditionalFormatting sqref="F11">
    <cfRule type="containsText" dxfId="57" priority="13" operator="containsText" text="FAIL">
      <formula>NOT(ISERROR(SEARCH("FAIL",F11)))</formula>
    </cfRule>
  </conditionalFormatting>
  <conditionalFormatting sqref="F11">
    <cfRule type="containsText" dxfId="56" priority="12" operator="containsText" text="GOOD">
      <formula>NOT(ISERROR(SEARCH("GOOD",F11)))</formula>
    </cfRule>
  </conditionalFormatting>
  <conditionalFormatting sqref="I9">
    <cfRule type="containsText" dxfId="55" priority="11" operator="containsText" text="FAIL">
      <formula>NOT(ISERROR(SEARCH("FAIL",I9)))</formula>
    </cfRule>
  </conditionalFormatting>
  <conditionalFormatting sqref="I9">
    <cfRule type="containsText" dxfId="54" priority="10" operator="containsText" text="GOOD">
      <formula>NOT(ISERROR(SEARCH("GOOD",I9)))</formula>
    </cfRule>
  </conditionalFormatting>
  <conditionalFormatting sqref="F11">
    <cfRule type="containsText" dxfId="53" priority="9" operator="containsText" text="FAIL">
      <formula>NOT(ISERROR(SEARCH("FAIL",F11)))</formula>
    </cfRule>
  </conditionalFormatting>
  <conditionalFormatting sqref="F11">
    <cfRule type="containsText" dxfId="52" priority="8" operator="containsText" text="GOOD">
      <formula>NOT(ISERROR(SEARCH("GOOD",F11)))</formula>
    </cfRule>
  </conditionalFormatting>
  <conditionalFormatting sqref="D25">
    <cfRule type="expression" dxfId="51" priority="7" stopIfTrue="1">
      <formula>IF($H$25=1,0)</formula>
    </cfRule>
  </conditionalFormatting>
  <conditionalFormatting sqref="D23:D43">
    <cfRule type="expression" dxfId="50" priority="6">
      <formula>H23=1</formula>
    </cfRule>
  </conditionalFormatting>
  <conditionalFormatting sqref="C23:C43">
    <cfRule type="expression" dxfId="49" priority="5">
      <formula>H23=1</formula>
    </cfRule>
  </conditionalFormatting>
  <conditionalFormatting sqref="E23:E43">
    <cfRule type="expression" dxfId="48" priority="4">
      <formula>H23=1</formula>
    </cfRule>
  </conditionalFormatting>
  <conditionalFormatting sqref="E23:E43">
    <cfRule type="expression" dxfId="47" priority="3">
      <formula>H23=1</formula>
    </cfRule>
  </conditionalFormatting>
  <conditionalFormatting sqref="F11">
    <cfRule type="containsText" dxfId="46" priority="2" operator="containsText" text="FAIL">
      <formula>NOT(ISERROR(SEARCH("FAIL",F11)))</formula>
    </cfRule>
  </conditionalFormatting>
  <conditionalFormatting sqref="F11">
    <cfRule type="containsText" dxfId="45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>
    <tabColor rgb="FFFFFF00"/>
  </sheetPr>
  <dimension ref="A2:O47"/>
  <sheetViews>
    <sheetView workbookViewId="0">
      <selection activeCell="F7" sqref="F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855468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17</v>
      </c>
    </row>
    <row r="4" spans="1:11" x14ac:dyDescent="0.25">
      <c r="D4" s="2" t="s">
        <v>0</v>
      </c>
      <c r="E4" s="1"/>
      <c r="I4" s="2" t="s">
        <v>4</v>
      </c>
    </row>
    <row r="5" spans="1:11" x14ac:dyDescent="0.25">
      <c r="D5" s="2" t="s">
        <v>1</v>
      </c>
    </row>
    <row r="6" spans="1:11" x14ac:dyDescent="0.25">
      <c r="D6" s="2" t="s">
        <v>2</v>
      </c>
      <c r="F6" s="6">
        <v>42609</v>
      </c>
      <c r="H6" s="11"/>
    </row>
    <row r="7" spans="1:11" x14ac:dyDescent="0.25">
      <c r="D7" s="2" t="s">
        <v>3</v>
      </c>
      <c r="F7" s="5"/>
      <c r="G7" s="2" t="s">
        <v>34</v>
      </c>
      <c r="H7" s="11"/>
    </row>
    <row r="8" spans="1:11" x14ac:dyDescent="0.25">
      <c r="D8" s="2" t="s">
        <v>18</v>
      </c>
      <c r="F8" s="5">
        <f>MIN(I23:I43)</f>
        <v>0</v>
      </c>
      <c r="H8" s="11"/>
    </row>
    <row r="9" spans="1:11" x14ac:dyDescent="0.25">
      <c r="D9" s="2" t="s">
        <v>67</v>
      </c>
      <c r="F9" s="4">
        <f>+F8-F7</f>
        <v>0</v>
      </c>
      <c r="G9" s="16" t="e">
        <f>+F9/F7</f>
        <v>#DIV/0!</v>
      </c>
      <c r="H9" s="12" t="s">
        <v>20</v>
      </c>
      <c r="I9" s="11" t="e">
        <f>(IF(G9&lt;-0.1,"FAIL",IF(G9&gt;0.05,"FAIL","GOOD")))</f>
        <v>#DIV/0!</v>
      </c>
      <c r="J9" s="14" t="s">
        <v>72</v>
      </c>
    </row>
    <row r="10" spans="1:11" x14ac:dyDescent="0.25">
      <c r="D10" s="2" t="s">
        <v>68</v>
      </c>
      <c r="F10" s="4" t="e">
        <f>+F7-F12</f>
        <v>#DIV/0!</v>
      </c>
      <c r="H10" s="11"/>
    </row>
    <row r="11" spans="1:11" x14ac:dyDescent="0.25">
      <c r="A11" s="52"/>
      <c r="D11" s="2" t="s">
        <v>71</v>
      </c>
      <c r="F11" s="11" t="e">
        <f>(IF(F7&lt;J12,"FAIL",IF(F7&gt;J13,"FAIL","GOOD")))</f>
        <v>#DIV/0!</v>
      </c>
      <c r="H11" s="11"/>
    </row>
    <row r="12" spans="1:11" x14ac:dyDescent="0.25">
      <c r="D12" s="2" t="s">
        <v>28</v>
      </c>
      <c r="F12" s="4" t="e">
        <f>SUM(I23:I43)/H12</f>
        <v>#DIV/0!</v>
      </c>
      <c r="G12" s="14"/>
      <c r="H12" s="11">
        <f>COUNT(I23:I43)</f>
        <v>0</v>
      </c>
      <c r="I12" s="1" t="s">
        <v>31</v>
      </c>
      <c r="J12" s="4">
        <f>+F8*0.9</f>
        <v>0</v>
      </c>
      <c r="K12" s="1" t="s">
        <v>69</v>
      </c>
    </row>
    <row r="13" spans="1:11" x14ac:dyDescent="0.25">
      <c r="D13" s="2" t="s">
        <v>29</v>
      </c>
      <c r="F13" s="4">
        <f>MAX(I23:I43)-MIN(I23:I43)</f>
        <v>0</v>
      </c>
      <c r="G13" s="269" t="e">
        <f>MEDIAN(I23:I43)</f>
        <v>#NUM!</v>
      </c>
      <c r="H13" s="270"/>
      <c r="I13" s="1" t="s">
        <v>30</v>
      </c>
      <c r="J13" s="4" t="e">
        <f>+F12*1.1</f>
        <v>#DIV/0!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>
        <v>2000000</v>
      </c>
      <c r="G15" s="1" t="s">
        <v>9</v>
      </c>
      <c r="H15" s="11"/>
      <c r="I15" t="s">
        <v>15</v>
      </c>
      <c r="J15" s="7">
        <f>+F16/F15</f>
        <v>1.0249999999999999</v>
      </c>
    </row>
    <row r="16" spans="1:11" x14ac:dyDescent="0.25">
      <c r="F16" s="4">
        <v>2050000</v>
      </c>
      <c r="G16" s="1" t="s">
        <v>10</v>
      </c>
      <c r="H16" s="11"/>
      <c r="I16" t="s">
        <v>14</v>
      </c>
      <c r="J16" s="7">
        <f>+F17/F16</f>
        <v>0.87804878048780488</v>
      </c>
    </row>
    <row r="17" spans="3:15" x14ac:dyDescent="0.25">
      <c r="F17" s="4">
        <v>1800000</v>
      </c>
      <c r="G17" s="1" t="s">
        <v>11</v>
      </c>
      <c r="H17" s="11"/>
      <c r="I17" t="s">
        <v>13</v>
      </c>
      <c r="J17" s="7">
        <f>+F18/F17</f>
        <v>0</v>
      </c>
      <c r="M17" s="21"/>
      <c r="N17" s="21"/>
      <c r="O17" s="21"/>
    </row>
    <row r="18" spans="3:15" x14ac:dyDescent="0.25">
      <c r="F18" s="4">
        <f>+F7</f>
        <v>0</v>
      </c>
      <c r="G18" s="1" t="s">
        <v>12</v>
      </c>
      <c r="H18" s="11"/>
      <c r="I18" t="s">
        <v>16</v>
      </c>
      <c r="J18" s="7" t="e">
        <f>+F8/F18</f>
        <v>#DIV/0!</v>
      </c>
      <c r="M18" s="21"/>
      <c r="N18" s="21"/>
      <c r="O18" s="21"/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</v>
      </c>
      <c r="M19" s="21"/>
      <c r="N19" s="21"/>
      <c r="O19" s="21"/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24</v>
      </c>
      <c r="J21" s="9"/>
      <c r="K21" s="9"/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e">
        <f>IF(H23=1,"u","")</f>
        <v>#N/A</v>
      </c>
      <c r="D23" s="11"/>
      <c r="E23" s="33"/>
      <c r="H23" t="e">
        <f>RANK(I23,I$23:I$43,1)</f>
        <v>#N/A</v>
      </c>
      <c r="I23" s="4"/>
      <c r="J23" s="4"/>
      <c r="K23" s="4"/>
      <c r="L23" s="4"/>
      <c r="M23" s="22"/>
      <c r="N23" s="22"/>
      <c r="O23" s="22"/>
    </row>
    <row r="24" spans="3:15" x14ac:dyDescent="0.25">
      <c r="C24" s="33" t="e">
        <f>IF(H24=1,"u","")</f>
        <v>#N/A</v>
      </c>
      <c r="D24" s="11"/>
      <c r="E24" s="33"/>
      <c r="H24" t="e">
        <f>RANK(I24,I$23:I$43,1)</f>
        <v>#N/A</v>
      </c>
      <c r="I24" s="4"/>
      <c r="J24" s="4"/>
      <c r="K24" s="4"/>
      <c r="L24" s="4"/>
      <c r="M24" s="22"/>
      <c r="N24" s="22"/>
      <c r="O24" s="22"/>
    </row>
    <row r="25" spans="3:15" x14ac:dyDescent="0.25">
      <c r="C25" s="33" t="e">
        <f>IF(H25=1,"u","")</f>
        <v>#N/A</v>
      </c>
      <c r="D25" s="11"/>
      <c r="E25" s="33"/>
      <c r="H25" t="e">
        <f>RANK(I25,I$23:I$43,1)</f>
        <v>#N/A</v>
      </c>
      <c r="I25" s="4"/>
      <c r="J25" s="4"/>
      <c r="K25" s="4"/>
      <c r="L25" s="4"/>
      <c r="M25" s="22"/>
      <c r="N25" s="22"/>
      <c r="O25" s="22"/>
    </row>
    <row r="26" spans="3:15" x14ac:dyDescent="0.25">
      <c r="C26" s="33" t="e">
        <f t="shared" ref="C26:C43" si="0">IF(H26=1,"u","")</f>
        <v>#N/A</v>
      </c>
      <c r="D26" s="11"/>
      <c r="E26" s="33"/>
      <c r="H26" t="e">
        <f>RANK(I26,I$23:I$43,1)</f>
        <v>#N/A</v>
      </c>
      <c r="I26" s="4"/>
      <c r="J26" s="4"/>
      <c r="K26" s="4"/>
      <c r="L26" s="4"/>
      <c r="M26" s="22"/>
      <c r="N26" s="22"/>
      <c r="O26" s="22"/>
    </row>
    <row r="27" spans="3:15" x14ac:dyDescent="0.25">
      <c r="C27" s="33" t="str">
        <f t="shared" si="0"/>
        <v/>
      </c>
      <c r="D27" s="11"/>
      <c r="E27" s="33" t="str">
        <f t="shared" ref="E27:E43" si="1">IF(H27=1,"t","")</f>
        <v/>
      </c>
      <c r="I27" s="4"/>
      <c r="J27" s="4"/>
      <c r="K27" s="4"/>
      <c r="L27" s="4"/>
      <c r="M27" s="22"/>
      <c r="N27" s="22"/>
      <c r="O27" s="22"/>
    </row>
    <row r="28" spans="3:15" x14ac:dyDescent="0.25">
      <c r="C28" s="33" t="str">
        <f t="shared" si="0"/>
        <v/>
      </c>
      <c r="D28" s="11"/>
      <c r="E28" s="33" t="str">
        <f t="shared" si="1"/>
        <v/>
      </c>
      <c r="I28" s="4"/>
      <c r="J28" s="4"/>
      <c r="K28" s="4"/>
      <c r="L28" s="4"/>
      <c r="M28" s="22"/>
      <c r="N28" s="22"/>
      <c r="O28" s="22"/>
    </row>
    <row r="29" spans="3:15" x14ac:dyDescent="0.25">
      <c r="C29" s="33" t="str">
        <f t="shared" si="0"/>
        <v/>
      </c>
      <c r="D29" s="11"/>
      <c r="E29" s="33" t="str">
        <f t="shared" si="1"/>
        <v/>
      </c>
      <c r="I29" s="4"/>
      <c r="J29" s="4"/>
      <c r="K29" s="4"/>
      <c r="L29" s="4"/>
      <c r="M29" s="22"/>
      <c r="N29" s="22"/>
      <c r="O29" s="22"/>
    </row>
    <row r="30" spans="3:15" x14ac:dyDescent="0.25">
      <c r="C30" s="33" t="str">
        <f t="shared" si="0"/>
        <v/>
      </c>
      <c r="D30" s="11"/>
      <c r="E30" s="33" t="str">
        <f t="shared" si="1"/>
        <v/>
      </c>
      <c r="I30" s="4"/>
      <c r="J30" s="4"/>
      <c r="K30" s="4"/>
      <c r="L30" s="4"/>
      <c r="M30" s="22"/>
      <c r="N30" s="22"/>
      <c r="O30" s="22"/>
    </row>
    <row r="31" spans="3:15" x14ac:dyDescent="0.25">
      <c r="C31" s="33" t="str">
        <f t="shared" si="0"/>
        <v/>
      </c>
      <c r="D31" s="11"/>
      <c r="E31" s="33" t="str">
        <f t="shared" si="1"/>
        <v/>
      </c>
      <c r="I31" s="4"/>
      <c r="J31" s="4"/>
      <c r="K31" s="4"/>
      <c r="L31" s="4"/>
      <c r="M31" s="22"/>
      <c r="N31" s="22"/>
      <c r="O31" s="22"/>
    </row>
    <row r="32" spans="3:15" x14ac:dyDescent="0.25">
      <c r="C32" s="33" t="str">
        <f t="shared" si="0"/>
        <v/>
      </c>
      <c r="D32" s="11"/>
      <c r="E32" s="33" t="str">
        <f t="shared" si="1"/>
        <v/>
      </c>
      <c r="I32" s="4"/>
      <c r="J32" s="4"/>
      <c r="K32" s="4"/>
      <c r="L32" s="4"/>
      <c r="M32" s="22"/>
      <c r="N32" s="22"/>
      <c r="O32" s="22"/>
    </row>
    <row r="33" spans="3:15" x14ac:dyDescent="0.25">
      <c r="C33" s="33" t="str">
        <f t="shared" si="0"/>
        <v/>
      </c>
      <c r="D33" s="11"/>
      <c r="E33" s="33" t="str">
        <f t="shared" si="1"/>
        <v/>
      </c>
      <c r="M33" s="21"/>
      <c r="N33" s="21"/>
      <c r="O33" s="21"/>
    </row>
    <row r="34" spans="3:15" x14ac:dyDescent="0.25">
      <c r="C34" s="33" t="str">
        <f t="shared" si="0"/>
        <v/>
      </c>
      <c r="D34" s="11"/>
      <c r="E34" s="33" t="str">
        <f t="shared" si="1"/>
        <v/>
      </c>
      <c r="M34" s="21"/>
      <c r="N34" s="21"/>
      <c r="O34" s="21"/>
    </row>
    <row r="35" spans="3:15" x14ac:dyDescent="0.25">
      <c r="C35" s="33" t="str">
        <f t="shared" si="0"/>
        <v/>
      </c>
      <c r="D35" s="11"/>
      <c r="E35" s="33" t="str">
        <f t="shared" si="1"/>
        <v/>
      </c>
      <c r="M35" s="21"/>
      <c r="N35" s="21"/>
      <c r="O35" s="21"/>
    </row>
    <row r="36" spans="3:15" x14ac:dyDescent="0.25">
      <c r="C36" s="33" t="str">
        <f t="shared" si="0"/>
        <v/>
      </c>
      <c r="D36" s="11"/>
      <c r="E36" s="33" t="str">
        <f t="shared" si="1"/>
        <v/>
      </c>
      <c r="M36" s="21"/>
      <c r="N36" s="21"/>
      <c r="O36" s="21"/>
    </row>
    <row r="37" spans="3:15" x14ac:dyDescent="0.25">
      <c r="C37" s="33" t="str">
        <f t="shared" si="0"/>
        <v/>
      </c>
      <c r="D37" s="11"/>
      <c r="E37" s="33" t="str">
        <f t="shared" si="1"/>
        <v/>
      </c>
      <c r="M37" s="21"/>
      <c r="N37" s="21"/>
      <c r="O37" s="21"/>
    </row>
    <row r="38" spans="3:15" x14ac:dyDescent="0.25">
      <c r="C38" s="33" t="str">
        <f t="shared" si="0"/>
        <v/>
      </c>
      <c r="D38" s="11"/>
      <c r="E38" s="33" t="str">
        <f t="shared" si="1"/>
        <v/>
      </c>
      <c r="M38" s="21"/>
      <c r="N38" s="21"/>
      <c r="O38" s="21"/>
    </row>
    <row r="39" spans="3:15" x14ac:dyDescent="0.25">
      <c r="C39" s="33" t="str">
        <f t="shared" si="0"/>
        <v/>
      </c>
      <c r="D39" s="11"/>
      <c r="E39" s="33" t="str">
        <f t="shared" si="1"/>
        <v/>
      </c>
      <c r="M39" s="21"/>
      <c r="N39" s="21"/>
      <c r="O39" s="21"/>
    </row>
    <row r="40" spans="3:15" x14ac:dyDescent="0.25">
      <c r="C40" s="33" t="str">
        <f t="shared" si="0"/>
        <v/>
      </c>
      <c r="D40" s="11"/>
      <c r="E40" s="33" t="str">
        <f t="shared" si="1"/>
        <v/>
      </c>
      <c r="M40" s="21"/>
      <c r="N40" s="21"/>
      <c r="O40" s="21"/>
    </row>
    <row r="41" spans="3:15" x14ac:dyDescent="0.25">
      <c r="C41" s="33" t="str">
        <f t="shared" si="0"/>
        <v/>
      </c>
      <c r="D41" s="11"/>
      <c r="E41" s="33" t="str">
        <f t="shared" si="1"/>
        <v/>
      </c>
      <c r="M41" s="21"/>
      <c r="N41" s="21"/>
      <c r="O41" s="21"/>
    </row>
    <row r="42" spans="3:15" x14ac:dyDescent="0.25">
      <c r="C42" s="33" t="str">
        <f t="shared" si="0"/>
        <v/>
      </c>
      <c r="D42" s="11"/>
      <c r="E42" s="33" t="str">
        <f t="shared" si="1"/>
        <v/>
      </c>
      <c r="M42" s="21"/>
      <c r="N42" s="21"/>
      <c r="O42" s="21"/>
    </row>
    <row r="43" spans="3:15" x14ac:dyDescent="0.25">
      <c r="C43" s="33" t="str">
        <f t="shared" si="0"/>
        <v/>
      </c>
      <c r="D43" s="11"/>
      <c r="E43" s="33" t="str">
        <f t="shared" si="1"/>
        <v/>
      </c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44" priority="12" operator="containsText" text="FAIL">
      <formula>NOT(ISERROR(SEARCH("FAIL",I9)))</formula>
    </cfRule>
  </conditionalFormatting>
  <conditionalFormatting sqref="I9">
    <cfRule type="containsText" dxfId="43" priority="11" operator="containsText" text="GOOD">
      <formula>NOT(ISERROR(SEARCH("GOOD",I9)))</formula>
    </cfRule>
  </conditionalFormatting>
  <conditionalFormatting sqref="F11">
    <cfRule type="containsText" dxfId="42" priority="10" operator="containsText" text="FAIL">
      <formula>NOT(ISERROR(SEARCH("FAIL",F11)))</formula>
    </cfRule>
  </conditionalFormatting>
  <conditionalFormatting sqref="F11">
    <cfRule type="containsText" dxfId="41" priority="9" operator="containsText" text="GOOD">
      <formula>NOT(ISERROR(SEARCH("GOOD",F11)))</formula>
    </cfRule>
  </conditionalFormatting>
  <conditionalFormatting sqref="D25">
    <cfRule type="expression" dxfId="40" priority="6" stopIfTrue="1">
      <formula>IF($H$25=1,0)</formula>
    </cfRule>
  </conditionalFormatting>
  <conditionalFormatting sqref="D23:D43">
    <cfRule type="expression" dxfId="39" priority="5">
      <formula>H23=1</formula>
    </cfRule>
  </conditionalFormatting>
  <conditionalFormatting sqref="C23:C43">
    <cfRule type="expression" dxfId="38" priority="4">
      <formula>H23=1</formula>
    </cfRule>
  </conditionalFormatting>
  <conditionalFormatting sqref="E23:E43">
    <cfRule type="expression" dxfId="37" priority="3">
      <formula>H23=1</formula>
    </cfRule>
  </conditionalFormatting>
  <conditionalFormatting sqref="F11">
    <cfRule type="containsText" dxfId="36" priority="2" operator="containsText" text="FAIL">
      <formula>NOT(ISERROR(SEARCH("FAIL",F11)))</formula>
    </cfRule>
  </conditionalFormatting>
  <conditionalFormatting sqref="F11">
    <cfRule type="containsText" dxfId="35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>
    <tabColor rgb="FFFFFF00"/>
  </sheetPr>
  <dimension ref="A2:O47"/>
  <sheetViews>
    <sheetView workbookViewId="0">
      <selection activeCell="F7" sqref="F7"/>
    </sheetView>
  </sheetViews>
  <sheetFormatPr defaultColWidth="8.85546875" defaultRowHeight="15" x14ac:dyDescent="0.25"/>
  <cols>
    <col min="1" max="2" width="4.42578125" customWidth="1"/>
    <col min="3" max="3" width="3" customWidth="1"/>
    <col min="4" max="4" width="24.7109375" customWidth="1"/>
    <col min="5" max="5" width="3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1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1" ht="18.75" x14ac:dyDescent="0.3">
      <c r="C3" s="3" t="s">
        <v>26</v>
      </c>
      <c r="J3" s="8" t="s">
        <v>47</v>
      </c>
    </row>
    <row r="4" spans="1:11" x14ac:dyDescent="0.25">
      <c r="D4" s="2" t="s">
        <v>0</v>
      </c>
      <c r="E4" s="1"/>
      <c r="I4" s="2" t="s">
        <v>4</v>
      </c>
    </row>
    <row r="5" spans="1:11" x14ac:dyDescent="0.25">
      <c r="D5" s="2" t="s">
        <v>1</v>
      </c>
    </row>
    <row r="6" spans="1:11" x14ac:dyDescent="0.25">
      <c r="D6" s="2" t="s">
        <v>2</v>
      </c>
      <c r="F6" s="6">
        <v>42523</v>
      </c>
      <c r="H6" s="11"/>
    </row>
    <row r="7" spans="1:11" x14ac:dyDescent="0.25">
      <c r="D7" s="2" t="s">
        <v>3</v>
      </c>
      <c r="F7" s="5">
        <f>+I7+J7</f>
        <v>0</v>
      </c>
      <c r="G7" s="2" t="s">
        <v>34</v>
      </c>
      <c r="H7" s="11"/>
      <c r="I7" s="19"/>
      <c r="J7" s="19"/>
    </row>
    <row r="8" spans="1:11" x14ac:dyDescent="0.25">
      <c r="D8" s="2" t="s">
        <v>18</v>
      </c>
      <c r="F8" s="5">
        <f>MIN(K23:K43)</f>
        <v>0</v>
      </c>
      <c r="H8" s="11"/>
      <c r="I8" s="18" t="s">
        <v>43</v>
      </c>
      <c r="J8" s="18" t="s">
        <v>44</v>
      </c>
    </row>
    <row r="9" spans="1:11" x14ac:dyDescent="0.25">
      <c r="D9" s="2" t="s">
        <v>19</v>
      </c>
      <c r="F9" s="4">
        <f>+F8-F7</f>
        <v>0</v>
      </c>
      <c r="G9" s="16" t="e">
        <f>+F9/F7</f>
        <v>#DIV/0!</v>
      </c>
      <c r="H9" s="12" t="s">
        <v>20</v>
      </c>
      <c r="I9" s="11" t="e">
        <f>(IF(G9&lt;-0.1,"FAIL",IF(G9&gt;0.05,"FAIL","GOOD")))</f>
        <v>#DIV/0!</v>
      </c>
      <c r="J9" s="14" t="s">
        <v>72</v>
      </c>
    </row>
    <row r="10" spans="1:11" x14ac:dyDescent="0.25">
      <c r="D10" s="2" t="s">
        <v>68</v>
      </c>
      <c r="F10" s="4">
        <f>+F7-F12</f>
        <v>0</v>
      </c>
      <c r="H10" s="11"/>
    </row>
    <row r="11" spans="1:11" x14ac:dyDescent="0.25">
      <c r="A11" s="30"/>
      <c r="D11" s="2" t="s">
        <v>71</v>
      </c>
      <c r="F11" s="11" t="str">
        <f>(IF(F7&lt;J12,"FAIL",IF(F7&gt;J13,"FAIL","GOOD")))</f>
        <v>GOOD</v>
      </c>
      <c r="H11" s="11"/>
    </row>
    <row r="12" spans="1:11" x14ac:dyDescent="0.25">
      <c r="D12" s="2" t="s">
        <v>28</v>
      </c>
      <c r="F12" s="4">
        <f>SUM(K23:K43)/H12</f>
        <v>0</v>
      </c>
      <c r="G12" s="14"/>
      <c r="H12" s="11">
        <f>COUNT(K23:K43)</f>
        <v>11</v>
      </c>
      <c r="I12" s="1" t="s">
        <v>31</v>
      </c>
      <c r="J12" s="4">
        <f>+F8*0.9</f>
        <v>0</v>
      </c>
      <c r="K12" s="1" t="s">
        <v>69</v>
      </c>
    </row>
    <row r="13" spans="1:11" x14ac:dyDescent="0.25">
      <c r="D13" s="2" t="s">
        <v>29</v>
      </c>
      <c r="F13" s="4">
        <f>MAX(K23:K43)-MIN(K23:K43)</f>
        <v>0</v>
      </c>
      <c r="G13" s="269">
        <f>MEDIAN(K23:K43)</f>
        <v>0</v>
      </c>
      <c r="H13" s="270"/>
      <c r="I13" s="1" t="s">
        <v>30</v>
      </c>
      <c r="J13" s="4">
        <f>+F12*1.1</f>
        <v>0</v>
      </c>
      <c r="K13" s="1" t="s">
        <v>70</v>
      </c>
    </row>
    <row r="14" spans="1:11" x14ac:dyDescent="0.25">
      <c r="H14" s="11"/>
    </row>
    <row r="15" spans="1:11" x14ac:dyDescent="0.25">
      <c r="D15" s="2" t="s">
        <v>8</v>
      </c>
      <c r="F15" s="4">
        <v>30000000</v>
      </c>
      <c r="G15" s="1" t="s">
        <v>9</v>
      </c>
      <c r="H15" s="11"/>
      <c r="I15" t="s">
        <v>15</v>
      </c>
      <c r="J15" s="7">
        <f>+F16/F15</f>
        <v>0.93333333333333335</v>
      </c>
    </row>
    <row r="16" spans="1:11" x14ac:dyDescent="0.25">
      <c r="F16" s="4">
        <v>28000000</v>
      </c>
      <c r="G16" s="1" t="s">
        <v>10</v>
      </c>
      <c r="H16" s="11"/>
      <c r="I16" t="s">
        <v>14</v>
      </c>
      <c r="J16" s="7">
        <f>+F17/F16</f>
        <v>1.0535714285714286</v>
      </c>
    </row>
    <row r="17" spans="3:15" x14ac:dyDescent="0.25">
      <c r="F17" s="4">
        <v>29500000</v>
      </c>
      <c r="G17" s="1" t="s">
        <v>11</v>
      </c>
      <c r="H17" s="11"/>
      <c r="I17" t="s">
        <v>13</v>
      </c>
      <c r="J17" s="7">
        <f>+F18/F17</f>
        <v>0</v>
      </c>
    </row>
    <row r="18" spans="3:15" x14ac:dyDescent="0.25">
      <c r="F18" s="4">
        <f>+F7</f>
        <v>0</v>
      </c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</v>
      </c>
    </row>
    <row r="20" spans="3:15" x14ac:dyDescent="0.25">
      <c r="H20" s="11"/>
      <c r="M20" s="21"/>
      <c r="N20" s="21"/>
      <c r="O20" s="2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0" t="s">
        <v>39</v>
      </c>
      <c r="L21" s="9"/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/>
      <c r="E23" s="33"/>
      <c r="H23">
        <f>RANK(K23,K$23:K$43,1)</f>
        <v>1</v>
      </c>
      <c r="I23" s="4"/>
      <c r="J23" s="4"/>
      <c r="K23" s="4">
        <f>+J23+I23</f>
        <v>0</v>
      </c>
      <c r="L23" s="4"/>
      <c r="M23" s="22"/>
      <c r="N23" s="22"/>
      <c r="O23" s="22"/>
    </row>
    <row r="24" spans="3:15" x14ac:dyDescent="0.25">
      <c r="C24" s="33" t="str">
        <f>IF(H24=1,"u","")</f>
        <v>u</v>
      </c>
      <c r="D24" s="11"/>
      <c r="E24" s="33"/>
      <c r="H24">
        <f t="shared" ref="H24:H33" si="0">RANK(K24,K$23:K$43,1)</f>
        <v>1</v>
      </c>
      <c r="I24" s="4"/>
      <c r="J24" s="4"/>
      <c r="K24" s="4">
        <f t="shared" ref="K24:K33" si="1">+J24+I24</f>
        <v>0</v>
      </c>
      <c r="L24" s="4"/>
      <c r="M24" s="22"/>
      <c r="N24" s="22"/>
      <c r="O24" s="22"/>
    </row>
    <row r="25" spans="3:15" x14ac:dyDescent="0.25">
      <c r="C25" s="33" t="str">
        <f>IF(H25=1,"u","")</f>
        <v>u</v>
      </c>
      <c r="D25" s="11"/>
      <c r="E25" s="33"/>
      <c r="H25">
        <f t="shared" si="0"/>
        <v>1</v>
      </c>
      <c r="I25" s="4"/>
      <c r="J25" s="4"/>
      <c r="K25" s="4">
        <f t="shared" si="1"/>
        <v>0</v>
      </c>
      <c r="L25" s="4"/>
      <c r="M25" s="22"/>
      <c r="N25" s="22"/>
      <c r="O25" s="22"/>
    </row>
    <row r="26" spans="3:15" x14ac:dyDescent="0.25">
      <c r="C26" s="33" t="str">
        <f t="shared" ref="C26:C43" si="2">IF(H26=1,"u","")</f>
        <v>u</v>
      </c>
      <c r="D26" s="11"/>
      <c r="E26" s="33"/>
      <c r="H26">
        <f t="shared" si="0"/>
        <v>1</v>
      </c>
      <c r="I26" s="4"/>
      <c r="J26" s="4"/>
      <c r="K26" s="4">
        <f t="shared" si="1"/>
        <v>0</v>
      </c>
      <c r="L26" s="4"/>
      <c r="M26" s="22"/>
      <c r="N26" s="22"/>
      <c r="O26" s="22"/>
    </row>
    <row r="27" spans="3:15" x14ac:dyDescent="0.25">
      <c r="C27" s="33" t="str">
        <f t="shared" si="2"/>
        <v>u</v>
      </c>
      <c r="D27" s="11"/>
      <c r="E27" s="33"/>
      <c r="H27">
        <f t="shared" si="0"/>
        <v>1</v>
      </c>
      <c r="I27" s="4"/>
      <c r="J27" s="4"/>
      <c r="K27" s="4">
        <f t="shared" si="1"/>
        <v>0</v>
      </c>
      <c r="L27" s="4"/>
      <c r="M27" s="22"/>
      <c r="N27" s="22"/>
      <c r="O27" s="22"/>
    </row>
    <row r="28" spans="3:15" x14ac:dyDescent="0.25">
      <c r="C28" s="33" t="str">
        <f t="shared" si="2"/>
        <v>u</v>
      </c>
      <c r="D28" s="11"/>
      <c r="E28" s="33"/>
      <c r="H28">
        <f t="shared" si="0"/>
        <v>1</v>
      </c>
      <c r="I28" s="4"/>
      <c r="J28" s="4"/>
      <c r="K28" s="4">
        <f t="shared" si="1"/>
        <v>0</v>
      </c>
      <c r="L28" s="4"/>
      <c r="M28" s="22"/>
      <c r="N28" s="22"/>
      <c r="O28" s="22"/>
    </row>
    <row r="29" spans="3:15" x14ac:dyDescent="0.25">
      <c r="C29" s="33" t="str">
        <f t="shared" si="2"/>
        <v>u</v>
      </c>
      <c r="D29" s="11"/>
      <c r="E29" s="33"/>
      <c r="H29">
        <f t="shared" si="0"/>
        <v>1</v>
      </c>
      <c r="I29" s="4"/>
      <c r="J29" s="4"/>
      <c r="K29" s="4">
        <f t="shared" si="1"/>
        <v>0</v>
      </c>
      <c r="L29" s="4"/>
      <c r="M29" s="22"/>
      <c r="N29" s="22"/>
      <c r="O29" s="22"/>
    </row>
    <row r="30" spans="3:15" x14ac:dyDescent="0.25">
      <c r="C30" s="33" t="str">
        <f t="shared" si="2"/>
        <v>u</v>
      </c>
      <c r="D30" s="11"/>
      <c r="E30" s="33"/>
      <c r="H30">
        <f t="shared" si="0"/>
        <v>1</v>
      </c>
      <c r="I30" s="4"/>
      <c r="J30" s="4"/>
      <c r="K30" s="4">
        <f t="shared" si="1"/>
        <v>0</v>
      </c>
      <c r="L30" s="4"/>
      <c r="M30" s="22"/>
      <c r="N30" s="22"/>
      <c r="O30" s="22"/>
    </row>
    <row r="31" spans="3:15" x14ac:dyDescent="0.25">
      <c r="C31" s="33" t="str">
        <f t="shared" si="2"/>
        <v>u</v>
      </c>
      <c r="D31" s="11"/>
      <c r="E31" s="33"/>
      <c r="H31">
        <f t="shared" si="0"/>
        <v>1</v>
      </c>
      <c r="I31" s="4"/>
      <c r="J31" s="4"/>
      <c r="K31" s="4">
        <f t="shared" si="1"/>
        <v>0</v>
      </c>
      <c r="L31" s="4"/>
      <c r="M31" s="22"/>
      <c r="N31" s="22"/>
      <c r="O31" s="22"/>
    </row>
    <row r="32" spans="3:15" x14ac:dyDescent="0.25">
      <c r="C32" s="33" t="str">
        <f t="shared" si="2"/>
        <v>u</v>
      </c>
      <c r="D32" s="11"/>
      <c r="E32" s="33"/>
      <c r="H32">
        <f t="shared" si="0"/>
        <v>1</v>
      </c>
      <c r="I32" s="4"/>
      <c r="J32" s="4"/>
      <c r="K32" s="4">
        <f t="shared" si="1"/>
        <v>0</v>
      </c>
      <c r="L32" s="4"/>
      <c r="M32" s="22"/>
      <c r="N32" s="22"/>
      <c r="O32" s="22"/>
    </row>
    <row r="33" spans="3:15" x14ac:dyDescent="0.25">
      <c r="C33" s="33" t="str">
        <f t="shared" si="2"/>
        <v>u</v>
      </c>
      <c r="D33" s="11"/>
      <c r="E33" s="33"/>
      <c r="H33">
        <f t="shared" si="0"/>
        <v>1</v>
      </c>
      <c r="I33" s="4"/>
      <c r="J33" s="4"/>
      <c r="K33" s="4">
        <f t="shared" si="1"/>
        <v>0</v>
      </c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 t="str">
        <f t="shared" ref="E34:E43" si="3">IF(H34=1,"t","")</f>
        <v/>
      </c>
      <c r="K34" s="4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 t="str">
        <f t="shared" si="3"/>
        <v/>
      </c>
      <c r="K35" s="4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 t="str">
        <f t="shared" si="3"/>
        <v/>
      </c>
      <c r="K36" s="4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4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4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4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4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4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4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4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</row>
  </sheetData>
  <mergeCells count="1">
    <mergeCell ref="G13:H13"/>
  </mergeCells>
  <conditionalFormatting sqref="I9">
    <cfRule type="containsText" dxfId="34" priority="19" operator="containsText" text="FAIL">
      <formula>NOT(ISERROR(SEARCH("FAIL",I9)))</formula>
    </cfRule>
  </conditionalFormatting>
  <conditionalFormatting sqref="I9">
    <cfRule type="containsText" dxfId="33" priority="18" operator="containsText" text="GOOD">
      <formula>NOT(ISERROR(SEARCH("GOOD",I9)))</formula>
    </cfRule>
  </conditionalFormatting>
  <conditionalFormatting sqref="I9">
    <cfRule type="containsText" dxfId="32" priority="17" operator="containsText" text="FAIL">
      <formula>NOT(ISERROR(SEARCH("FAIL",I9)))</formula>
    </cfRule>
  </conditionalFormatting>
  <conditionalFormatting sqref="I9">
    <cfRule type="containsText" dxfId="31" priority="16" operator="containsText" text="GOOD">
      <formula>NOT(ISERROR(SEARCH("GOOD",I9)))</formula>
    </cfRule>
  </conditionalFormatting>
  <conditionalFormatting sqref="I9">
    <cfRule type="containsText" dxfId="30" priority="15" operator="containsText" text="FAIL">
      <formula>NOT(ISERROR(SEARCH("FAIL",I9)))</formula>
    </cfRule>
  </conditionalFormatting>
  <conditionalFormatting sqref="I9">
    <cfRule type="containsText" dxfId="29" priority="14" operator="containsText" text="GOOD">
      <formula>NOT(ISERROR(SEARCH("GOOD",I9)))</formula>
    </cfRule>
  </conditionalFormatting>
  <conditionalFormatting sqref="F11">
    <cfRule type="containsText" dxfId="28" priority="13" operator="containsText" text="FAIL">
      <formula>NOT(ISERROR(SEARCH("FAIL",F11)))</formula>
    </cfRule>
  </conditionalFormatting>
  <conditionalFormatting sqref="F11">
    <cfRule type="containsText" dxfId="27" priority="12" operator="containsText" text="GOOD">
      <formula>NOT(ISERROR(SEARCH("GOOD",F11)))</formula>
    </cfRule>
  </conditionalFormatting>
  <conditionalFormatting sqref="I9">
    <cfRule type="containsText" dxfId="26" priority="11" operator="containsText" text="FAIL">
      <formula>NOT(ISERROR(SEARCH("FAIL",I9)))</formula>
    </cfRule>
  </conditionalFormatting>
  <conditionalFormatting sqref="I9">
    <cfRule type="containsText" dxfId="25" priority="10" operator="containsText" text="GOOD">
      <formula>NOT(ISERROR(SEARCH("GOOD",I9)))</formula>
    </cfRule>
  </conditionalFormatting>
  <conditionalFormatting sqref="F11">
    <cfRule type="containsText" dxfId="24" priority="9" operator="containsText" text="FAIL">
      <formula>NOT(ISERROR(SEARCH("FAIL",F11)))</formula>
    </cfRule>
  </conditionalFormatting>
  <conditionalFormatting sqref="F11">
    <cfRule type="containsText" dxfId="23" priority="8" operator="containsText" text="GOOD">
      <formula>NOT(ISERROR(SEARCH("GOOD",F11)))</formula>
    </cfRule>
  </conditionalFormatting>
  <conditionalFormatting sqref="D25">
    <cfRule type="expression" dxfId="22" priority="7" stopIfTrue="1">
      <formula>IF($H$25=1,0)</formula>
    </cfRule>
  </conditionalFormatting>
  <conditionalFormatting sqref="D23:D43">
    <cfRule type="expression" dxfId="21" priority="6">
      <formula>H23=1</formula>
    </cfRule>
  </conditionalFormatting>
  <conditionalFormatting sqref="C23:C43">
    <cfRule type="expression" dxfId="20" priority="5">
      <formula>H23=1</formula>
    </cfRule>
  </conditionalFormatting>
  <conditionalFormatting sqref="E23:E43">
    <cfRule type="expression" dxfId="19" priority="4">
      <formula>H23=1</formula>
    </cfRule>
  </conditionalFormatting>
  <conditionalFormatting sqref="E23:E43">
    <cfRule type="expression" dxfId="18" priority="3">
      <formula>H23=1</formula>
    </cfRule>
  </conditionalFormatting>
  <conditionalFormatting sqref="F11">
    <cfRule type="containsText" dxfId="17" priority="2" operator="containsText" text="FAIL">
      <formula>NOT(ISERROR(SEARCH("FAIL",F11)))</formula>
    </cfRule>
  </conditionalFormatting>
  <conditionalFormatting sqref="F11">
    <cfRule type="containsText" dxfId="16" priority="1" operator="containsText" text="GOOD">
      <formula>NOT(ISERROR(SEARCH("GOOD",F11)))</formula>
    </cfRule>
  </conditionalFormatting>
  <pageMargins left="0.7" right="0.7" top="0.75" bottom="0.75" header="0.3" footer="0.3"/>
  <pageSetup orientation="portrait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>
    <tabColor rgb="FFFFFF00"/>
  </sheetPr>
  <dimension ref="A2:O47"/>
  <sheetViews>
    <sheetView zoomScaleNormal="100" workbookViewId="0">
      <selection activeCell="M13" sqref="M13"/>
    </sheetView>
  </sheetViews>
  <sheetFormatPr defaultColWidth="8.85546875" defaultRowHeight="15" x14ac:dyDescent="0.25"/>
  <cols>
    <col min="1" max="2" width="4.42578125" customWidth="1"/>
    <col min="3" max="3" width="2.7109375" customWidth="1"/>
    <col min="4" max="4" width="24.7109375" customWidth="1"/>
    <col min="5" max="5" width="2.7109375" customWidth="1"/>
    <col min="6" max="6" width="15.7109375" customWidth="1"/>
    <col min="7" max="7" width="8.42578125" customWidth="1"/>
    <col min="8" max="8" width="5.85546875" customWidth="1"/>
    <col min="9" max="15" width="15.7109375" customWidth="1"/>
  </cols>
  <sheetData>
    <row r="2" spans="1:14" x14ac:dyDescent="0.25">
      <c r="C2" s="15" t="s">
        <v>32</v>
      </c>
      <c r="E2" s="15"/>
      <c r="F2" s="15"/>
      <c r="G2" s="15" t="s">
        <v>33</v>
      </c>
      <c r="H2" s="15"/>
      <c r="I2" s="15"/>
      <c r="J2" s="15"/>
      <c r="K2" s="15"/>
    </row>
    <row r="3" spans="1:14" ht="18.75" x14ac:dyDescent="0.3">
      <c r="C3" s="3" t="s">
        <v>26</v>
      </c>
      <c r="J3" s="8" t="s">
        <v>48</v>
      </c>
    </row>
    <row r="4" spans="1:14" x14ac:dyDescent="0.25">
      <c r="C4" s="1"/>
      <c r="D4" s="2" t="s">
        <v>0</v>
      </c>
      <c r="E4" s="1"/>
      <c r="I4" s="2" t="s">
        <v>4</v>
      </c>
    </row>
    <row r="5" spans="1:14" x14ac:dyDescent="0.25">
      <c r="D5" s="2" t="s">
        <v>1</v>
      </c>
    </row>
    <row r="6" spans="1:14" x14ac:dyDescent="0.25">
      <c r="D6" s="2" t="s">
        <v>2</v>
      </c>
      <c r="F6" s="6">
        <v>42511</v>
      </c>
      <c r="H6" s="11"/>
    </row>
    <row r="7" spans="1:14" x14ac:dyDescent="0.25">
      <c r="D7" s="2" t="s">
        <v>3</v>
      </c>
      <c r="F7" s="5">
        <f>+K7+J7+I7+(L7*K7)</f>
        <v>0</v>
      </c>
      <c r="G7" s="2" t="s">
        <v>34</v>
      </c>
      <c r="H7" s="11"/>
      <c r="I7" s="19"/>
      <c r="J7" s="19"/>
      <c r="K7" s="19"/>
      <c r="L7" s="20"/>
    </row>
    <row r="8" spans="1:14" x14ac:dyDescent="0.25">
      <c r="D8" s="2" t="s">
        <v>18</v>
      </c>
      <c r="F8" s="5">
        <f>MIN(L23:L43)</f>
        <v>0</v>
      </c>
      <c r="H8" s="11"/>
      <c r="I8" s="18" t="s">
        <v>43</v>
      </c>
      <c r="J8" s="18" t="s">
        <v>44</v>
      </c>
      <c r="K8" s="18" t="s">
        <v>49</v>
      </c>
      <c r="L8" s="18" t="s">
        <v>50</v>
      </c>
    </row>
    <row r="9" spans="1:14" x14ac:dyDescent="0.25">
      <c r="D9" s="2" t="s">
        <v>19</v>
      </c>
      <c r="F9" s="4">
        <f>+F8-F7</f>
        <v>0</v>
      </c>
      <c r="G9" s="16" t="e">
        <f>+F9/F7</f>
        <v>#DIV/0!</v>
      </c>
      <c r="H9" s="12" t="s">
        <v>20</v>
      </c>
      <c r="I9" s="11" t="e">
        <f>(IF(G9&lt;-0.1,"FAIL",IF(G9&gt;0.05,"FAIL","GOOD")))</f>
        <v>#DIV/0!</v>
      </c>
      <c r="J9" s="14" t="s">
        <v>72</v>
      </c>
    </row>
    <row r="10" spans="1:14" x14ac:dyDescent="0.25">
      <c r="D10" s="2" t="s">
        <v>68</v>
      </c>
      <c r="F10" s="4">
        <f>+F7-F12</f>
        <v>0</v>
      </c>
      <c r="H10" s="11"/>
      <c r="K10" s="31"/>
      <c r="N10" t="e">
        <f>LOOKUP(1,D23:D43)</f>
        <v>#N/A</v>
      </c>
    </row>
    <row r="11" spans="1:14" x14ac:dyDescent="0.25">
      <c r="A11" s="30"/>
      <c r="D11" s="2" t="s">
        <v>71</v>
      </c>
      <c r="F11" s="11" t="str">
        <f>(IF(F7&lt;J12,"FAIL",IF(F7&gt;J13,"FAIL","GOOD")))</f>
        <v>GOOD</v>
      </c>
      <c r="H11" s="11"/>
      <c r="L11" s="31"/>
      <c r="N11" t="e">
        <f>MATCH(1,D23:H43,0)</f>
        <v>#N/A</v>
      </c>
    </row>
    <row r="12" spans="1:14" x14ac:dyDescent="0.25">
      <c r="D12" s="2" t="s">
        <v>28</v>
      </c>
      <c r="F12" s="4">
        <f>SUM(L23:L43)/H12</f>
        <v>0</v>
      </c>
      <c r="G12" s="14"/>
      <c r="H12" s="11">
        <f>COUNT(L23:L43)</f>
        <v>7</v>
      </c>
      <c r="I12" s="1" t="s">
        <v>31</v>
      </c>
      <c r="J12" s="4">
        <f>+F8*0.9</f>
        <v>0</v>
      </c>
      <c r="K12" s="1" t="s">
        <v>69</v>
      </c>
      <c r="N12">
        <f>INDEX(D23:D43,MATCH(1,H23:H43,0))</f>
        <v>0</v>
      </c>
    </row>
    <row r="13" spans="1:14" x14ac:dyDescent="0.25">
      <c r="D13" s="2" t="s">
        <v>29</v>
      </c>
      <c r="F13" s="4">
        <f>MAX(L23:L43)-MIN(L23:L43)</f>
        <v>0</v>
      </c>
      <c r="G13" s="269">
        <f>MEDIAN(L23:L43)</f>
        <v>0</v>
      </c>
      <c r="H13" s="270"/>
      <c r="I13" s="1" t="s">
        <v>30</v>
      </c>
      <c r="J13" s="4">
        <f>+F12*1.1</f>
        <v>0</v>
      </c>
      <c r="K13" s="1" t="s">
        <v>70</v>
      </c>
    </row>
    <row r="14" spans="1:14" x14ac:dyDescent="0.25">
      <c r="H14" s="11"/>
    </row>
    <row r="15" spans="1:14" x14ac:dyDescent="0.25">
      <c r="D15" s="2" t="s">
        <v>8</v>
      </c>
      <c r="F15" s="4">
        <v>5000000</v>
      </c>
      <c r="G15" s="1" t="s">
        <v>9</v>
      </c>
      <c r="H15" s="11"/>
      <c r="I15" t="s">
        <v>15</v>
      </c>
      <c r="J15" s="7">
        <f>+F16/F15</f>
        <v>1.2</v>
      </c>
    </row>
    <row r="16" spans="1:14" x14ac:dyDescent="0.25">
      <c r="F16" s="4">
        <v>6000000</v>
      </c>
      <c r="G16" s="1" t="s">
        <v>10</v>
      </c>
      <c r="H16" s="11"/>
      <c r="I16" t="s">
        <v>14</v>
      </c>
      <c r="J16" s="7">
        <f>+F17/F16</f>
        <v>1.0833333333333333</v>
      </c>
    </row>
    <row r="17" spans="3:15" x14ac:dyDescent="0.25">
      <c r="F17" s="4">
        <v>6500000</v>
      </c>
      <c r="G17" s="1" t="s">
        <v>11</v>
      </c>
      <c r="H17" s="11"/>
      <c r="I17" t="s">
        <v>13</v>
      </c>
      <c r="J17" s="7">
        <f>+F18/F17</f>
        <v>0</v>
      </c>
    </row>
    <row r="18" spans="3:15" x14ac:dyDescent="0.25">
      <c r="F18" s="4">
        <f>+F7</f>
        <v>0</v>
      </c>
      <c r="G18" s="1" t="s">
        <v>12</v>
      </c>
      <c r="H18" s="11"/>
      <c r="I18" t="s">
        <v>16</v>
      </c>
      <c r="J18" s="7" t="e">
        <f>+F8/F18</f>
        <v>#DIV/0!</v>
      </c>
    </row>
    <row r="19" spans="3:15" x14ac:dyDescent="0.25">
      <c r="F19" s="2" t="s">
        <v>51</v>
      </c>
      <c r="G19">
        <v>0</v>
      </c>
      <c r="H19" s="11" t="s">
        <v>52</v>
      </c>
      <c r="I19" t="s">
        <v>41</v>
      </c>
      <c r="J19" s="7">
        <f>+F8/F15</f>
        <v>0</v>
      </c>
    </row>
    <row r="20" spans="3:15" x14ac:dyDescent="0.25">
      <c r="H20" s="11"/>
    </row>
    <row r="21" spans="3:15" x14ac:dyDescent="0.25">
      <c r="C21" s="9"/>
      <c r="D21" s="13" t="s">
        <v>21</v>
      </c>
      <c r="E21" s="9"/>
      <c r="F21" s="9" t="s">
        <v>22</v>
      </c>
      <c r="G21" s="9" t="s">
        <v>23</v>
      </c>
      <c r="H21" s="13" t="s">
        <v>27</v>
      </c>
      <c r="I21" s="10" t="s">
        <v>38</v>
      </c>
      <c r="J21" s="10" t="s">
        <v>37</v>
      </c>
      <c r="K21" s="17" t="s">
        <v>42</v>
      </c>
      <c r="L21" s="10" t="s">
        <v>39</v>
      </c>
      <c r="M21" s="21"/>
      <c r="N21" s="21"/>
      <c r="O21" s="21"/>
    </row>
    <row r="22" spans="3:15" ht="6" customHeight="1" x14ac:dyDescent="0.25">
      <c r="M22" s="21"/>
      <c r="N22" s="21"/>
      <c r="O22" s="21"/>
    </row>
    <row r="23" spans="3:15" x14ac:dyDescent="0.25">
      <c r="C23" s="33" t="str">
        <f>IF(H23=1,"u","")</f>
        <v>u</v>
      </c>
      <c r="D23" s="11"/>
      <c r="E23" s="33"/>
      <c r="H23">
        <f>RANK(L23,L$23:L$43,1)</f>
        <v>1</v>
      </c>
      <c r="I23" s="4"/>
      <c r="J23" s="4"/>
      <c r="K23" s="7"/>
      <c r="L23" s="4">
        <f>+I23+J23+(K23*K$7)+$K$7</f>
        <v>0</v>
      </c>
      <c r="M23" s="22"/>
      <c r="N23" s="22"/>
      <c r="O23" s="22"/>
    </row>
    <row r="24" spans="3:15" x14ac:dyDescent="0.25">
      <c r="C24" s="33" t="str">
        <f>IF(H24=1,"u","")</f>
        <v>u</v>
      </c>
      <c r="D24" s="11"/>
      <c r="E24" s="33"/>
      <c r="H24">
        <f t="shared" ref="H24:H29" si="0">RANK(L24,L$23:L$43,1)</f>
        <v>1</v>
      </c>
      <c r="I24" s="4"/>
      <c r="J24" s="4"/>
      <c r="K24" s="7"/>
      <c r="L24" s="4">
        <f t="shared" ref="L24:L29" si="1">+I24+J24+(K24*K$7)+$K$7</f>
        <v>0</v>
      </c>
      <c r="M24" s="22"/>
      <c r="N24" s="22"/>
      <c r="O24" s="22"/>
    </row>
    <row r="25" spans="3:15" x14ac:dyDescent="0.25">
      <c r="C25" s="33" t="str">
        <f>IF(H25=1,"u","")</f>
        <v>u</v>
      </c>
      <c r="D25" s="11"/>
      <c r="E25" s="33"/>
      <c r="H25">
        <f t="shared" si="0"/>
        <v>1</v>
      </c>
      <c r="I25" s="4"/>
      <c r="J25" s="4"/>
      <c r="K25" s="7"/>
      <c r="L25" s="4">
        <f t="shared" si="1"/>
        <v>0</v>
      </c>
      <c r="M25" s="22"/>
      <c r="N25" s="22"/>
      <c r="O25" s="22"/>
    </row>
    <row r="26" spans="3:15" x14ac:dyDescent="0.25">
      <c r="C26" s="33" t="str">
        <f t="shared" ref="C26:C43" si="2">IF(H26=1,"u","")</f>
        <v>u</v>
      </c>
      <c r="D26" s="11"/>
      <c r="E26" s="33"/>
      <c r="H26">
        <f t="shared" si="0"/>
        <v>1</v>
      </c>
      <c r="I26" s="4"/>
      <c r="J26" s="4"/>
      <c r="K26" s="7"/>
      <c r="L26" s="4">
        <f t="shared" si="1"/>
        <v>0</v>
      </c>
      <c r="M26" s="22"/>
      <c r="N26" s="22"/>
      <c r="O26" s="22"/>
    </row>
    <row r="27" spans="3:15" x14ac:dyDescent="0.25">
      <c r="C27" s="33" t="str">
        <f t="shared" si="2"/>
        <v>u</v>
      </c>
      <c r="D27" s="11"/>
      <c r="E27" s="33"/>
      <c r="H27">
        <f t="shared" si="0"/>
        <v>1</v>
      </c>
      <c r="I27" s="4"/>
      <c r="J27" s="4"/>
      <c r="K27" s="7"/>
      <c r="L27" s="4">
        <f t="shared" si="1"/>
        <v>0</v>
      </c>
      <c r="M27" s="22"/>
      <c r="N27" s="22"/>
      <c r="O27" s="22"/>
    </row>
    <row r="28" spans="3:15" x14ac:dyDescent="0.25">
      <c r="C28" s="33" t="str">
        <f t="shared" si="2"/>
        <v>u</v>
      </c>
      <c r="D28" s="11"/>
      <c r="E28" s="33"/>
      <c r="H28">
        <f t="shared" si="0"/>
        <v>1</v>
      </c>
      <c r="I28" s="4"/>
      <c r="J28" s="4"/>
      <c r="K28" s="7"/>
      <c r="L28" s="4">
        <f t="shared" si="1"/>
        <v>0</v>
      </c>
      <c r="M28" s="22"/>
      <c r="N28" s="22"/>
      <c r="O28" s="22"/>
    </row>
    <row r="29" spans="3:15" x14ac:dyDescent="0.25">
      <c r="C29" s="33" t="str">
        <f t="shared" si="2"/>
        <v>u</v>
      </c>
      <c r="D29" s="11"/>
      <c r="E29" s="33"/>
      <c r="H29">
        <f t="shared" si="0"/>
        <v>1</v>
      </c>
      <c r="I29" s="4"/>
      <c r="J29" s="4"/>
      <c r="K29" s="7"/>
      <c r="L29" s="4">
        <f t="shared" si="1"/>
        <v>0</v>
      </c>
      <c r="M29" s="22"/>
      <c r="N29" s="22"/>
      <c r="O29" s="22"/>
    </row>
    <row r="30" spans="3:15" x14ac:dyDescent="0.25">
      <c r="C30" s="33" t="str">
        <f t="shared" si="2"/>
        <v/>
      </c>
      <c r="D30" s="11"/>
      <c r="E30" s="33" t="str">
        <f t="shared" ref="E30:E43" si="3">IF(H30=1,"t","")</f>
        <v/>
      </c>
      <c r="I30" s="4"/>
      <c r="J30" s="4"/>
      <c r="K30" s="7"/>
      <c r="L30" s="4"/>
      <c r="M30" s="22"/>
      <c r="N30" s="22"/>
      <c r="O30" s="22"/>
    </row>
    <row r="31" spans="3:15" x14ac:dyDescent="0.25">
      <c r="C31" s="33" t="str">
        <f t="shared" si="2"/>
        <v/>
      </c>
      <c r="D31" s="11"/>
      <c r="E31" s="33" t="str">
        <f t="shared" si="3"/>
        <v/>
      </c>
      <c r="I31" s="4"/>
      <c r="J31" s="4"/>
      <c r="K31" s="7"/>
      <c r="L31" s="4"/>
      <c r="M31" s="22"/>
      <c r="N31" s="22"/>
      <c r="O31" s="22"/>
    </row>
    <row r="32" spans="3:15" x14ac:dyDescent="0.25">
      <c r="C32" s="33" t="str">
        <f t="shared" si="2"/>
        <v/>
      </c>
      <c r="D32" s="11"/>
      <c r="E32" s="33" t="str">
        <f t="shared" si="3"/>
        <v/>
      </c>
      <c r="I32" s="4"/>
      <c r="J32" s="4"/>
      <c r="K32" s="7"/>
      <c r="L32" s="4"/>
      <c r="M32" s="22"/>
      <c r="N32" s="22"/>
      <c r="O32" s="22"/>
    </row>
    <row r="33" spans="3:15" x14ac:dyDescent="0.25">
      <c r="C33" s="33" t="str">
        <f t="shared" si="2"/>
        <v/>
      </c>
      <c r="D33" s="11"/>
      <c r="E33" s="33" t="str">
        <f t="shared" si="3"/>
        <v/>
      </c>
      <c r="I33" s="4"/>
      <c r="J33" s="4"/>
      <c r="K33" s="7"/>
      <c r="L33" s="4"/>
      <c r="M33" s="21"/>
      <c r="N33" s="21"/>
      <c r="O33" s="21"/>
    </row>
    <row r="34" spans="3:15" x14ac:dyDescent="0.25">
      <c r="C34" s="33" t="str">
        <f t="shared" si="2"/>
        <v/>
      </c>
      <c r="D34" s="11"/>
      <c r="E34" s="33" t="str">
        <f t="shared" si="3"/>
        <v/>
      </c>
      <c r="K34" s="7"/>
      <c r="M34" s="21"/>
      <c r="N34" s="21"/>
      <c r="O34" s="21"/>
    </row>
    <row r="35" spans="3:15" x14ac:dyDescent="0.25">
      <c r="C35" s="33" t="str">
        <f t="shared" si="2"/>
        <v/>
      </c>
      <c r="D35" s="11"/>
      <c r="E35" s="33" t="str">
        <f t="shared" si="3"/>
        <v/>
      </c>
      <c r="K35" s="7"/>
      <c r="M35" s="21"/>
      <c r="N35" s="21"/>
      <c r="O35" s="21"/>
    </row>
    <row r="36" spans="3:15" x14ac:dyDescent="0.25">
      <c r="C36" s="33" t="str">
        <f t="shared" si="2"/>
        <v/>
      </c>
      <c r="D36" s="11"/>
      <c r="E36" s="33" t="str">
        <f t="shared" si="3"/>
        <v/>
      </c>
      <c r="K36" s="7"/>
      <c r="M36" s="21"/>
      <c r="N36" s="21"/>
      <c r="O36" s="21"/>
    </row>
    <row r="37" spans="3:15" x14ac:dyDescent="0.25">
      <c r="C37" s="33" t="str">
        <f t="shared" si="2"/>
        <v/>
      </c>
      <c r="D37" s="11"/>
      <c r="E37" s="33" t="str">
        <f t="shared" si="3"/>
        <v/>
      </c>
      <c r="K37" s="7"/>
      <c r="M37" s="21"/>
      <c r="N37" s="21"/>
      <c r="O37" s="21"/>
    </row>
    <row r="38" spans="3:15" x14ac:dyDescent="0.25">
      <c r="C38" s="33" t="str">
        <f t="shared" si="2"/>
        <v/>
      </c>
      <c r="D38" s="11"/>
      <c r="E38" s="33" t="str">
        <f t="shared" si="3"/>
        <v/>
      </c>
      <c r="K38" s="7"/>
      <c r="M38" s="21"/>
      <c r="N38" s="21"/>
      <c r="O38" s="21"/>
    </row>
    <row r="39" spans="3:15" x14ac:dyDescent="0.25">
      <c r="C39" s="33" t="str">
        <f t="shared" si="2"/>
        <v/>
      </c>
      <c r="D39" s="11"/>
      <c r="E39" s="33" t="str">
        <f t="shared" si="3"/>
        <v/>
      </c>
      <c r="K39" s="7"/>
      <c r="M39" s="21"/>
      <c r="N39" s="21"/>
      <c r="O39" s="21"/>
    </row>
    <row r="40" spans="3:15" x14ac:dyDescent="0.25">
      <c r="C40" s="33" t="str">
        <f t="shared" si="2"/>
        <v/>
      </c>
      <c r="D40" s="11"/>
      <c r="E40" s="33" t="str">
        <f t="shared" si="3"/>
        <v/>
      </c>
      <c r="K40" s="7"/>
      <c r="M40" s="21"/>
      <c r="N40" s="21"/>
      <c r="O40" s="21"/>
    </row>
    <row r="41" spans="3:15" x14ac:dyDescent="0.25">
      <c r="C41" s="33" t="str">
        <f t="shared" si="2"/>
        <v/>
      </c>
      <c r="D41" s="11"/>
      <c r="E41" s="33" t="str">
        <f t="shared" si="3"/>
        <v/>
      </c>
      <c r="K41" s="7"/>
      <c r="M41" s="21"/>
      <c r="N41" s="21"/>
      <c r="O41" s="21"/>
    </row>
    <row r="42" spans="3:15" x14ac:dyDescent="0.25">
      <c r="C42" s="33" t="str">
        <f t="shared" si="2"/>
        <v/>
      </c>
      <c r="D42" s="11"/>
      <c r="E42" s="33" t="str">
        <f t="shared" si="3"/>
        <v/>
      </c>
      <c r="K42" s="7"/>
      <c r="M42" s="21"/>
      <c r="N42" s="21"/>
      <c r="O42" s="21"/>
    </row>
    <row r="43" spans="3:15" x14ac:dyDescent="0.25">
      <c r="C43" s="33" t="str">
        <f t="shared" si="2"/>
        <v/>
      </c>
      <c r="D43" s="11"/>
      <c r="E43" s="33" t="str">
        <f t="shared" si="3"/>
        <v/>
      </c>
      <c r="K43" s="7"/>
      <c r="M43" s="21"/>
      <c r="N43" s="21"/>
      <c r="O43" s="21"/>
    </row>
    <row r="44" spans="3:15" ht="6" customHeight="1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21"/>
      <c r="N44" s="21"/>
      <c r="O44" s="21"/>
    </row>
    <row r="45" spans="3:15" ht="6" customHeight="1" x14ac:dyDescent="0.25">
      <c r="M45" s="21"/>
      <c r="N45" s="21"/>
      <c r="O45" s="21"/>
    </row>
    <row r="46" spans="3:15" x14ac:dyDescent="0.25">
      <c r="C46" s="15" t="s">
        <v>79</v>
      </c>
      <c r="M46" s="21"/>
      <c r="N46" s="21"/>
      <c r="O46" s="21"/>
    </row>
    <row r="47" spans="3:15" x14ac:dyDescent="0.25">
      <c r="C47" s="15" t="s">
        <v>78</v>
      </c>
      <c r="M47" s="21"/>
      <c r="N47" s="21"/>
      <c r="O47" s="21"/>
    </row>
  </sheetData>
  <mergeCells count="1">
    <mergeCell ref="G13:H13"/>
  </mergeCells>
  <conditionalFormatting sqref="I9 F11">
    <cfRule type="containsText" dxfId="15" priority="18" operator="containsText" text="FAIL">
      <formula>NOT(ISERROR(SEARCH("FAIL",F9)))</formula>
    </cfRule>
  </conditionalFormatting>
  <conditionalFormatting sqref="I9 F11">
    <cfRule type="containsText" dxfId="14" priority="17" operator="containsText" text="GOOD">
      <formula>NOT(ISERROR(SEARCH("GOOD",F9)))</formula>
    </cfRule>
  </conditionalFormatting>
  <conditionalFormatting sqref="I9">
    <cfRule type="containsText" dxfId="13" priority="10" operator="containsText" text="FAIL">
      <formula>NOT(ISERROR(SEARCH("FAIL",I9)))</formula>
    </cfRule>
  </conditionalFormatting>
  <conditionalFormatting sqref="I9">
    <cfRule type="containsText" dxfId="12" priority="9" operator="containsText" text="GOOD">
      <formula>NOT(ISERROR(SEARCH("GOOD",I9)))</formula>
    </cfRule>
  </conditionalFormatting>
  <conditionalFormatting sqref="D25">
    <cfRule type="expression" dxfId="11" priority="6" stopIfTrue="1">
      <formula>IF($H$25=1,0)</formula>
    </cfRule>
  </conditionalFormatting>
  <conditionalFormatting sqref="D23:D43">
    <cfRule type="expression" dxfId="10" priority="3">
      <formula>H23=1</formula>
    </cfRule>
  </conditionalFormatting>
  <conditionalFormatting sqref="C23:C43">
    <cfRule type="expression" dxfId="9" priority="2">
      <formula>H23=1</formula>
    </cfRule>
  </conditionalFormatting>
  <conditionalFormatting sqref="E23:E43">
    <cfRule type="expression" dxfId="8" priority="1">
      <formula>H23=1</formula>
    </cfRule>
  </conditionalFormatting>
  <pageMargins left="0.7" right="0.7" top="0.75" bottom="0.75" header="0.3" footer="0.3"/>
  <pageSetup orientation="portrait" r:id="rId1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C3:J18"/>
  <sheetViews>
    <sheetView workbookViewId="0">
      <selection activeCell="J19" sqref="J19"/>
    </sheetView>
  </sheetViews>
  <sheetFormatPr defaultColWidth="8.85546875" defaultRowHeight="15" x14ac:dyDescent="0.25"/>
  <cols>
    <col min="10" max="10" width="18.42578125" bestFit="1" customWidth="1"/>
  </cols>
  <sheetData>
    <row r="3" spans="3:10" x14ac:dyDescent="0.25">
      <c r="I3" t="s">
        <v>64</v>
      </c>
    </row>
    <row r="4" spans="3:10" x14ac:dyDescent="0.25">
      <c r="I4" s="1" t="s">
        <v>66</v>
      </c>
    </row>
    <row r="5" spans="3:10" x14ac:dyDescent="0.25">
      <c r="C5">
        <v>-25</v>
      </c>
      <c r="F5" t="str">
        <f t="shared" ref="F5:F17" si="0">(IF(C5&lt;-10,"FAIL",IF(C5&gt;10,"FAIL","GOOD")))</f>
        <v>FAIL</v>
      </c>
      <c r="I5" s="1" t="s">
        <v>65</v>
      </c>
    </row>
    <row r="6" spans="3:10" x14ac:dyDescent="0.25">
      <c r="C6">
        <v>-15</v>
      </c>
      <c r="F6" t="str">
        <f t="shared" si="0"/>
        <v>FAIL</v>
      </c>
    </row>
    <row r="7" spans="3:10" x14ac:dyDescent="0.25">
      <c r="C7">
        <v>-10.01</v>
      </c>
      <c r="F7" t="str">
        <f t="shared" si="0"/>
        <v>FAIL</v>
      </c>
    </row>
    <row r="8" spans="3:10" x14ac:dyDescent="0.25">
      <c r="C8">
        <v>-10</v>
      </c>
      <c r="F8" t="str">
        <f t="shared" si="0"/>
        <v>GOOD</v>
      </c>
    </row>
    <row r="9" spans="3:10" x14ac:dyDescent="0.25">
      <c r="C9">
        <v>-9.99</v>
      </c>
      <c r="F9" t="str">
        <f t="shared" si="0"/>
        <v>GOOD</v>
      </c>
    </row>
    <row r="10" spans="3:10" x14ac:dyDescent="0.25">
      <c r="C10">
        <v>-1</v>
      </c>
      <c r="F10" t="str">
        <f t="shared" si="0"/>
        <v>GOOD</v>
      </c>
    </row>
    <row r="11" spans="3:10" x14ac:dyDescent="0.25">
      <c r="C11">
        <v>0</v>
      </c>
      <c r="F11" t="str">
        <f t="shared" si="0"/>
        <v>GOOD</v>
      </c>
      <c r="J11" s="32" t="s">
        <v>73</v>
      </c>
    </row>
    <row r="12" spans="3:10" x14ac:dyDescent="0.25">
      <c r="C12">
        <v>1</v>
      </c>
      <c r="F12" t="str">
        <f t="shared" si="0"/>
        <v>GOOD</v>
      </c>
      <c r="J12" s="32" t="s">
        <v>74</v>
      </c>
    </row>
    <row r="13" spans="3:10" x14ac:dyDescent="0.25">
      <c r="C13">
        <v>9.99</v>
      </c>
      <c r="F13" t="str">
        <f t="shared" si="0"/>
        <v>GOOD</v>
      </c>
      <c r="J13" s="32">
        <v>123456789</v>
      </c>
    </row>
    <row r="14" spans="3:10" x14ac:dyDescent="0.25">
      <c r="C14">
        <v>10</v>
      </c>
      <c r="F14" t="str">
        <f t="shared" si="0"/>
        <v>GOOD</v>
      </c>
      <c r="J14" s="32" t="s">
        <v>75</v>
      </c>
    </row>
    <row r="15" spans="3:10" x14ac:dyDescent="0.25">
      <c r="C15">
        <v>10.01</v>
      </c>
      <c r="F15" t="str">
        <f t="shared" si="0"/>
        <v>FAIL</v>
      </c>
      <c r="J15" s="32" t="s">
        <v>76</v>
      </c>
    </row>
    <row r="16" spans="3:10" x14ac:dyDescent="0.25">
      <c r="C16">
        <v>15</v>
      </c>
      <c r="F16" t="str">
        <f t="shared" si="0"/>
        <v>FAIL</v>
      </c>
      <c r="J16" s="32" t="s">
        <v>77</v>
      </c>
    </row>
    <row r="17" spans="3:10" x14ac:dyDescent="0.25">
      <c r="C17">
        <v>25</v>
      </c>
      <c r="F17" t="str">
        <f t="shared" si="0"/>
        <v>FAIL</v>
      </c>
      <c r="J17" s="32"/>
    </row>
    <row r="18" spans="3:10" x14ac:dyDescent="0.25">
      <c r="J18" s="32"/>
    </row>
  </sheetData>
  <conditionalFormatting sqref="F11:F28">
    <cfRule type="containsText" dxfId="7" priority="4" operator="containsText" text="FAIL">
      <formula>NOT(ISERROR(SEARCH("FAIL",F11)))</formula>
    </cfRule>
  </conditionalFormatting>
  <conditionalFormatting sqref="F11:F28">
    <cfRule type="containsText" dxfId="6" priority="3" operator="containsText" text="GOOD">
      <formula>NOT(ISERROR(SEARCH("GOOD",F11)))</formula>
    </cfRule>
  </conditionalFormatting>
  <conditionalFormatting sqref="F5:F10">
    <cfRule type="containsText" dxfId="5" priority="2" operator="containsText" text="FAIL">
      <formula>NOT(ISERROR(SEARCH("FAIL",F5)))</formula>
    </cfRule>
  </conditionalFormatting>
  <conditionalFormatting sqref="F5:F10">
    <cfRule type="containsText" dxfId="4" priority="1" operator="containsText" text="GOOD">
      <formula>NOT(ISERROR(SEARCH("GOOD",F5)))</formula>
    </cfRule>
  </conditionalFormatting>
  <hyperlinks>
    <hyperlink ref="J14" r:id="rId1" xr:uid="{00000000-0004-0000-0401-000000000000}"/>
  </hyperlinks>
  <pageMargins left="0.7" right="0.7" top="0.75" bottom="0.75" header="0.3" footer="0.3"/>
  <pageSetup orientation="portrait" r:id="rId2"/>
  <drawing r:id="rId3"/>
  <legacyDrawing r:id="rId4"/>
  <oleObjects>
    <mc:AlternateContent xmlns:mc="http://schemas.openxmlformats.org/markup-compatibility/2006">
      <mc:Choice Requires="x14">
        <oleObject progId="MSPhotoEd.3" shapeId="2049" r:id="rId5">
          <objectPr defaultSize="0" autoPict="0" r:id="rId6">
            <anchor moveWithCells="1">
              <from>
                <xdr:col>3</xdr:col>
                <xdr:colOff>104775</xdr:colOff>
                <xdr:row>21</xdr:row>
                <xdr:rowOff>9525</xdr:rowOff>
              </from>
              <to>
                <xdr:col>7</xdr:col>
                <xdr:colOff>304800</xdr:colOff>
                <xdr:row>23</xdr:row>
                <xdr:rowOff>28575</xdr:rowOff>
              </to>
            </anchor>
          </objectPr>
        </oleObject>
      </mc:Choice>
      <mc:Fallback>
        <oleObject progId="MSPhotoEd.3" shapeId="2049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278</vt:i4>
      </vt:variant>
      <vt:variant>
        <vt:lpstr>Named Ranges</vt:lpstr>
      </vt:variant>
      <vt:variant>
        <vt:i4>83</vt:i4>
      </vt:variant>
    </vt:vector>
  </HeadingPairs>
  <TitlesOfParts>
    <vt:vector size="361" baseType="lpstr">
      <vt:lpstr>MASTER SUMMARY</vt:lpstr>
      <vt:lpstr>2017 Analysis</vt:lpstr>
      <vt:lpstr>2016 Analysis</vt:lpstr>
      <vt:lpstr>2015 Analysis</vt:lpstr>
      <vt:lpstr>New Metric Sheet</vt:lpstr>
      <vt:lpstr>Anal 1Q17</vt:lpstr>
      <vt:lpstr>PATH 06022047</vt:lpstr>
      <vt:lpstr>3Q Est Update Meeting</vt:lpstr>
      <vt:lpstr>Army C of E data</vt:lpstr>
      <vt:lpstr>WORK ORDER SUMMARY</vt:lpstr>
      <vt:lpstr>SUMMARY</vt:lpstr>
      <vt:lpstr>ECON_ADJUSTMENT</vt:lpstr>
      <vt:lpstr>ECON_ASSUMPT</vt:lpstr>
      <vt:lpstr>ECON_OUTPUT</vt:lpstr>
      <vt:lpstr>JFK-944.805</vt:lpstr>
      <vt:lpstr>HT-924.110A</vt:lpstr>
      <vt:lpstr>JFK-1078</vt:lpstr>
      <vt:lpstr>MF-234.217</vt:lpstr>
      <vt:lpstr>PJ-664.537</vt:lpstr>
      <vt:lpstr>EWR-154.224A</vt:lpstr>
      <vt:lpstr>GWB-244.112</vt:lpstr>
      <vt:lpstr>LGA-984.315</vt:lpstr>
      <vt:lpstr>PAT-784.166</vt:lpstr>
      <vt:lpstr>HT-924.152A</vt:lpstr>
      <vt:lpstr>HT-224.130</vt:lpstr>
      <vt:lpstr>PJ-664.532</vt:lpstr>
      <vt:lpstr>HT-224.141</vt:lpstr>
      <vt:lpstr>HT-944.004</vt:lpstr>
      <vt:lpstr>PN-654.072</vt:lpstr>
      <vt:lpstr>LT-234.181</vt:lpstr>
      <vt:lpstr>HT-224.134</vt:lpstr>
      <vt:lpstr>LGA-124.266</vt:lpstr>
      <vt:lpstr>PAT-784.165</vt:lpstr>
      <vt:lpstr>PAT-774.216</vt:lpstr>
      <vt:lpstr>PAT-774.217</vt:lpstr>
      <vt:lpstr>JFK-154.020</vt:lpstr>
      <vt:lpstr>LT-535</vt:lpstr>
      <vt:lpstr>LGA-124.248</vt:lpstr>
      <vt:lpstr>PAT-084.064</vt:lpstr>
      <vt:lpstr>PAT-774.179</vt:lpstr>
      <vt:lpstr>GWB-924.137A</vt:lpstr>
      <vt:lpstr>JFK-184.676</vt:lpstr>
      <vt:lpstr>LGA-124.256</vt:lpstr>
      <vt:lpstr>JFK-184.043</vt:lpstr>
      <vt:lpstr>PN-654.566</vt:lpstr>
      <vt:lpstr>GWB-984.205</vt:lpstr>
      <vt:lpstr>AK-196A</vt:lpstr>
      <vt:lpstr>GWB-934.046</vt:lpstr>
      <vt:lpstr>LGA-124.270</vt:lpstr>
      <vt:lpstr>MFP-994.679</vt:lpstr>
      <vt:lpstr>GWB-244.260</vt:lpstr>
      <vt:lpstr>EWR-154.306A</vt:lpstr>
      <vt:lpstr>GWB-244.236</vt:lpstr>
      <vt:lpstr>JFK-174.016</vt:lpstr>
      <vt:lpstr>EWR-154.360 Void</vt:lpstr>
      <vt:lpstr>TEB-144.055</vt:lpstr>
      <vt:lpstr>PAT-774.176</vt:lpstr>
      <vt:lpstr>PAT-214.013</vt:lpstr>
      <vt:lpstr>EWR-154.386</vt:lpstr>
      <vt:lpstr>LGA-124.269</vt:lpstr>
      <vt:lpstr>LGA-124.268</vt:lpstr>
      <vt:lpstr>EWR-154.299</vt:lpstr>
      <vt:lpstr>JFK-164.020</vt:lpstr>
      <vt:lpstr>LGA-924.120</vt:lpstr>
      <vt:lpstr>PAT-024.200</vt:lpstr>
      <vt:lpstr>AK-196 Void</vt:lpstr>
      <vt:lpstr>HT-224.125</vt:lpstr>
      <vt:lpstr>PAT-774.174</vt:lpstr>
      <vt:lpstr>PAT-784.175</vt:lpstr>
      <vt:lpstr>EWR-154.306 Void</vt:lpstr>
      <vt:lpstr>PAT-630</vt:lpstr>
      <vt:lpstr>BT-254.153</vt:lpstr>
      <vt:lpstr>JFK-174.017</vt:lpstr>
      <vt:lpstr>HT-924.152 Void</vt:lpstr>
      <vt:lpstr>GWB-924.168</vt:lpstr>
      <vt:lpstr>HT-924.110</vt:lpstr>
      <vt:lpstr>PAT-784.169</vt:lpstr>
      <vt:lpstr>GWB-244.204A</vt:lpstr>
      <vt:lpstr>EWR-154.348</vt:lpstr>
      <vt:lpstr>PAT-024.203</vt:lpstr>
      <vt:lpstr>PAT-784.162</vt:lpstr>
      <vt:lpstr>SWF-164.032</vt:lpstr>
      <vt:lpstr>LT-944.096B</vt:lpstr>
      <vt:lpstr>GWB-924.137</vt:lpstr>
      <vt:lpstr>LT-924.183</vt:lpstr>
      <vt:lpstr>GWB-244.049</vt:lpstr>
      <vt:lpstr>PN-654.562A</vt:lpstr>
      <vt:lpstr>MFA-924.454</vt:lpstr>
      <vt:lpstr>LGA-124.260</vt:lpstr>
      <vt:lpstr>HT-224.082</vt:lpstr>
      <vt:lpstr>EWR-154.308 bafo</vt:lpstr>
      <vt:lpstr>PAT-774.170</vt:lpstr>
      <vt:lpstr>MFP-694.514</vt:lpstr>
      <vt:lpstr>PAT-024.099</vt:lpstr>
      <vt:lpstr>EWR-154.395</vt:lpstr>
      <vt:lpstr>GWB-244.204 Void</vt:lpstr>
      <vt:lpstr>MFP-924.650</vt:lpstr>
      <vt:lpstr>LT-924.121</vt:lpstr>
      <vt:lpstr>EWR-154.308 Void</vt:lpstr>
      <vt:lpstr>PAT-774.169</vt:lpstr>
      <vt:lpstr>MFP-824.016</vt:lpstr>
      <vt:lpstr>TEB-144.046</vt:lpstr>
      <vt:lpstr>LGA-124.261</vt:lpstr>
      <vt:lpstr>AKO-284.051</vt:lpstr>
      <vt:lpstr>AKO-284.049</vt:lpstr>
      <vt:lpstr>LT-924.175</vt:lpstr>
      <vt:lpstr>EWR-154.396</vt:lpstr>
      <vt:lpstr>PAT-784.172</vt:lpstr>
      <vt:lpstr>EWR-924.231</vt:lpstr>
      <vt:lpstr>JFK-184.010</vt:lpstr>
      <vt:lpstr>LGA-124.264</vt:lpstr>
      <vt:lpstr>GWB-244.265</vt:lpstr>
      <vt:lpstr>LGA-774.264</vt:lpstr>
      <vt:lpstr>HH-634.514</vt:lpstr>
      <vt:lpstr>PAT-924.802</vt:lpstr>
      <vt:lpstr>EWR-154.224 Void</vt:lpstr>
      <vt:lpstr>PAT-650</vt:lpstr>
      <vt:lpstr>GWB-244.267</vt:lpstr>
      <vt:lpstr>GWB-244.261</vt:lpstr>
      <vt:lpstr>TEB-144.056</vt:lpstr>
      <vt:lpstr>PN-654.562 Void</vt:lpstr>
      <vt:lpstr>LGA-924.287</vt:lpstr>
      <vt:lpstr>EWR-154.263</vt:lpstr>
      <vt:lpstr>JFK-144.023</vt:lpstr>
      <vt:lpstr>EWR-154.235</vt:lpstr>
      <vt:lpstr>LT-234.193</vt:lpstr>
      <vt:lpstr>BT-254.085</vt:lpstr>
      <vt:lpstr>EWR-154.247</vt:lpstr>
      <vt:lpstr>PJ-654.502</vt:lpstr>
      <vt:lpstr>EWR-154.383</vt:lpstr>
      <vt:lpstr>LT-234.194</vt:lpstr>
      <vt:lpstr>PAT-534.316A</vt:lpstr>
      <vt:lpstr>JFK-154.021</vt:lpstr>
      <vt:lpstr>EWR-154.254</vt:lpstr>
      <vt:lpstr>EWR-924.384</vt:lpstr>
      <vt:lpstr>HT-924.144</vt:lpstr>
      <vt:lpstr>HT-924.106</vt:lpstr>
      <vt:lpstr>GWB-244.042</vt:lpstr>
      <vt:lpstr>BP-694.510</vt:lpstr>
      <vt:lpstr>MF-924.022</vt:lpstr>
      <vt:lpstr>EWR-251</vt:lpstr>
      <vt:lpstr>LGA-154.251</vt:lpstr>
      <vt:lpstr>MFP-924.662</vt:lpstr>
      <vt:lpstr>JFK-1070</vt:lpstr>
      <vt:lpstr>JFK-154.024</vt:lpstr>
      <vt:lpstr>HT-224.120</vt:lpstr>
      <vt:lpstr>LGA-124.244</vt:lpstr>
      <vt:lpstr>PAT-024.002</vt:lpstr>
      <vt:lpstr>EWR-154.240</vt:lpstr>
      <vt:lpstr>EWR-154.227</vt:lpstr>
      <vt:lpstr>LGA-774.235</vt:lpstr>
      <vt:lpstr>EWR-154.271</vt:lpstr>
      <vt:lpstr>EWR-154.264</vt:lpstr>
      <vt:lpstr>GWB-924.159B</vt:lpstr>
      <vt:lpstr>EWR-924.233</vt:lpstr>
      <vt:lpstr>JFK-154.019</vt:lpstr>
      <vt:lpstr>PAT-024.031</vt:lpstr>
      <vt:lpstr>MFP-924.641</vt:lpstr>
      <vt:lpstr>EP-924.643</vt:lpstr>
      <vt:lpstr>LT-234.179</vt:lpstr>
      <vt:lpstr>GWB-924.176</vt:lpstr>
      <vt:lpstr>MFP-924.645A</vt:lpstr>
      <vt:lpstr>PN-654.558</vt:lpstr>
      <vt:lpstr>TEB-144.048</vt:lpstr>
      <vt:lpstr>PAT-084.001</vt:lpstr>
      <vt:lpstr>EWR-154.234</vt:lpstr>
      <vt:lpstr>MFP-924.634</vt:lpstr>
      <vt:lpstr>BT-254.123</vt:lpstr>
      <vt:lpstr>LGA-124.255</vt:lpstr>
      <vt:lpstr>MFP-072.016</vt:lpstr>
      <vt:lpstr>GWB-244.263</vt:lpstr>
      <vt:lpstr>GWB-244.048</vt:lpstr>
      <vt:lpstr>LGA-124.250</vt:lpstr>
      <vt:lpstr>TEB-144.045</vt:lpstr>
      <vt:lpstr>EWR-924.375</vt:lpstr>
      <vt:lpstr>GWB-924.170</vt:lpstr>
      <vt:lpstr>JFK-124.009</vt:lpstr>
      <vt:lpstr>MFP-924.645 Void</vt:lpstr>
      <vt:lpstr>JFK-154.022</vt:lpstr>
      <vt:lpstr>LGA-103.015</vt:lpstr>
      <vt:lpstr>EWR-154.392</vt:lpstr>
      <vt:lpstr>HT-924.089</vt:lpstr>
      <vt:lpstr>MFP-924.644</vt:lpstr>
      <vt:lpstr>JFK-1067</vt:lpstr>
      <vt:lpstr>JFK-124.016</vt:lpstr>
      <vt:lpstr>PAT-084.039</vt:lpstr>
      <vt:lpstr>EWR-924.288</vt:lpstr>
      <vt:lpstr>PAT-534.316 Void</vt:lpstr>
      <vt:lpstr>PN-654.551</vt:lpstr>
      <vt:lpstr>PJ-664.503</vt:lpstr>
      <vt:lpstr>LGA-124.236</vt:lpstr>
      <vt:lpstr>SWF-017</vt:lpstr>
      <vt:lpstr>GWB-924.159A Void</vt:lpstr>
      <vt:lpstr>GWB-563</vt:lpstr>
      <vt:lpstr>JFK-124.027</vt:lpstr>
      <vt:lpstr>HT-924.097</vt:lpstr>
      <vt:lpstr>AKO-924.054</vt:lpstr>
      <vt:lpstr>HT-224.127</vt:lpstr>
      <vt:lpstr>PAT-024.069A</vt:lpstr>
      <vt:lpstr>PJ-664.527</vt:lpstr>
      <vt:lpstr>JFK-144.019</vt:lpstr>
      <vt:lpstr>PN-654.042A</vt:lpstr>
      <vt:lpstr>EWR-924.366</vt:lpstr>
      <vt:lpstr>PAT-784.164</vt:lpstr>
      <vt:lpstr>LT-534</vt:lpstr>
      <vt:lpstr>LT-944.096 Void</vt:lpstr>
      <vt:lpstr>LT-934.027</vt:lpstr>
      <vt:lpstr>JFK-1064</vt:lpstr>
      <vt:lpstr>LT-800.382</vt:lpstr>
      <vt:lpstr>LT-924.028</vt:lpstr>
      <vt:lpstr>PN-654.038</vt:lpstr>
      <vt:lpstr>HT-469</vt:lpstr>
      <vt:lpstr>LGA-124.086</vt:lpstr>
      <vt:lpstr>NYNJRR-644.537</vt:lpstr>
      <vt:lpstr>HT-473A Void</vt:lpstr>
      <vt:lpstr>LT-924.014A</vt:lpstr>
      <vt:lpstr>GWB-244.246</vt:lpstr>
      <vt:lpstr>HT-224.117</vt:lpstr>
      <vt:lpstr>EWR-924.281</vt:lpstr>
      <vt:lpstr>EP-684.509A</vt:lpstr>
      <vt:lpstr>PAT-784.163</vt:lpstr>
      <vt:lpstr>SWF-164.054</vt:lpstr>
      <vt:lpstr>MFP-924.638</vt:lpstr>
      <vt:lpstr>EWR-154.197</vt:lpstr>
      <vt:lpstr>LGA-774.133B</vt:lpstr>
      <vt:lpstr>GWB-244.150</vt:lpstr>
      <vt:lpstr>LGA-124.240</vt:lpstr>
      <vt:lpstr>LGA-103.014</vt:lpstr>
      <vt:lpstr>PAT-774.154</vt:lpstr>
      <vt:lpstr>PN-654.544</vt:lpstr>
      <vt:lpstr>WTC-222.004</vt:lpstr>
      <vt:lpstr>PN-654.041</vt:lpstr>
      <vt:lpstr>WTC-222.004 Void</vt:lpstr>
      <vt:lpstr>EP-684.509 Void</vt:lpstr>
      <vt:lpstr>AK-195</vt:lpstr>
      <vt:lpstr>TP-104.006</vt:lpstr>
      <vt:lpstr>GWB-564</vt:lpstr>
      <vt:lpstr>MFA-924.283</vt:lpstr>
      <vt:lpstr>HT-224.116</vt:lpstr>
      <vt:lpstr>GWB-566</vt:lpstr>
      <vt:lpstr> PAT-024.069 Void</vt:lpstr>
      <vt:lpstr>GWB-924.092</vt:lpstr>
      <vt:lpstr>GWB-924.159</vt:lpstr>
      <vt:lpstr>EWR-154.184</vt:lpstr>
      <vt:lpstr>GWB-244.256</vt:lpstr>
      <vt:lpstr>PN-654.036</vt:lpstr>
      <vt:lpstr>LGA-124.226</vt:lpstr>
      <vt:lpstr>EWR-924.320</vt:lpstr>
      <vt:lpstr>LGA-124.229</vt:lpstr>
      <vt:lpstr>EWR-924.175A</vt:lpstr>
      <vt:lpstr>EWR-154.239</vt:lpstr>
      <vt:lpstr>LGA-774.133A</vt:lpstr>
      <vt:lpstr>LT-924.014</vt:lpstr>
      <vt:lpstr>GWB-244.240</vt:lpstr>
      <vt:lpstr>MFP-924.623</vt:lpstr>
      <vt:lpstr>NYNJRR-644.531</vt:lpstr>
      <vt:lpstr>JFK-914.209</vt:lpstr>
      <vt:lpstr>PN-654.545</vt:lpstr>
      <vt:lpstr>PAT-131.000</vt:lpstr>
      <vt:lpstr>SWF-164.031A</vt:lpstr>
      <vt:lpstr>GWB-924.044</vt:lpstr>
      <vt:lpstr>TEB-914.203</vt:lpstr>
      <vt:lpstr>MFP-924.630</vt:lpstr>
      <vt:lpstr>PAT-643</vt:lpstr>
      <vt:lpstr>LGA-774.234</vt:lpstr>
      <vt:lpstr>LGA-774.236</vt:lpstr>
      <vt:lpstr>JFK-1050</vt:lpstr>
      <vt:lpstr>LGA-774.133</vt:lpstr>
      <vt:lpstr>PJ-924.624</vt:lpstr>
      <vt:lpstr>PAT-084.057</vt:lpstr>
      <vt:lpstr>PN-954.004</vt:lpstr>
      <vt:lpstr>JFK-134.025</vt:lpstr>
      <vt:lpstr>LGA-124.231</vt:lpstr>
      <vt:lpstr>LGA-124.166</vt:lpstr>
      <vt:lpstr>LS format</vt:lpstr>
      <vt:lpstr>CL-UCL format</vt:lpstr>
      <vt:lpstr>CL-UCL-Comp format</vt:lpstr>
      <vt:lpstr>Test tab</vt:lpstr>
      <vt:lpstr>'3Q Est Update Meeting'!Print_Area</vt:lpstr>
      <vt:lpstr>'Anal 1Q17'!Print_Area</vt:lpstr>
      <vt:lpstr>'BP-694.510'!Print_Area</vt:lpstr>
      <vt:lpstr>'BT-254.085'!Print_Area</vt:lpstr>
      <vt:lpstr>'BT-254.153'!Print_Area</vt:lpstr>
      <vt:lpstr>'CL-UCL-Comp format'!Print_Area</vt:lpstr>
      <vt:lpstr>'EWR-154.197'!Print_Area</vt:lpstr>
      <vt:lpstr>'EWR-154.224 Void'!Print_Area</vt:lpstr>
      <vt:lpstr>'EWR-154.234'!Print_Area</vt:lpstr>
      <vt:lpstr>'EWR-154.235'!Print_Area</vt:lpstr>
      <vt:lpstr>'EWR-154.306 Void'!Print_Area</vt:lpstr>
      <vt:lpstr>'EWR-154.306A'!Print_Area</vt:lpstr>
      <vt:lpstr>'EWR-154.308 bafo'!Print_Area</vt:lpstr>
      <vt:lpstr>'EWR-154.308 Void'!Print_Area</vt:lpstr>
      <vt:lpstr>'EWR-154.383'!Print_Area</vt:lpstr>
      <vt:lpstr>'EWR-154.386'!Print_Area</vt:lpstr>
      <vt:lpstr>'EWR-154.392'!Print_Area</vt:lpstr>
      <vt:lpstr>'EWR-154.395'!Print_Area</vt:lpstr>
      <vt:lpstr>'EWR-154.396'!Print_Area</vt:lpstr>
      <vt:lpstr>'EWR-251'!Print_Area</vt:lpstr>
      <vt:lpstr>'EWR-924.231'!Print_Area</vt:lpstr>
      <vt:lpstr>'GWB-244.042'!Print_Area</vt:lpstr>
      <vt:lpstr>'GWB-244.048'!Print_Area</vt:lpstr>
      <vt:lpstr>'GWB-244.049'!Print_Area</vt:lpstr>
      <vt:lpstr>'GWB-244.112'!Print_Area</vt:lpstr>
      <vt:lpstr>'GWB-244.150'!Print_Area</vt:lpstr>
      <vt:lpstr>'GWB-244.204 Void'!Print_Area</vt:lpstr>
      <vt:lpstr>'GWB-244.204A'!Print_Area</vt:lpstr>
      <vt:lpstr>'GWB-244.236'!Print_Area</vt:lpstr>
      <vt:lpstr>'GWB-244.260'!Print_Area</vt:lpstr>
      <vt:lpstr>'GWB-244.267'!Print_Area</vt:lpstr>
      <vt:lpstr>'GWB-924.168'!Print_Area</vt:lpstr>
      <vt:lpstr>'HH-634.514'!Print_Area</vt:lpstr>
      <vt:lpstr>'HT-224.127'!Print_Area</vt:lpstr>
      <vt:lpstr>'HT-224.130'!Print_Area</vt:lpstr>
      <vt:lpstr>'HT-469'!Print_Area</vt:lpstr>
      <vt:lpstr>'JFK-1067'!Print_Area</vt:lpstr>
      <vt:lpstr>'JFK-124.016'!Print_Area</vt:lpstr>
      <vt:lpstr>'JFK-144.019'!Print_Area</vt:lpstr>
      <vt:lpstr>'JFK-154.020'!Print_Area</vt:lpstr>
      <vt:lpstr>'JFK-154.021'!Print_Area</vt:lpstr>
      <vt:lpstr>'JFK-164.020'!Print_Area</vt:lpstr>
      <vt:lpstr>'JFK-174.016'!Print_Area</vt:lpstr>
      <vt:lpstr>'JFK-174.017'!Print_Area</vt:lpstr>
      <vt:lpstr>'JFK-184.010'!Print_Area</vt:lpstr>
      <vt:lpstr>'JFK-184.043'!Print_Area</vt:lpstr>
      <vt:lpstr>'JFK-944.805'!Print_Area</vt:lpstr>
      <vt:lpstr>'LGA-103.014'!Print_Area</vt:lpstr>
      <vt:lpstr>'LGA-124.236'!Print_Area</vt:lpstr>
      <vt:lpstr>'LGA-124.240'!Print_Area</vt:lpstr>
      <vt:lpstr>'LGA-124.248'!Print_Area</vt:lpstr>
      <vt:lpstr>'LGA-124.250'!Print_Area</vt:lpstr>
      <vt:lpstr>'LGA-124.260'!Print_Area</vt:lpstr>
      <vt:lpstr>'LGA-124.261'!Print_Area</vt:lpstr>
      <vt:lpstr>'LGA-124.266'!Print_Area</vt:lpstr>
      <vt:lpstr>'LGA-774.235'!Print_Area</vt:lpstr>
      <vt:lpstr>'LT-234.193'!Print_Area</vt:lpstr>
      <vt:lpstr>'LT-535'!Print_Area</vt:lpstr>
      <vt:lpstr>'LT-924.183'!Print_Area</vt:lpstr>
      <vt:lpstr>'MF-924.022'!Print_Area</vt:lpstr>
      <vt:lpstr>'MFA-924.283'!Print_Area</vt:lpstr>
      <vt:lpstr>'MFA-924.454'!Print_Area</vt:lpstr>
      <vt:lpstr>'NYNJRR-644.537'!Print_Area</vt:lpstr>
      <vt:lpstr>'PAT-024.031'!Print_Area</vt:lpstr>
      <vt:lpstr>'PAT-084.001'!Print_Area</vt:lpstr>
      <vt:lpstr>'PAT-774.154'!Print_Area</vt:lpstr>
      <vt:lpstr>'PAT-774.176'!Print_Area</vt:lpstr>
      <vt:lpstr>'PAT-774.216'!Print_Area</vt:lpstr>
      <vt:lpstr>'PAT-784.175'!Print_Area</vt:lpstr>
      <vt:lpstr>'PATH 06022047'!Print_Area</vt:lpstr>
      <vt:lpstr>'PJ-654.502'!Print_Area</vt:lpstr>
      <vt:lpstr>'PJ-664.532'!Print_Area</vt:lpstr>
      <vt:lpstr>'PN-654.041'!Print_Area</vt:lpstr>
      <vt:lpstr>'PN-654.072'!Print_Area</vt:lpstr>
      <vt:lpstr>'PN-654.544'!Print_Area</vt:lpstr>
      <vt:lpstr>'PN-654.545'!Print_Area</vt:lpstr>
      <vt:lpstr>'PN-654.566'!Print_Area</vt:lpstr>
      <vt:lpstr>SUMMARY!Print_Area</vt:lpstr>
      <vt:lpstr>'TEB-144.046'!Print_Area</vt:lpstr>
      <vt:lpstr>'TEB-144.048'!Print_Area</vt:lpstr>
      <vt:lpstr>'TEB-144.055'!Print_Area</vt:lpstr>
      <vt:lpstr>'WORK ORDER SUMMARY'!Print_Area</vt:lpstr>
      <vt:lpstr>'WTC-222.004'!Print_Area</vt:lpstr>
    </vt:vector>
  </TitlesOfParts>
  <Company>The Port Authority of NY &amp; NJ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avictors</dc:creator>
  <cp:lastModifiedBy>Eshleman, Christopher</cp:lastModifiedBy>
  <cp:lastPrinted>2018-11-20T18:38:36Z</cp:lastPrinted>
  <dcterms:created xsi:type="dcterms:W3CDTF">2015-09-16T12:15:51Z</dcterms:created>
  <dcterms:modified xsi:type="dcterms:W3CDTF">2019-11-21T13:50:10Z</dcterms:modified>
</cp:coreProperties>
</file>