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_archive/"/>
    </mc:Choice>
  </mc:AlternateContent>
  <xr:revisionPtr revIDLastSave="0" documentId="13_ncr:1_{55E680B4-68DD-784D-98DE-126982CF7F70}" xr6:coauthVersionLast="45" xr6:coauthVersionMax="45" xr10:uidLastSave="{00000000-0000-0000-0000-000000000000}"/>
  <bookViews>
    <workbookView xWindow="1960" yWindow="1660" windowWidth="23880" windowHeight="15180" activeTab="4" xr2:uid="{4B786C43-CFFF-4E2C-8222-145C0B96F105}"/>
  </bookViews>
  <sheets>
    <sheet name="1 and 2 - PAX Comparison" sheetId="1" r:id="rId1"/>
    <sheet name="3 - Fares" sheetId="4" r:id="rId2"/>
    <sheet name="PATH Submitted Revenue" sheetId="5" r:id="rId3"/>
    <sheet name="Revised Revenue" sheetId="6" r:id="rId4"/>
    <sheet name="PAX Data" sheetId="2" r:id="rId5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4" i="2" l="1"/>
  <c r="D44" i="2"/>
  <c r="AJ19" i="2" l="1"/>
  <c r="D58" i="1" l="1" a="1"/>
  <c r="D58" i="1" s="1"/>
  <c r="M57" i="1"/>
  <c r="L57" i="1" s="1"/>
  <c r="K57" i="1" s="1"/>
  <c r="J57" i="1" s="1"/>
  <c r="I57" i="1" s="1"/>
  <c r="H57" i="1" s="1"/>
  <c r="G57" i="1" s="1"/>
  <c r="F57" i="1" s="1"/>
  <c r="E57" i="1" s="1"/>
  <c r="D57" i="1" s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B43" i="1"/>
  <c r="M55" i="1" l="1"/>
  <c r="U55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V55" i="1"/>
  <c r="G55" i="1"/>
  <c r="O55" i="1"/>
  <c r="N55" i="1"/>
  <c r="L48" i="1"/>
  <c r="F55" i="1"/>
  <c r="J55" i="1"/>
  <c r="R55" i="1"/>
  <c r="K55" i="1"/>
  <c r="S55" i="1"/>
  <c r="J48" i="1"/>
  <c r="E55" i="1"/>
  <c r="T48" i="1"/>
  <c r="G58" i="1"/>
  <c r="F58" i="1"/>
  <c r="M58" i="1"/>
  <c r="E58" i="1"/>
  <c r="E59" i="1" s="1"/>
  <c r="K58" i="1"/>
  <c r="K59" i="1" s="1"/>
  <c r="J58" i="1"/>
  <c r="I58" i="1"/>
  <c r="H58" i="1"/>
  <c r="L58" i="1"/>
  <c r="L59" i="1" s="1"/>
  <c r="L55" i="1"/>
  <c r="T55" i="1"/>
  <c r="H55" i="1"/>
  <c r="P55" i="1"/>
  <c r="G48" i="1"/>
  <c r="O48" i="1"/>
  <c r="I55" i="1"/>
  <c r="Q55" i="1"/>
  <c r="F48" i="1"/>
  <c r="N48" i="1"/>
  <c r="V48" i="1"/>
  <c r="M48" i="1"/>
  <c r="U48" i="1"/>
  <c r="R48" i="1"/>
  <c r="E48" i="1"/>
  <c r="K48" i="1"/>
  <c r="S48" i="1"/>
  <c r="H48" i="1"/>
  <c r="P48" i="1"/>
  <c r="I48" i="1"/>
  <c r="Q48" i="1"/>
  <c r="G59" i="1" l="1"/>
  <c r="H59" i="1"/>
  <c r="I59" i="1"/>
  <c r="M59" i="1"/>
  <c r="J59" i="1"/>
  <c r="F59" i="1"/>
  <c r="C52" i="1"/>
  <c r="C50" i="1"/>
  <c r="C45" i="1"/>
  <c r="C43" i="1"/>
  <c r="B52" i="1"/>
  <c r="B50" i="1"/>
  <c r="B45" i="1"/>
  <c r="V31" i="6" l="1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44" i="6" l="1"/>
  <c r="C43" i="6"/>
  <c r="D42" i="6"/>
  <c r="C42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B44" i="6"/>
  <c r="B43" i="6"/>
  <c r="B42" i="6"/>
  <c r="B41" i="6"/>
  <c r="G30" i="6"/>
  <c r="G42" i="6" s="1"/>
  <c r="F30" i="6"/>
  <c r="F42" i="6" s="1"/>
  <c r="E30" i="6"/>
  <c r="E42" i="6" s="1"/>
  <c r="V43" i="6"/>
  <c r="D43" i="6"/>
  <c r="C29" i="6"/>
  <c r="C41" i="6" s="1"/>
  <c r="D14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G18" i="4" s="1"/>
  <c r="F16" i="4"/>
  <c r="E16" i="4"/>
  <c r="E18" i="4" s="1"/>
  <c r="D16" i="4"/>
  <c r="C16" i="4"/>
  <c r="C14" i="4"/>
  <c r="C7" i="4"/>
  <c r="C12" i="4" s="1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17" i="1"/>
  <c r="D17" i="1"/>
  <c r="C17" i="1"/>
  <c r="C5" i="1"/>
  <c r="E5" i="1"/>
  <c r="D5" i="1"/>
  <c r="D15" i="1" a="1"/>
  <c r="F15" i="1" s="1"/>
  <c r="F18" i="1" s="1"/>
  <c r="P58" i="1" s="1"/>
  <c r="D12" i="1" a="1"/>
  <c r="D12" i="1" s="1"/>
  <c r="D13" i="1" s="1"/>
  <c r="D9" i="1" a="1"/>
  <c r="D9" i="1" s="1"/>
  <c r="D10" i="1" s="1"/>
  <c r="D6" i="1" a="1"/>
  <c r="E6" i="1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D21" i="1" l="1"/>
  <c r="D44" i="6"/>
  <c r="D48" i="6" s="1"/>
  <c r="B48" i="6"/>
  <c r="C48" i="6"/>
  <c r="G43" i="6"/>
  <c r="F44" i="6"/>
  <c r="O43" i="6"/>
  <c r="H43" i="6"/>
  <c r="P43" i="6"/>
  <c r="I43" i="6"/>
  <c r="Q43" i="6"/>
  <c r="E44" i="6"/>
  <c r="R43" i="6"/>
  <c r="L43" i="6"/>
  <c r="T43" i="6"/>
  <c r="J43" i="6"/>
  <c r="K43" i="6"/>
  <c r="S43" i="6"/>
  <c r="E43" i="6"/>
  <c r="M43" i="6"/>
  <c r="U43" i="6"/>
  <c r="F43" i="6"/>
  <c r="N43" i="6"/>
  <c r="F18" i="4"/>
  <c r="C18" i="4"/>
  <c r="D18" i="4"/>
  <c r="C10" i="4"/>
  <c r="D8" i="4"/>
  <c r="E21" i="1"/>
  <c r="C21" i="1"/>
  <c r="E4" i="1"/>
  <c r="B5" i="1"/>
  <c r="B17" i="1"/>
  <c r="U15" i="1"/>
  <c r="U18" i="1" s="1"/>
  <c r="AE58" i="1" s="1"/>
  <c r="M15" i="1"/>
  <c r="M18" i="1" s="1"/>
  <c r="W58" i="1" s="1"/>
  <c r="E15" i="1"/>
  <c r="E18" i="1" s="1"/>
  <c r="O58" i="1" s="1"/>
  <c r="T15" i="1"/>
  <c r="T18" i="1" s="1"/>
  <c r="AD58" i="1" s="1"/>
  <c r="L15" i="1"/>
  <c r="L18" i="1" s="1"/>
  <c r="V58" i="1" s="1"/>
  <c r="D15" i="1"/>
  <c r="S15" i="1"/>
  <c r="S18" i="1" s="1"/>
  <c r="AC58" i="1" s="1"/>
  <c r="K15" i="1"/>
  <c r="K18" i="1" s="1"/>
  <c r="U58" i="1" s="1"/>
  <c r="R15" i="1"/>
  <c r="R18" i="1" s="1"/>
  <c r="AB58" i="1" s="1"/>
  <c r="J15" i="1"/>
  <c r="J18" i="1" s="1"/>
  <c r="T58" i="1" s="1"/>
  <c r="Q15" i="1"/>
  <c r="Q18" i="1" s="1"/>
  <c r="AA58" i="1" s="1"/>
  <c r="I15" i="1"/>
  <c r="I18" i="1" s="1"/>
  <c r="S58" i="1" s="1"/>
  <c r="P15" i="1"/>
  <c r="P18" i="1" s="1"/>
  <c r="Z58" i="1" s="1"/>
  <c r="H15" i="1"/>
  <c r="H18" i="1" s="1"/>
  <c r="R58" i="1" s="1"/>
  <c r="O15" i="1"/>
  <c r="O18" i="1" s="1"/>
  <c r="Y58" i="1" s="1"/>
  <c r="G15" i="1"/>
  <c r="V15" i="1"/>
  <c r="N15" i="1"/>
  <c r="K12" i="1"/>
  <c r="F12" i="1"/>
  <c r="J12" i="1"/>
  <c r="Q12" i="1"/>
  <c r="I12" i="1"/>
  <c r="P12" i="1"/>
  <c r="H12" i="1"/>
  <c r="O12" i="1"/>
  <c r="G12" i="1"/>
  <c r="V12" i="1"/>
  <c r="N12" i="1"/>
  <c r="U12" i="1"/>
  <c r="M12" i="1"/>
  <c r="E12" i="1"/>
  <c r="E13" i="1" s="1"/>
  <c r="S12" i="1"/>
  <c r="R12" i="1"/>
  <c r="T12" i="1"/>
  <c r="L12" i="1"/>
  <c r="S9" i="1"/>
  <c r="Q9" i="1"/>
  <c r="I9" i="1"/>
  <c r="J9" i="1"/>
  <c r="P9" i="1"/>
  <c r="H9" i="1"/>
  <c r="K9" i="1"/>
  <c r="R9" i="1"/>
  <c r="O9" i="1"/>
  <c r="G9" i="1"/>
  <c r="V9" i="1"/>
  <c r="N9" i="1"/>
  <c r="F9" i="1"/>
  <c r="U9" i="1"/>
  <c r="M9" i="1"/>
  <c r="E9" i="1"/>
  <c r="T9" i="1"/>
  <c r="L9" i="1"/>
  <c r="T6" i="1"/>
  <c r="L6" i="1"/>
  <c r="L4" i="1" s="1"/>
  <c r="D6" i="1"/>
  <c r="S6" i="1"/>
  <c r="S4" i="1" s="1"/>
  <c r="K6" i="1"/>
  <c r="K4" i="1" s="1"/>
  <c r="J6" i="1"/>
  <c r="J4" i="1" s="1"/>
  <c r="I6" i="1"/>
  <c r="I4" i="1" s="1"/>
  <c r="G6" i="1"/>
  <c r="V6" i="1"/>
  <c r="V4" i="1" s="1"/>
  <c r="N6" i="1"/>
  <c r="N4" i="1" s="1"/>
  <c r="F6" i="1"/>
  <c r="R6" i="1"/>
  <c r="R4" i="1" s="1"/>
  <c r="Q6" i="1"/>
  <c r="Q4" i="1" s="1"/>
  <c r="P6" i="1"/>
  <c r="P4" i="1" s="1"/>
  <c r="H6" i="1"/>
  <c r="H4" i="1" s="1"/>
  <c r="O6" i="1"/>
  <c r="O4" i="1" s="1"/>
  <c r="U6" i="1"/>
  <c r="M6" i="1"/>
  <c r="M4" i="1" s="1"/>
  <c r="Z59" i="1" l="1"/>
  <c r="AB59" i="1"/>
  <c r="L13" i="1"/>
  <c r="AD59" i="1"/>
  <c r="T59" i="1"/>
  <c r="W59" i="1"/>
  <c r="V59" i="1"/>
  <c r="AE59" i="1"/>
  <c r="S59" i="1"/>
  <c r="U59" i="1"/>
  <c r="AA59" i="1"/>
  <c r="AC59" i="1"/>
  <c r="P59" i="1"/>
  <c r="D4" i="1"/>
  <c r="E48" i="6"/>
  <c r="G44" i="6"/>
  <c r="G48" i="6" s="1"/>
  <c r="F48" i="6"/>
  <c r="D7" i="4"/>
  <c r="E8" i="4"/>
  <c r="L10" i="1"/>
  <c r="U13" i="1"/>
  <c r="P20" i="1"/>
  <c r="E20" i="1"/>
  <c r="M20" i="1"/>
  <c r="B21" i="1"/>
  <c r="H20" i="1"/>
  <c r="I20" i="1"/>
  <c r="D16" i="1"/>
  <c r="D18" i="1"/>
  <c r="N58" i="1" s="1"/>
  <c r="L20" i="1"/>
  <c r="Q20" i="1"/>
  <c r="N16" i="1"/>
  <c r="N18" i="1"/>
  <c r="J20" i="1"/>
  <c r="V16" i="1"/>
  <c r="V18" i="1"/>
  <c r="V20" i="1" s="1"/>
  <c r="R20" i="1"/>
  <c r="G16" i="1"/>
  <c r="G18" i="1"/>
  <c r="Q58" i="1" s="1"/>
  <c r="Q59" i="1" s="1"/>
  <c r="K20" i="1"/>
  <c r="O20" i="1"/>
  <c r="S20" i="1"/>
  <c r="Q10" i="1"/>
  <c r="G10" i="1"/>
  <c r="G7" i="1"/>
  <c r="G4" i="1"/>
  <c r="F7" i="1"/>
  <c r="F4" i="1"/>
  <c r="U7" i="1"/>
  <c r="U4" i="1"/>
  <c r="U20" i="1" s="1"/>
  <c r="T7" i="1"/>
  <c r="T4" i="1"/>
  <c r="T20" i="1" s="1"/>
  <c r="V10" i="1"/>
  <c r="I10" i="1"/>
  <c r="I13" i="1"/>
  <c r="O16" i="1"/>
  <c r="D8" i="1"/>
  <c r="V7" i="1"/>
  <c r="Q13" i="1"/>
  <c r="L16" i="1"/>
  <c r="T13" i="1"/>
  <c r="H16" i="1"/>
  <c r="E7" i="1"/>
  <c r="E16" i="1"/>
  <c r="S16" i="1"/>
  <c r="G13" i="1"/>
  <c r="J16" i="1"/>
  <c r="M16" i="1"/>
  <c r="T16" i="1"/>
  <c r="S13" i="1"/>
  <c r="R16" i="1"/>
  <c r="U16" i="1"/>
  <c r="P16" i="1"/>
  <c r="I16" i="1"/>
  <c r="Q16" i="1"/>
  <c r="L7" i="1"/>
  <c r="P13" i="1"/>
  <c r="K16" i="1"/>
  <c r="F16" i="1"/>
  <c r="M11" i="1"/>
  <c r="M13" i="1"/>
  <c r="J13" i="1"/>
  <c r="V13" i="1"/>
  <c r="F13" i="1"/>
  <c r="N13" i="1"/>
  <c r="K13" i="1"/>
  <c r="R13" i="1"/>
  <c r="O11" i="1"/>
  <c r="O13" i="1"/>
  <c r="H13" i="1"/>
  <c r="J10" i="1"/>
  <c r="N8" i="1"/>
  <c r="N10" i="1"/>
  <c r="M8" i="1"/>
  <c r="M7" i="1"/>
  <c r="I7" i="1"/>
  <c r="T8" i="1"/>
  <c r="T10" i="1"/>
  <c r="J7" i="1"/>
  <c r="E8" i="1"/>
  <c r="E10" i="1"/>
  <c r="K10" i="1"/>
  <c r="N7" i="1"/>
  <c r="O7" i="1"/>
  <c r="H7" i="1"/>
  <c r="O10" i="1"/>
  <c r="S8" i="1"/>
  <c r="S10" i="1"/>
  <c r="P7" i="1"/>
  <c r="R10" i="1"/>
  <c r="O8" i="1"/>
  <c r="Q7" i="1"/>
  <c r="K7" i="1"/>
  <c r="M10" i="1"/>
  <c r="V8" i="1"/>
  <c r="R7" i="1"/>
  <c r="S7" i="1"/>
  <c r="U10" i="1"/>
  <c r="H10" i="1"/>
  <c r="F10" i="1"/>
  <c r="P8" i="1"/>
  <c r="P10" i="1"/>
  <c r="S11" i="1"/>
  <c r="V11" i="1"/>
  <c r="U11" i="1"/>
  <c r="K11" i="1"/>
  <c r="R11" i="1"/>
  <c r="P11" i="1"/>
  <c r="F11" i="1"/>
  <c r="I11" i="1"/>
  <c r="K8" i="1"/>
  <c r="K14" i="1"/>
  <c r="S14" i="1"/>
  <c r="R14" i="1"/>
  <c r="N11" i="1"/>
  <c r="J14" i="1"/>
  <c r="E11" i="1"/>
  <c r="J8" i="1"/>
  <c r="N14" i="1"/>
  <c r="M14" i="1"/>
  <c r="G11" i="1"/>
  <c r="I14" i="1"/>
  <c r="C12" i="1"/>
  <c r="L11" i="1"/>
  <c r="O14" i="1"/>
  <c r="B15" i="1"/>
  <c r="D14" i="1"/>
  <c r="D11" i="1"/>
  <c r="B12" i="1"/>
  <c r="C15" i="1"/>
  <c r="L14" i="1"/>
  <c r="H8" i="1"/>
  <c r="G8" i="1"/>
  <c r="L8" i="1"/>
  <c r="C9" i="1"/>
  <c r="B6" i="1"/>
  <c r="J11" i="1"/>
  <c r="F14" i="1"/>
  <c r="E14" i="1"/>
  <c r="R8" i="1"/>
  <c r="T11" i="1"/>
  <c r="P14" i="1"/>
  <c r="U8" i="1"/>
  <c r="Q11" i="1"/>
  <c r="H11" i="1"/>
  <c r="I8" i="1"/>
  <c r="B9" i="1"/>
  <c r="F8" i="1"/>
  <c r="T14" i="1"/>
  <c r="Q8" i="1"/>
  <c r="G14" i="1"/>
  <c r="V14" i="1"/>
  <c r="U14" i="1"/>
  <c r="Q14" i="1"/>
  <c r="H14" i="1"/>
  <c r="C6" i="1"/>
  <c r="N20" i="1" l="1"/>
  <c r="X58" i="1"/>
  <c r="N59" i="1"/>
  <c r="C58" i="1"/>
  <c r="O59" i="1"/>
  <c r="R59" i="1"/>
  <c r="H44" i="6"/>
  <c r="G20" i="1"/>
  <c r="F8" i="4"/>
  <c r="E7" i="4"/>
  <c r="D10" i="4"/>
  <c r="D12" i="4"/>
  <c r="C18" i="1"/>
  <c r="B4" i="1"/>
  <c r="F20" i="1"/>
  <c r="D20" i="1"/>
  <c r="B18" i="1"/>
  <c r="C4" i="1"/>
  <c r="C14" i="1"/>
  <c r="B8" i="1"/>
  <c r="C8" i="1"/>
  <c r="B14" i="1"/>
  <c r="B11" i="1"/>
  <c r="C11" i="1"/>
  <c r="X59" i="1" l="1"/>
  <c r="Y59" i="1"/>
  <c r="I44" i="6"/>
  <c r="C20" i="1"/>
  <c r="G8" i="4"/>
  <c r="F7" i="4"/>
  <c r="E12" i="4"/>
  <c r="E10" i="4"/>
  <c r="B20" i="1"/>
  <c r="J44" i="6" l="1"/>
  <c r="F12" i="4"/>
  <c r="F10" i="4"/>
  <c r="H8" i="4"/>
  <c r="G7" i="4"/>
  <c r="K44" i="6" l="1"/>
  <c r="G12" i="4"/>
  <c r="G10" i="4"/>
  <c r="H7" i="4"/>
  <c r="L44" i="6" l="1"/>
  <c r="I8" i="4"/>
  <c r="H12" i="4"/>
  <c r="H14" i="4" s="1"/>
  <c r="H10" i="4"/>
  <c r="H18" i="4" l="1"/>
  <c r="H30" i="6"/>
  <c r="H42" i="6" s="1"/>
  <c r="H48" i="6" s="1"/>
  <c r="M44" i="6"/>
  <c r="I7" i="4"/>
  <c r="J8" i="4"/>
  <c r="N44" i="6" l="1"/>
  <c r="I12" i="4"/>
  <c r="I14" i="4" s="1"/>
  <c r="I10" i="4"/>
  <c r="J7" i="4"/>
  <c r="K8" i="4"/>
  <c r="I18" i="4" l="1"/>
  <c r="I30" i="6"/>
  <c r="I42" i="6" s="1"/>
  <c r="I48" i="6" s="1"/>
  <c r="O44" i="6"/>
  <c r="K7" i="4"/>
  <c r="L8" i="4"/>
  <c r="J12" i="4"/>
  <c r="J14" i="4" s="1"/>
  <c r="J10" i="4"/>
  <c r="J18" i="4" l="1"/>
  <c r="J30" i="6"/>
  <c r="J42" i="6" s="1"/>
  <c r="J48" i="6" s="1"/>
  <c r="P44" i="6"/>
  <c r="L7" i="4"/>
  <c r="L12" i="4" s="1"/>
  <c r="K12" i="4"/>
  <c r="K14" i="4" s="1"/>
  <c r="K10" i="4"/>
  <c r="K18" i="4" l="1"/>
  <c r="K30" i="6"/>
  <c r="K42" i="6" s="1"/>
  <c r="K48" i="6" s="1"/>
  <c r="Q44" i="6"/>
  <c r="M8" i="4"/>
  <c r="M7" i="4" s="1"/>
  <c r="L10" i="4"/>
  <c r="L14" i="4"/>
  <c r="N8" i="4" l="1"/>
  <c r="L18" i="4"/>
  <c r="L30" i="6"/>
  <c r="L42" i="6" s="1"/>
  <c r="L48" i="6" s="1"/>
  <c r="R44" i="6"/>
  <c r="O8" i="4"/>
  <c r="N7" i="4"/>
  <c r="M12" i="4"/>
  <c r="M14" i="4" s="1"/>
  <c r="M10" i="4"/>
  <c r="M18" i="4" l="1"/>
  <c r="M30" i="6"/>
  <c r="M42" i="6" s="1"/>
  <c r="M48" i="6" s="1"/>
  <c r="S44" i="6"/>
  <c r="P8" i="4"/>
  <c r="O7" i="4"/>
  <c r="N12" i="4"/>
  <c r="N14" i="4" s="1"/>
  <c r="N10" i="4"/>
  <c r="N18" i="4" l="1"/>
  <c r="N30" i="6"/>
  <c r="N42" i="6" s="1"/>
  <c r="N48" i="6" s="1"/>
  <c r="T44" i="6"/>
  <c r="O12" i="4"/>
  <c r="O14" i="4" s="1"/>
  <c r="O10" i="4"/>
  <c r="P7" i="4"/>
  <c r="O18" i="4" l="1"/>
  <c r="O30" i="6"/>
  <c r="O42" i="6" s="1"/>
  <c r="O48" i="6" s="1"/>
  <c r="V44" i="6"/>
  <c r="U44" i="6"/>
  <c r="Q8" i="4"/>
  <c r="P12" i="4"/>
  <c r="P14" i="4" s="1"/>
  <c r="P10" i="4"/>
  <c r="P18" i="4" l="1"/>
  <c r="P30" i="6"/>
  <c r="P42" i="6" s="1"/>
  <c r="P48" i="6" s="1"/>
  <c r="Q7" i="4"/>
  <c r="R8" i="4"/>
  <c r="R7" i="4" l="1"/>
  <c r="S8" i="4"/>
  <c r="Q12" i="4"/>
  <c r="Q14" i="4" s="1"/>
  <c r="Q10" i="4"/>
  <c r="Q18" i="4" l="1"/>
  <c r="Q30" i="6"/>
  <c r="Q42" i="6" s="1"/>
  <c r="Q48" i="6" s="1"/>
  <c r="S7" i="4"/>
  <c r="T8" i="4"/>
  <c r="R12" i="4"/>
  <c r="R14" i="4" s="1"/>
  <c r="R10" i="4"/>
  <c r="R18" i="4" l="1"/>
  <c r="R30" i="6"/>
  <c r="R42" i="6" s="1"/>
  <c r="R48" i="6" s="1"/>
  <c r="T7" i="4"/>
  <c r="U8" i="4"/>
  <c r="S12" i="4"/>
  <c r="S14" i="4" s="1"/>
  <c r="S10" i="4"/>
  <c r="S18" i="4" l="1"/>
  <c r="S30" i="6"/>
  <c r="S42" i="6" s="1"/>
  <c r="S48" i="6" s="1"/>
  <c r="T10" i="4"/>
  <c r="T12" i="4"/>
  <c r="T14" i="4" s="1"/>
  <c r="V8" i="4"/>
  <c r="U7" i="4"/>
  <c r="T18" i="4" l="1"/>
  <c r="T30" i="6"/>
  <c r="T42" i="6" s="1"/>
  <c r="T48" i="6" s="1"/>
  <c r="V7" i="4"/>
  <c r="V12" i="4" s="1"/>
  <c r="U12" i="4"/>
  <c r="U14" i="4" s="1"/>
  <c r="U10" i="4"/>
  <c r="U18" i="4" l="1"/>
  <c r="U30" i="6"/>
  <c r="U42" i="6" s="1"/>
  <c r="U48" i="6" s="1"/>
  <c r="V10" i="4"/>
  <c r="V14" i="4"/>
  <c r="V18" i="4" l="1"/>
  <c r="V30" i="6"/>
  <c r="V42" i="6" s="1"/>
  <c r="V4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fcastellanos</author>
  </authors>
  <commentList>
    <comment ref="N9" authorId="0" shapeId="0" xr:uid="{AF9404B5-B7AD-47BC-80B1-9C94ECD2DA33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June YTD Actuals *2.</t>
        </r>
      </text>
    </comment>
    <comment ref="C29" authorId="0" shapeId="0" xr:uid="{9D8EF0EA-B29D-49BB-B68E-476DA4EA9D2F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D29" authorId="0" shapeId="0" xr:uid="{AD853D14-2EFB-41CF-A35E-1998DDFC0FB1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"Source_2019E - Forecast".</t>
        </r>
      </text>
    </comment>
    <comment ref="E29" authorId="0" shapeId="0" xr:uid="{432647B7-2EE9-4A01-BE82-D8873AE1119E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Assumes - Full Fare in 2020 and increases $0.25 every 4 years. </t>
        </r>
      </text>
    </comment>
    <comment ref="D30" authorId="0" shapeId="0" xr:uid="{3D01CEA1-03A1-47BA-8EA5-AC93232F8A0A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"Source_2019E - Forecast".</t>
        </r>
      </text>
    </comment>
    <comment ref="E30" authorId="0" shapeId="0" xr:uid="{2FCE1C4C-5225-4CEA-859E-0A61A5C9CB5A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Assumes - Full Fare in 2020, and increases 1.9% every year. </t>
        </r>
      </text>
    </comment>
    <comment ref="D31" authorId="0" shapeId="0" xr:uid="{A00821F4-80DB-4830-B305-7963CE24A52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2019B.
</t>
        </r>
      </text>
    </comment>
    <comment ref="E31" authorId="0" shapeId="0" xr:uid="{A7B4994D-FE5C-40EF-A954-6315C3B691B8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"AF Calc. - Per TAT (For PAX)". For 6 Mo. YTD June Average.
</t>
        </r>
      </text>
    </comment>
    <comment ref="D32" authorId="0" shapeId="0" xr:uid="{3DDFC46C-6C5D-4AEE-841C-BCE4DFD811E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2019B.</t>
        </r>
      </text>
    </comment>
    <comment ref="E32" authorId="0" shapeId="0" xr:uid="{9A09D698-646A-4F78-937D-52C9B722700C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"AF Calc. - Per TAT (For PAX)". For 6 Mo. YTD June Average.</t>
        </r>
      </text>
    </comment>
    <comment ref="C35" authorId="0" shapeId="0" xr:uid="{7FA670A1-AD89-42E9-9714-7E27D6C3EF42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D35" authorId="0" shapeId="0" xr:uid="{5721586E-ADAD-4148-BC94-FCBB88FB9AF2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E35" authorId="0" shapeId="0" xr:uid="{491692BA-C110-4E02-93A5-6BCAF4EBC46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"MS Cacl. - Per TAT (For PAX)" J71 - J74. For 6 Mo. YTD June Average.</t>
        </r>
      </text>
    </comment>
    <comment ref="D42" authorId="0" shapeId="0" xr:uid="{90CD3DB8-5382-4987-9ECE-2FCEB44E2C8B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$5K added for SmartLink.</t>
        </r>
      </text>
    </comment>
    <comment ref="A49" authorId="0" shapeId="0" xr:uid="{1ED315A7-C82F-4688-8AAD-50CE6A9C6526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$5K missing in SmartLink &amp; $6K Missing for "Contactless Bank Card".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fcastellanos</author>
    <author>tc={6F09CDD0-AF3F-48AC-8FCB-065F386DF3E2}</author>
    <author>tc={9BDBD4E7-9BD2-4289-8EF1-C7C1C67961B7}</author>
    <author>tc={11683581-EB54-40DC-BC5B-CEE576FD8DE4}</author>
    <author>tc={E0B0E9FF-27A1-4A1F-9459-F2F55D4578EE}</author>
    <author>tc={371A21E1-A17C-4679-B9F3-196B3794B747}</author>
    <author>tc={F746870C-CAEF-49E6-B398-8E6135D06654}</author>
    <author>tc={6EF50FC4-5EAD-4575-BB08-CE4CF3B4910D}</author>
  </authors>
  <commentList>
    <comment ref="M9" authorId="0" shapeId="0" xr:uid="{83086ACB-2037-4D6C-BB1A-301B65DFED5C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June YTD Actuals *2.</t>
        </r>
      </text>
    </comment>
    <comment ref="B29" authorId="0" shapeId="0" xr:uid="{09050173-566D-4C5E-A350-65B626D019A0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C29" authorId="1" shapeId="0" xr:uid="{6F09CDD0-AF3F-48AC-8FCB-065F386DF3E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 $2.577 baseline average fare, instead of $2.61.</t>
      </text>
    </comment>
    <comment ref="E30" authorId="2" shapeId="0" xr:uid="{9BDBD4E7-9BD2-4289-8EF1-C7C1C67961B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Board resolution raising average SmartLink fares to $2.60</t>
      </text>
    </comment>
    <comment ref="F30" authorId="3" shapeId="0" xr:uid="{11683581-EB54-40DC-BC5B-CEE576FD8DE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COLA impementation policy as outlined in Board resolution.</t>
      </text>
    </comment>
    <comment ref="D31" authorId="4" shapeId="0" xr:uid="{E0B0E9FF-27A1-4A1F-9459-F2F55D4578E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average fares for 2018 and the prior baseline.</t>
      </text>
    </comment>
    <comment ref="H31" authorId="5" shapeId="0" xr:uid="{371A21E1-A17C-4679-B9F3-196B3794B74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 increase applied here, with same methodology as Metrocard COLA.</t>
      </text>
    </comment>
    <comment ref="D32" authorId="6" shapeId="0" xr:uid="{F746870C-CAEF-49E6-B398-8E6135D066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average fares for 2018 and the prior baseline.</t>
      </text>
    </comment>
    <comment ref="H32" authorId="7" shapeId="0" xr:uid="{6EF50FC4-5EAD-4575-BB08-CE4CF3B4910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 increase applied here, with same methodology as Metrocard COLA.</t>
      </text>
    </comment>
    <comment ref="B35" authorId="0" shapeId="0" xr:uid="{C8987C74-4563-4BCC-9AC3-40F02D93AD23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McCarthy, Arda</author>
  </authors>
  <commentList>
    <comment ref="AX6" authorId="0" shapeId="0" xr:uid="{43FB30F0-E6FA-41DD-8905-EF2C42ACFA2D}">
      <text>
        <r>
          <rPr>
            <b/>
            <sz val="9"/>
            <color indexed="81"/>
            <rFont val="Tahoma"/>
            <family val="2"/>
          </rPr>
          <t>McCarthy, Arda:</t>
        </r>
        <r>
          <rPr>
            <sz val="9"/>
            <color indexed="81"/>
            <rFont val="Tahoma"/>
            <family val="2"/>
          </rPr>
          <t xml:space="preserve">
cross honor number here is an estimate - per heinrich 9/2019 - Dept did not have good records. 2010 on are based on records</t>
        </r>
      </text>
    </comment>
  </commentList>
</comments>
</file>

<file path=xl/sharedStrings.xml><?xml version="1.0" encoding="utf-8"?>
<sst xmlns="http://schemas.openxmlformats.org/spreadsheetml/2006/main" count="205" uniqueCount="108">
  <si>
    <t>DO NOT USE</t>
  </si>
  <si>
    <t>Year</t>
  </si>
  <si>
    <t>Actual - Based on No Cross Honor</t>
  </si>
  <si>
    <t>2019 Q3</t>
  </si>
  <si>
    <t>2019 Q2</t>
  </si>
  <si>
    <t>Tunnel Closures</t>
  </si>
  <si>
    <t>2019 Q3 Estimate(1)</t>
  </si>
  <si>
    <t>2018 Q3</t>
  </si>
  <si>
    <t>2019 Q3 adjusted</t>
  </si>
  <si>
    <t>2019 Q3 Estimate (2)</t>
  </si>
  <si>
    <t>Adjust 2019</t>
  </si>
  <si>
    <t>Model only  w wknd/hol changes</t>
  </si>
  <si>
    <t>(adjusted using growth rate)</t>
  </si>
  <si>
    <t>new method</t>
  </si>
  <si>
    <t>new actuals</t>
  </si>
  <si>
    <t>econ + data revision</t>
  </si>
  <si>
    <t>Base</t>
  </si>
  <si>
    <t>Pessimistic</t>
  </si>
  <si>
    <t>Base (9/27)</t>
  </si>
  <si>
    <t>&lt;- w/ old method</t>
  </si>
  <si>
    <t>Base (original)</t>
  </si>
  <si>
    <t>Base (revised)</t>
  </si>
  <si>
    <t>Alternative (MICE)</t>
  </si>
  <si>
    <t>2019Q1*</t>
  </si>
  <si>
    <t>2018Q3</t>
  </si>
  <si>
    <t>2019Q2_alt</t>
  </si>
  <si>
    <t>All Pax</t>
  </si>
  <si>
    <t>No Cross-honor Pax</t>
  </si>
  <si>
    <t>* Last run w/ overlay</t>
  </si>
  <si>
    <t>2019-26</t>
  </si>
  <si>
    <t>2027-36</t>
  </si>
  <si>
    <t>Econ subtotal</t>
  </si>
  <si>
    <t>Subtotal New Actuals</t>
  </si>
  <si>
    <t>Total Variance</t>
  </si>
  <si>
    <t>2018 Q3 Closure Adjustment</t>
  </si>
  <si>
    <t>2018 Q3 PAX</t>
  </si>
  <si>
    <t>2018 Q3 Econ Model</t>
  </si>
  <si>
    <t>2019 Q3 Econ Model</t>
  </si>
  <si>
    <t>2019 Q3 PAX</t>
  </si>
  <si>
    <t>2019 Q3 Closure Adjustment</t>
  </si>
  <si>
    <t>Economic Scenario:</t>
  </si>
  <si>
    <t>CPI-U</t>
  </si>
  <si>
    <t>Single Ride Ticket (SRT)</t>
  </si>
  <si>
    <t>MTA</t>
  </si>
  <si>
    <t xml:space="preserve">SRT Fare Growth </t>
  </si>
  <si>
    <t>Variance</t>
  </si>
  <si>
    <t>Baseline Scenario</t>
  </si>
  <si>
    <t>PATH 2020 Budget Submission</t>
  </si>
  <si>
    <t>(In Thousands)</t>
  </si>
  <si>
    <t>Budget Summary</t>
  </si>
  <si>
    <t>Card Fees</t>
  </si>
  <si>
    <t>2019B</t>
  </si>
  <si>
    <t>2019E</t>
  </si>
  <si>
    <t>2020B</t>
  </si>
  <si>
    <t>2021B</t>
  </si>
  <si>
    <t>2022B</t>
  </si>
  <si>
    <t>Budget</t>
  </si>
  <si>
    <t>Estimate</t>
  </si>
  <si>
    <t>400-743 - SmartLink</t>
  </si>
  <si>
    <t>Fare Revenue</t>
  </si>
  <si>
    <t>400-749 - Metrocard</t>
  </si>
  <si>
    <t>Total Fare Revenue</t>
  </si>
  <si>
    <t>Passengers</t>
  </si>
  <si>
    <t xml:space="preserve">Estimate </t>
  </si>
  <si>
    <t xml:space="preserve">Budget </t>
  </si>
  <si>
    <t>LRF</t>
  </si>
  <si>
    <t>Calculated Gross Average Fare</t>
  </si>
  <si>
    <t>Total Passengers</t>
  </si>
  <si>
    <t>Average Fare and Mix</t>
  </si>
  <si>
    <t>400-738 Metrocard</t>
  </si>
  <si>
    <t>400-741 Smart Link</t>
  </si>
  <si>
    <t>400-740 SRT</t>
  </si>
  <si>
    <t>400-739 QuickCard (Other)</t>
  </si>
  <si>
    <t>Product % Distribution</t>
  </si>
  <si>
    <t>400-738</t>
  </si>
  <si>
    <t>400-741</t>
  </si>
  <si>
    <t>400-740</t>
  </si>
  <si>
    <t xml:space="preserve">400-739 </t>
  </si>
  <si>
    <t>400-743</t>
  </si>
  <si>
    <t>400-749</t>
  </si>
  <si>
    <t>Total</t>
  </si>
  <si>
    <t xml:space="preserve">Variance to SAP </t>
  </si>
  <si>
    <t>KEY</t>
  </si>
  <si>
    <t>Manual Adjustment for Loss of 5% Bonus in MetroCard</t>
  </si>
  <si>
    <t>Manual Adjustment for Reduction in SmartLink Discount</t>
  </si>
  <si>
    <t xml:space="preserve">Manual Adjustment for Discrepancy to SAP </t>
  </si>
  <si>
    <t>PATH Passenger Activity</t>
  </si>
  <si>
    <t>PATH Fare Revenues and Traffic - Submitted ($s in thousands)</t>
  </si>
  <si>
    <t>Indicators</t>
  </si>
  <si>
    <t>CAGR 2019-26</t>
  </si>
  <si>
    <t>Passenger Activity</t>
  </si>
  <si>
    <t>Q2 2018 Employment</t>
  </si>
  <si>
    <t>Q3 2019 Employment</t>
  </si>
  <si>
    <t>Q2 2018 Population</t>
  </si>
  <si>
    <t>Q3 2019 Population</t>
  </si>
  <si>
    <t>CAGR 2027-36</t>
  </si>
  <si>
    <t>Historical Ridership</t>
  </si>
  <si>
    <t>2010-2019 CAGR</t>
  </si>
  <si>
    <t>PATH Fare Revenues and Traffic - Revised Calculation ($s in thousands)</t>
  </si>
  <si>
    <t>*Red highlighted sections correspond to recommended changes*</t>
  </si>
  <si>
    <t>PATH FARE RATES PER BOARD RESOLUTION</t>
  </si>
  <si>
    <t>SmartLink Fares in Submitted PATH LRF:</t>
  </si>
  <si>
    <t>SmartLink (per Board resolution):</t>
  </si>
  <si>
    <t>Variance:</t>
  </si>
  <si>
    <t>New Econ</t>
  </si>
  <si>
    <t>New Actuals + Econ</t>
  </si>
  <si>
    <t>New Holiday Method + Actuals + Econ</t>
  </si>
  <si>
    <t>Post-Model Closure Adjustment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</si>
</sst>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#,##0.0"/>
    <numFmt numFmtId="168" formatCode="_(* #,##0.000_);_(* \(#,##0.000\);_(* &quot;-&quot;??_);_(@_)"/>
    <numFmt numFmtId="169" formatCode="&quot;$&quot;#,##0"/>
    <numFmt numFmtId="170" formatCode="&quot;$&quot;#,##0.00"/>
    <numFmt numFmtId="171" formatCode="&quot;$&quot;#,##0.000_);\(&quot;$&quot;#,##0.000\)"/>
    <numFmt numFmtId="172" formatCode="0.0000%"/>
    <numFmt numFmtId="173" formatCode="_([$$-409]* #,##0.000_);_([$$-409]* \(#,##0.000\);_([$$-409]* &quot;-&quot;??_);_(@_)"/>
    <numFmt numFmtId="174" formatCode="_(&quot;$&quot;* #,##0.000_);_(&quot;$&quot;* \(#,##0.000\);_(&quot;$&quot;* &quot;-&quot;??_);_(@_)"/>
    <numFmt numFmtId="175" formatCode="_([$$-409]* #,##0_);_([$$-409]* \(#,##0\);_([$$-409]* &quot;-&quot;??_);_(@_)"/>
    <numFmt numFmtId="176" formatCode="0.000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rgb="FF548235"/>
      <name val="Calibri"/>
      <family val="2"/>
    </font>
    <font>
      <sz val="11"/>
      <color rgb="FF006100"/>
      <name val="Calibri"/>
      <family val="2"/>
    </font>
    <font>
      <sz val="12"/>
      <name val="Calibri"/>
      <family val="2"/>
    </font>
    <font>
      <sz val="10"/>
      <color rgb="FF44546A"/>
      <name val="Calibri"/>
      <family val="2"/>
    </font>
    <font>
      <sz val="10"/>
      <color rgb="FF595959"/>
      <name val="Calibri"/>
      <family val="2"/>
    </font>
    <font>
      <sz val="10"/>
      <color rgb="FF3F3F76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BE1E23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Times New Roman"/>
      <family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i/>
      <sz val="11"/>
      <color rgb="FF4472C4"/>
      <name val="Calibri"/>
      <family val="2"/>
    </font>
    <font>
      <i/>
      <sz val="11"/>
      <color rgb="FFFF0000"/>
      <name val="Calibri"/>
      <family val="2"/>
    </font>
    <font>
      <sz val="11"/>
      <color theme="1" tint="0.34998626667073579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C99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BDD7EE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5F5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7D7D"/>
        <bgColor rgb="FF000000"/>
      </patternFill>
    </fill>
    <fill>
      <patternFill patternType="solid">
        <fgColor rgb="FFFF7D7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7" tint="0.59999389629810485"/>
        <bgColor rgb="FFFFFFFF"/>
      </patternFill>
    </fill>
  </fills>
  <borders count="5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</cellStyleXfs>
  <cellXfs count="331">
    <xf numFmtId="0" fontId="0" fillId="0" borderId="0" xfId="0"/>
    <xf numFmtId="0" fontId="8" fillId="7" borderId="0" xfId="0" applyFont="1" applyFill="1" applyBorder="1"/>
    <xf numFmtId="0" fontId="9" fillId="7" borderId="0" xfId="5" applyFont="1" applyFill="1" applyBorder="1" applyAlignment="1">
      <alignment horizontal="center"/>
    </xf>
    <xf numFmtId="164" fontId="10" fillId="7" borderId="0" xfId="1" applyNumberFormat="1" applyFont="1" applyFill="1" applyBorder="1"/>
    <xf numFmtId="0" fontId="11" fillId="7" borderId="6" xfId="0" applyFont="1" applyFill="1" applyBorder="1" applyAlignment="1"/>
    <xf numFmtId="0" fontId="11" fillId="7" borderId="7" xfId="0" applyFont="1" applyFill="1" applyBorder="1" applyAlignment="1"/>
    <xf numFmtId="0" fontId="8" fillId="7" borderId="7" xfId="0" applyFont="1" applyFill="1" applyBorder="1"/>
    <xf numFmtId="0" fontId="11" fillId="7" borderId="8" xfId="0" applyFont="1" applyFill="1" applyBorder="1"/>
    <xf numFmtId="0" fontId="11" fillId="7" borderId="5" xfId="0" applyFont="1" applyFill="1" applyBorder="1" applyAlignment="1">
      <alignment horizontal="center"/>
    </xf>
    <xf numFmtId="0" fontId="9" fillId="7" borderId="11" xfId="5" applyFont="1" applyFill="1" applyBorder="1" applyAlignment="1">
      <alignment horizontal="center"/>
    </xf>
    <xf numFmtId="0" fontId="9" fillId="7" borderId="12" xfId="5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2" xfId="0" applyFont="1" applyFill="1" applyBorder="1"/>
    <xf numFmtId="0" fontId="8" fillId="7" borderId="13" xfId="0" applyFont="1" applyFill="1" applyBorder="1"/>
    <xf numFmtId="0" fontId="8" fillId="7" borderId="11" xfId="0" applyFont="1" applyFill="1" applyBorder="1"/>
    <xf numFmtId="0" fontId="11" fillId="7" borderId="14" xfId="7" applyFont="1" applyFill="1" applyBorder="1"/>
    <xf numFmtId="0" fontId="11" fillId="7" borderId="13" xfId="7" applyFont="1" applyFill="1" applyBorder="1"/>
    <xf numFmtId="0" fontId="11" fillId="8" borderId="15" xfId="7" applyFont="1" applyFill="1" applyBorder="1"/>
    <xf numFmtId="0" fontId="11" fillId="8" borderId="16" xfId="7" applyFont="1" applyFill="1" applyBorder="1"/>
    <xf numFmtId="0" fontId="11" fillId="7" borderId="10" xfId="0" applyFont="1" applyFill="1" applyBorder="1"/>
    <xf numFmtId="0" fontId="11" fillId="7" borderId="11" xfId="0" applyFont="1" applyFill="1" applyBorder="1"/>
    <xf numFmtId="0" fontId="11" fillId="7" borderId="13" xfId="0" applyFont="1" applyFill="1" applyBorder="1"/>
    <xf numFmtId="0" fontId="9" fillId="7" borderId="18" xfId="5" applyFont="1" applyFill="1" applyBorder="1" applyAlignment="1">
      <alignment horizontal="center"/>
    </xf>
    <xf numFmtId="0" fontId="9" fillId="7" borderId="19" xfId="5" applyFont="1" applyFill="1" applyBorder="1" applyAlignment="1">
      <alignment horizontal="center"/>
    </xf>
    <xf numFmtId="0" fontId="11" fillId="9" borderId="19" xfId="0" applyFont="1" applyFill="1" applyBorder="1" applyAlignment="1">
      <alignment horizontal="left"/>
    </xf>
    <xf numFmtId="0" fontId="11" fillId="7" borderId="19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1" fillId="11" borderId="19" xfId="0" applyFont="1" applyFill="1" applyBorder="1" applyAlignment="1">
      <alignment horizontal="left"/>
    </xf>
    <xf numFmtId="0" fontId="11" fillId="7" borderId="20" xfId="0" applyFont="1" applyFill="1" applyBorder="1" applyAlignment="1">
      <alignment horizontal="left"/>
    </xf>
    <xf numFmtId="0" fontId="11" fillId="7" borderId="18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19" xfId="0" applyFont="1" applyFill="1" applyBorder="1"/>
    <xf numFmtId="0" fontId="8" fillId="7" borderId="20" xfId="0" applyFont="1" applyFill="1" applyBorder="1"/>
    <xf numFmtId="0" fontId="8" fillId="7" borderId="18" xfId="0" applyFont="1" applyFill="1" applyBorder="1"/>
    <xf numFmtId="0" fontId="11" fillId="7" borderId="21" xfId="7" applyFont="1" applyFill="1" applyBorder="1"/>
    <xf numFmtId="0" fontId="11" fillId="7" borderId="20" xfId="7" applyFont="1" applyFill="1" applyBorder="1"/>
    <xf numFmtId="0" fontId="11" fillId="8" borderId="22" xfId="7" applyFont="1" applyFill="1" applyBorder="1"/>
    <xf numFmtId="0" fontId="11" fillId="8" borderId="23" xfId="7" applyFont="1" applyFill="1" applyBorder="1"/>
    <xf numFmtId="0" fontId="11" fillId="7" borderId="17" xfId="0" applyFont="1" applyFill="1" applyBorder="1"/>
    <xf numFmtId="0" fontId="11" fillId="7" borderId="18" xfId="0" applyFont="1" applyFill="1" applyBorder="1"/>
    <xf numFmtId="0" fontId="11" fillId="7" borderId="20" xfId="0" applyFont="1" applyFill="1" applyBorder="1"/>
    <xf numFmtId="0" fontId="9" fillId="7" borderId="26" xfId="5" applyFont="1" applyFill="1" applyBorder="1"/>
    <xf numFmtId="0" fontId="9" fillId="7" borderId="27" xfId="5" applyFont="1" applyFill="1" applyBorder="1"/>
    <xf numFmtId="0" fontId="12" fillId="12" borderId="27" xfId="6" applyFont="1" applyFill="1" applyBorder="1"/>
    <xf numFmtId="0" fontId="13" fillId="7" borderId="27" xfId="5" quotePrefix="1" applyFont="1" applyFill="1" applyBorder="1"/>
    <xf numFmtId="0" fontId="11" fillId="7" borderId="27" xfId="0" applyFont="1" applyFill="1" applyBorder="1"/>
    <xf numFmtId="0" fontId="14" fillId="7" borderId="27" xfId="4" applyFont="1" applyFill="1" applyBorder="1"/>
    <xf numFmtId="0" fontId="11" fillId="7" borderId="28" xfId="0" applyFont="1" applyFill="1" applyBorder="1"/>
    <xf numFmtId="0" fontId="11" fillId="7" borderId="26" xfId="0" applyFont="1" applyFill="1" applyBorder="1"/>
    <xf numFmtId="0" fontId="8" fillId="7" borderId="27" xfId="0" applyFont="1" applyFill="1" applyBorder="1"/>
    <xf numFmtId="164" fontId="10" fillId="7" borderId="27" xfId="1" applyNumberFormat="1" applyFont="1" applyFill="1" applyBorder="1"/>
    <xf numFmtId="0" fontId="8" fillId="7" borderId="28" xfId="0" applyFont="1" applyFill="1" applyBorder="1"/>
    <xf numFmtId="0" fontId="8" fillId="7" borderId="26" xfId="0" applyFont="1" applyFill="1" applyBorder="1"/>
    <xf numFmtId="0" fontId="11" fillId="7" borderId="29" xfId="7" applyFont="1" applyFill="1" applyBorder="1"/>
    <xf numFmtId="0" fontId="11" fillId="7" borderId="28" xfId="7" applyFont="1" applyFill="1" applyBorder="1"/>
    <xf numFmtId="0" fontId="11" fillId="7" borderId="29" xfId="0" applyFont="1" applyFill="1" applyBorder="1"/>
    <xf numFmtId="0" fontId="11" fillId="7" borderId="25" xfId="0" applyFont="1" applyFill="1" applyBorder="1"/>
    <xf numFmtId="0" fontId="11" fillId="0" borderId="3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8" fillId="7" borderId="32" xfId="0" applyFont="1" applyFill="1" applyBorder="1"/>
    <xf numFmtId="164" fontId="8" fillId="7" borderId="33" xfId="1" applyNumberFormat="1" applyFont="1" applyFill="1" applyBorder="1"/>
    <xf numFmtId="164" fontId="9" fillId="7" borderId="34" xfId="5" applyNumberFormat="1" applyFont="1" applyFill="1" applyBorder="1"/>
    <xf numFmtId="164" fontId="9" fillId="7" borderId="35" xfId="5" applyNumberFormat="1" applyFont="1" applyFill="1" applyBorder="1"/>
    <xf numFmtId="164" fontId="8" fillId="7" borderId="35" xfId="1" applyNumberFormat="1" applyFont="1" applyFill="1" applyBorder="1"/>
    <xf numFmtId="164" fontId="8" fillId="7" borderId="36" xfId="1" applyNumberFormat="1" applyFont="1" applyFill="1" applyBorder="1"/>
    <xf numFmtId="164" fontId="10" fillId="7" borderId="34" xfId="1" applyNumberFormat="1" applyFont="1" applyFill="1" applyBorder="1"/>
    <xf numFmtId="164" fontId="10" fillId="7" borderId="35" xfId="1" applyNumberFormat="1" applyFont="1" applyFill="1" applyBorder="1"/>
    <xf numFmtId="0" fontId="8" fillId="7" borderId="35" xfId="0" applyFont="1" applyFill="1" applyBorder="1"/>
    <xf numFmtId="0" fontId="8" fillId="7" borderId="36" xfId="0" applyFont="1" applyFill="1" applyBorder="1"/>
    <xf numFmtId="0" fontId="8" fillId="7" borderId="34" xfId="0" applyFont="1" applyFill="1" applyBorder="1"/>
    <xf numFmtId="0" fontId="8" fillId="7" borderId="37" xfId="0" applyFont="1" applyFill="1" applyBorder="1"/>
    <xf numFmtId="0" fontId="8" fillId="7" borderId="33" xfId="0" applyFont="1" applyFill="1" applyBorder="1"/>
    <xf numFmtId="0" fontId="15" fillId="0" borderId="24" xfId="0" applyFont="1" applyFill="1" applyBorder="1" applyAlignment="1">
      <alignment horizontal="right" vertical="center"/>
    </xf>
    <xf numFmtId="3" fontId="10" fillId="0" borderId="38" xfId="0" applyNumberFormat="1" applyFont="1" applyFill="1" applyBorder="1" applyAlignment="1">
      <alignment horizontal="right" vertical="center"/>
    </xf>
    <xf numFmtId="0" fontId="8" fillId="7" borderId="39" xfId="0" applyFont="1" applyFill="1" applyBorder="1"/>
    <xf numFmtId="164" fontId="8" fillId="7" borderId="10" xfId="1" applyNumberFormat="1" applyFont="1" applyFill="1" applyBorder="1"/>
    <xf numFmtId="164" fontId="9" fillId="7" borderId="11" xfId="5" applyNumberFormat="1" applyFont="1" applyFill="1" applyBorder="1"/>
    <xf numFmtId="164" fontId="9" fillId="7" borderId="12" xfId="5" applyNumberFormat="1" applyFont="1" applyFill="1" applyBorder="1"/>
    <xf numFmtId="164" fontId="8" fillId="7" borderId="12" xfId="1" applyNumberFormat="1" applyFont="1" applyFill="1" applyBorder="1"/>
    <xf numFmtId="164" fontId="8" fillId="7" borderId="13" xfId="1" applyNumberFormat="1" applyFont="1" applyFill="1" applyBorder="1"/>
    <xf numFmtId="164" fontId="10" fillId="7" borderId="11" xfId="1" applyNumberFormat="1" applyFont="1" applyFill="1" applyBorder="1"/>
    <xf numFmtId="164" fontId="10" fillId="7" borderId="12" xfId="1" applyNumberFormat="1" applyFont="1" applyFill="1" applyBorder="1"/>
    <xf numFmtId="0" fontId="8" fillId="7" borderId="14" xfId="0" applyFont="1" applyFill="1" applyBorder="1"/>
    <xf numFmtId="0" fontId="8" fillId="7" borderId="10" xfId="0" applyFont="1" applyFill="1" applyBorder="1"/>
    <xf numFmtId="43" fontId="8" fillId="7" borderId="12" xfId="1" applyNumberFormat="1" applyFont="1" applyFill="1" applyBorder="1"/>
    <xf numFmtId="165" fontId="8" fillId="7" borderId="13" xfId="3" applyNumberFormat="1" applyFont="1" applyFill="1" applyBorder="1"/>
    <xf numFmtId="165" fontId="8" fillId="7" borderId="10" xfId="3" applyNumberFormat="1" applyFont="1" applyFill="1" applyBorder="1"/>
    <xf numFmtId="165" fontId="8" fillId="7" borderId="11" xfId="3" applyNumberFormat="1" applyFont="1" applyFill="1" applyBorder="1"/>
    <xf numFmtId="165" fontId="8" fillId="7" borderId="0" xfId="3" applyNumberFormat="1" applyFont="1" applyFill="1" applyBorder="1"/>
    <xf numFmtId="0" fontId="9" fillId="7" borderId="11" xfId="5" applyFont="1" applyFill="1" applyBorder="1"/>
    <xf numFmtId="165" fontId="10" fillId="7" borderId="12" xfId="3" applyNumberFormat="1" applyFont="1" applyFill="1" applyBorder="1"/>
    <xf numFmtId="164" fontId="16" fillId="7" borderId="12" xfId="5" applyNumberFormat="1" applyFont="1" applyFill="1" applyBorder="1"/>
    <xf numFmtId="164" fontId="17" fillId="7" borderId="12" xfId="5" applyNumberFormat="1" applyFont="1" applyFill="1" applyBorder="1"/>
    <xf numFmtId="9" fontId="10" fillId="7" borderId="12" xfId="3" applyFont="1" applyFill="1" applyBorder="1"/>
    <xf numFmtId="3" fontId="10" fillId="13" borderId="11" xfId="8" applyNumberFormat="1" applyFont="1" applyFill="1" applyBorder="1"/>
    <xf numFmtId="164" fontId="10" fillId="13" borderId="14" xfId="8" applyNumberFormat="1" applyFont="1" applyFill="1" applyBorder="1"/>
    <xf numFmtId="3" fontId="10" fillId="13" borderId="2" xfId="8" applyNumberFormat="1" applyFont="1" applyFill="1" applyBorder="1"/>
    <xf numFmtId="0" fontId="8" fillId="7" borderId="39" xfId="7" applyFont="1" applyFill="1" applyBorder="1"/>
    <xf numFmtId="164" fontId="8" fillId="7" borderId="10" xfId="7" applyNumberFormat="1" applyFont="1" applyFill="1" applyBorder="1"/>
    <xf numFmtId="165" fontId="9" fillId="7" borderId="12" xfId="5" applyNumberFormat="1" applyFont="1" applyFill="1" applyBorder="1"/>
    <xf numFmtId="164" fontId="12" fillId="12" borderId="12" xfId="6" applyNumberFormat="1" applyFont="1" applyFill="1" applyBorder="1"/>
    <xf numFmtId="165" fontId="12" fillId="12" borderId="12" xfId="6" applyNumberFormat="1" applyFont="1" applyFill="1" applyBorder="1"/>
    <xf numFmtId="164" fontId="18" fillId="10" borderId="12" xfId="1" applyNumberFormat="1" applyFont="1" applyFill="1" applyBorder="1"/>
    <xf numFmtId="165" fontId="12" fillId="10" borderId="12" xfId="6" applyNumberFormat="1" applyFont="1" applyFill="1" applyBorder="1"/>
    <xf numFmtId="164" fontId="18" fillId="14" borderId="12" xfId="1" applyNumberFormat="1" applyFont="1" applyFill="1" applyBorder="1"/>
    <xf numFmtId="165" fontId="12" fillId="14" borderId="12" xfId="6" applyNumberFormat="1" applyFont="1" applyFill="1" applyBorder="1"/>
    <xf numFmtId="165" fontId="11" fillId="7" borderId="12" xfId="7" applyNumberFormat="1" applyFont="1" applyFill="1" applyBorder="1"/>
    <xf numFmtId="164" fontId="11" fillId="7" borderId="12" xfId="1" applyNumberFormat="1" applyFont="1" applyFill="1" applyBorder="1" applyAlignment="1">
      <alignment horizontal="center"/>
    </xf>
    <xf numFmtId="165" fontId="11" fillId="7" borderId="13" xfId="7" applyNumberFormat="1" applyFont="1" applyFill="1" applyBorder="1"/>
    <xf numFmtId="164" fontId="10" fillId="7" borderId="11" xfId="7" applyNumberFormat="1" applyFont="1" applyFill="1" applyBorder="1"/>
    <xf numFmtId="164" fontId="10" fillId="7" borderId="12" xfId="7" applyNumberFormat="1" applyFont="1" applyFill="1" applyBorder="1"/>
    <xf numFmtId="165" fontId="10" fillId="7" borderId="12" xfId="7" applyNumberFormat="1" applyFont="1" applyFill="1" applyBorder="1"/>
    <xf numFmtId="164" fontId="8" fillId="7" borderId="12" xfId="7" applyNumberFormat="1" applyFont="1" applyFill="1" applyBorder="1"/>
    <xf numFmtId="165" fontId="8" fillId="7" borderId="12" xfId="7" applyNumberFormat="1" applyFont="1" applyFill="1" applyBorder="1"/>
    <xf numFmtId="3" fontId="8" fillId="7" borderId="13" xfId="7" applyNumberFormat="1" applyFont="1" applyFill="1" applyBorder="1"/>
    <xf numFmtId="3" fontId="8" fillId="7" borderId="11" xfId="7" applyNumberFormat="1" applyFont="1" applyFill="1" applyBorder="1"/>
    <xf numFmtId="165" fontId="8" fillId="7" borderId="13" xfId="7" applyNumberFormat="1" applyFont="1" applyFill="1" applyBorder="1"/>
    <xf numFmtId="165" fontId="8" fillId="7" borderId="0" xfId="7" applyNumberFormat="1" applyFont="1" applyFill="1" applyBorder="1"/>
    <xf numFmtId="3" fontId="8" fillId="7" borderId="14" xfId="7" applyNumberFormat="1" applyFont="1" applyFill="1" applyBorder="1"/>
    <xf numFmtId="165" fontId="19" fillId="7" borderId="13" xfId="5" applyNumberFormat="1" applyFont="1" applyFill="1" applyBorder="1"/>
    <xf numFmtId="3" fontId="8" fillId="7" borderId="10" xfId="7" applyNumberFormat="1" applyFont="1" applyFill="1" applyBorder="1"/>
    <xf numFmtId="0" fontId="8" fillId="7" borderId="0" xfId="7" applyFont="1" applyFill="1" applyBorder="1"/>
    <xf numFmtId="165" fontId="11" fillId="7" borderId="12" xfId="3" applyNumberFormat="1" applyFont="1" applyFill="1" applyBorder="1"/>
    <xf numFmtId="164" fontId="14" fillId="7" borderId="12" xfId="4" applyNumberFormat="1" applyFont="1" applyFill="1" applyBorder="1"/>
    <xf numFmtId="165" fontId="11" fillId="7" borderId="13" xfId="3" applyNumberFormat="1" applyFont="1" applyFill="1" applyBorder="1"/>
    <xf numFmtId="165" fontId="8" fillId="7" borderId="12" xfId="3" applyNumberFormat="1" applyFont="1" applyFill="1" applyBorder="1"/>
    <xf numFmtId="0" fontId="8" fillId="7" borderId="40" xfId="0" applyFont="1" applyFill="1" applyBorder="1"/>
    <xf numFmtId="164" fontId="8" fillId="7" borderId="25" xfId="1" applyNumberFormat="1" applyFont="1" applyFill="1" applyBorder="1"/>
    <xf numFmtId="164" fontId="9" fillId="7" borderId="26" xfId="5" applyNumberFormat="1" applyFont="1" applyFill="1" applyBorder="1"/>
    <xf numFmtId="165" fontId="9" fillId="7" borderId="27" xfId="5" applyNumberFormat="1" applyFont="1" applyFill="1" applyBorder="1"/>
    <xf numFmtId="164" fontId="9" fillId="7" borderId="27" xfId="5" applyNumberFormat="1" applyFont="1" applyFill="1" applyBorder="1"/>
    <xf numFmtId="164" fontId="12" fillId="12" borderId="27" xfId="6" applyNumberFormat="1" applyFont="1" applyFill="1" applyBorder="1"/>
    <xf numFmtId="165" fontId="12" fillId="12" borderId="27" xfId="6" applyNumberFormat="1" applyFont="1" applyFill="1" applyBorder="1"/>
    <xf numFmtId="165" fontId="12" fillId="10" borderId="27" xfId="6" applyNumberFormat="1" applyFont="1" applyFill="1" applyBorder="1"/>
    <xf numFmtId="165" fontId="12" fillId="14" borderId="27" xfId="6" applyNumberFormat="1" applyFont="1" applyFill="1" applyBorder="1"/>
    <xf numFmtId="165" fontId="11" fillId="7" borderId="27" xfId="3" applyNumberFormat="1" applyFont="1" applyFill="1" applyBorder="1"/>
    <xf numFmtId="164" fontId="11" fillId="7" borderId="27" xfId="1" applyNumberFormat="1" applyFont="1" applyFill="1" applyBorder="1" applyAlignment="1">
      <alignment horizontal="center"/>
    </xf>
    <xf numFmtId="165" fontId="11" fillId="7" borderId="28" xfId="3" applyNumberFormat="1" applyFont="1" applyFill="1" applyBorder="1"/>
    <xf numFmtId="164" fontId="10" fillId="7" borderId="26" xfId="1" applyNumberFormat="1" applyFont="1" applyFill="1" applyBorder="1"/>
    <xf numFmtId="165" fontId="10" fillId="7" borderId="27" xfId="3" applyNumberFormat="1" applyFont="1" applyFill="1" applyBorder="1"/>
    <xf numFmtId="164" fontId="8" fillId="7" borderId="27" xfId="1" applyNumberFormat="1" applyFont="1" applyFill="1" applyBorder="1"/>
    <xf numFmtId="165" fontId="8" fillId="7" borderId="27" xfId="3" applyNumberFormat="1" applyFont="1" applyFill="1" applyBorder="1"/>
    <xf numFmtId="165" fontId="8" fillId="7" borderId="28" xfId="3" applyNumberFormat="1" applyFont="1" applyFill="1" applyBorder="1"/>
    <xf numFmtId="3" fontId="8" fillId="7" borderId="26" xfId="7" applyNumberFormat="1" applyFont="1" applyFill="1" applyBorder="1"/>
    <xf numFmtId="165" fontId="8" fillId="7" borderId="28" xfId="7" applyNumberFormat="1" applyFont="1" applyFill="1" applyBorder="1"/>
    <xf numFmtId="3" fontId="8" fillId="7" borderId="29" xfId="7" applyNumberFormat="1" applyFont="1" applyFill="1" applyBorder="1"/>
    <xf numFmtId="165" fontId="19" fillId="7" borderId="28" xfId="5" applyNumberFormat="1" applyFont="1" applyFill="1" applyBorder="1"/>
    <xf numFmtId="0" fontId="8" fillId="7" borderId="25" xfId="0" applyFont="1" applyFill="1" applyBorder="1"/>
    <xf numFmtId="10" fontId="11" fillId="7" borderId="0" xfId="3" applyNumberFormat="1" applyFont="1" applyFill="1" applyBorder="1"/>
    <xf numFmtId="10" fontId="10" fillId="7" borderId="0" xfId="3" applyNumberFormat="1" applyFont="1" applyFill="1" applyBorder="1"/>
    <xf numFmtId="0" fontId="7" fillId="0" borderId="0" xfId="0" applyFont="1"/>
    <xf numFmtId="166" fontId="7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164" fontId="23" fillId="0" borderId="0" xfId="1" applyNumberFormat="1" applyFont="1"/>
    <xf numFmtId="166" fontId="23" fillId="0" borderId="0" xfId="1" applyNumberFormat="1" applyFont="1"/>
    <xf numFmtId="0" fontId="5" fillId="15" borderId="0" xfId="0" applyFont="1" applyFill="1"/>
    <xf numFmtId="166" fontId="24" fillId="0" borderId="0" xfId="1" applyNumberFormat="1" applyFont="1"/>
    <xf numFmtId="164" fontId="25" fillId="0" borderId="0" xfId="1" applyNumberFormat="1" applyFont="1"/>
    <xf numFmtId="166" fontId="25" fillId="0" borderId="0" xfId="1" applyNumberFormat="1" applyFont="1"/>
    <xf numFmtId="164" fontId="1" fillId="0" borderId="0" xfId="1" applyNumberFormat="1" applyFont="1"/>
    <xf numFmtId="166" fontId="1" fillId="0" borderId="0" xfId="1" applyNumberFormat="1" applyFont="1"/>
    <xf numFmtId="165" fontId="23" fillId="0" borderId="0" xfId="3" applyNumberFormat="1" applyFont="1"/>
    <xf numFmtId="164" fontId="7" fillId="0" borderId="0" xfId="1" applyNumberFormat="1" applyFont="1"/>
    <xf numFmtId="164" fontId="22" fillId="0" borderId="0" xfId="1" applyNumberFormat="1" applyFont="1"/>
    <xf numFmtId="166" fontId="26" fillId="0" borderId="0" xfId="1" applyNumberFormat="1" applyFont="1"/>
    <xf numFmtId="164" fontId="6" fillId="0" borderId="0" xfId="1" applyNumberFormat="1" applyFont="1"/>
    <xf numFmtId="166" fontId="6" fillId="0" borderId="0" xfId="1" applyNumberFormat="1" applyFont="1"/>
    <xf numFmtId="164" fontId="26" fillId="0" borderId="0" xfId="1" applyNumberFormat="1" applyFont="1"/>
    <xf numFmtId="166" fontId="26" fillId="16" borderId="0" xfId="1" applyNumberFormat="1" applyFont="1" applyFill="1"/>
    <xf numFmtId="164" fontId="26" fillId="16" borderId="0" xfId="1" applyNumberFormat="1" applyFont="1" applyFill="1"/>
    <xf numFmtId="164" fontId="7" fillId="16" borderId="0" xfId="1" applyNumberFormat="1" applyFont="1" applyFill="1"/>
    <xf numFmtId="166" fontId="7" fillId="16" borderId="0" xfId="1" applyNumberFormat="1" applyFont="1" applyFill="1"/>
    <xf numFmtId="166" fontId="22" fillId="16" borderId="0" xfId="1" applyNumberFormat="1" applyFont="1" applyFill="1"/>
    <xf numFmtId="0" fontId="0" fillId="0" borderId="0" xfId="0" applyFont="1"/>
    <xf numFmtId="164" fontId="24" fillId="0" borderId="0" xfId="1" applyNumberFormat="1" applyFont="1"/>
    <xf numFmtId="0" fontId="5" fillId="15" borderId="0" xfId="3" applyNumberFormat="1" applyFont="1" applyFill="1"/>
    <xf numFmtId="0" fontId="0" fillId="0" borderId="0" xfId="0" applyNumberFormat="1"/>
    <xf numFmtId="0" fontId="27" fillId="0" borderId="0" xfId="0" applyFont="1"/>
    <xf numFmtId="167" fontId="28" fillId="17" borderId="49" xfId="0" applyNumberFormat="1" applyFont="1" applyFill="1" applyBorder="1"/>
    <xf numFmtId="0" fontId="27" fillId="0" borderId="0" xfId="0" applyFont="1" applyFill="1"/>
    <xf numFmtId="165" fontId="29" fillId="0" borderId="0" xfId="3" applyNumberFormat="1" applyFont="1" applyFill="1"/>
    <xf numFmtId="0" fontId="0" fillId="0" borderId="0" xfId="0" applyFont="1" applyFill="1"/>
    <xf numFmtId="164" fontId="27" fillId="0" borderId="0" xfId="1" applyNumberFormat="1" applyFont="1"/>
    <xf numFmtId="0" fontId="7" fillId="0" borderId="0" xfId="0" applyFont="1" applyFill="1"/>
    <xf numFmtId="168" fontId="1" fillId="0" borderId="0" xfId="1" applyNumberFormat="1" applyFont="1" applyFill="1"/>
    <xf numFmtId="168" fontId="29" fillId="0" borderId="0" xfId="1" applyNumberFormat="1" applyFont="1" applyFill="1"/>
    <xf numFmtId="165" fontId="0" fillId="0" borderId="0" xfId="3" applyNumberFormat="1" applyFont="1"/>
    <xf numFmtId="165" fontId="29" fillId="18" borderId="0" xfId="3" applyNumberFormat="1" applyFont="1" applyFill="1"/>
    <xf numFmtId="0" fontId="29" fillId="0" borderId="0" xfId="0" applyFont="1" applyFill="1"/>
    <xf numFmtId="14" fontId="0" fillId="0" borderId="0" xfId="2" applyNumberFormat="1" applyFont="1"/>
    <xf numFmtId="165" fontId="0" fillId="0" borderId="0" xfId="3" applyNumberFormat="1" applyFont="1" applyFill="1"/>
    <xf numFmtId="0" fontId="26" fillId="0" borderId="0" xfId="0" applyFont="1"/>
    <xf numFmtId="0" fontId="30" fillId="0" borderId="0" xfId="0" applyFont="1"/>
    <xf numFmtId="43" fontId="7" fillId="0" borderId="0" xfId="1" applyNumberFormat="1" applyFont="1"/>
    <xf numFmtId="0" fontId="32" fillId="0" borderId="0" xfId="9" applyFont="1" applyFill="1" applyBorder="1"/>
    <xf numFmtId="0" fontId="33" fillId="0" borderId="0" xfId="9" applyFont="1" applyFill="1" applyBorder="1"/>
    <xf numFmtId="14" fontId="32" fillId="0" borderId="0" xfId="9" quotePrefix="1" applyNumberFormat="1" applyFont="1" applyFill="1" applyBorder="1" applyAlignment="1">
      <alignment horizontal="left"/>
    </xf>
    <xf numFmtId="0" fontId="34" fillId="0" borderId="0" xfId="9" applyFont="1" applyFill="1" applyBorder="1"/>
    <xf numFmtId="0" fontId="34" fillId="21" borderId="0" xfId="9" applyFont="1" applyFill="1" applyBorder="1"/>
    <xf numFmtId="0" fontId="32" fillId="20" borderId="0" xfId="9" applyFont="1" applyFill="1" applyBorder="1" applyAlignment="1">
      <alignment horizontal="center"/>
    </xf>
    <xf numFmtId="0" fontId="35" fillId="0" borderId="0" xfId="9" applyFont="1" applyFill="1" applyBorder="1"/>
    <xf numFmtId="0" fontId="34" fillId="0" borderId="0" xfId="9" applyFont="1" applyFill="1" applyBorder="1" applyAlignment="1">
      <alignment horizontal="center"/>
    </xf>
    <xf numFmtId="0" fontId="31" fillId="22" borderId="0" xfId="9" quotePrefix="1" applyFont="1" applyFill="1" applyBorder="1"/>
    <xf numFmtId="37" fontId="33" fillId="0" borderId="0" xfId="1" applyNumberFormat="1" applyFont="1" applyFill="1" applyBorder="1"/>
    <xf numFmtId="165" fontId="33" fillId="0" borderId="0" xfId="3" applyNumberFormat="1" applyFont="1" applyFill="1" applyBorder="1"/>
    <xf numFmtId="169" fontId="34" fillId="0" borderId="0" xfId="10" applyNumberFormat="1" applyFont="1" applyFill="1" applyBorder="1"/>
    <xf numFmtId="3" fontId="33" fillId="0" borderId="0" xfId="9" applyNumberFormat="1" applyFont="1" applyFill="1" applyBorder="1"/>
    <xf numFmtId="169" fontId="34" fillId="0" borderId="50" xfId="9" applyNumberFormat="1" applyFont="1" applyFill="1" applyBorder="1"/>
    <xf numFmtId="169" fontId="32" fillId="0" borderId="51" xfId="9" applyNumberFormat="1" applyFont="1" applyFill="1" applyBorder="1"/>
    <xf numFmtId="3" fontId="35" fillId="0" borderId="0" xfId="9" applyNumberFormat="1" applyFont="1" applyFill="1" applyBorder="1"/>
    <xf numFmtId="37" fontId="35" fillId="0" borderId="0" xfId="1" applyNumberFormat="1" applyFont="1" applyFill="1" applyBorder="1"/>
    <xf numFmtId="9" fontId="33" fillId="0" borderId="0" xfId="3" applyFont="1" applyFill="1" applyBorder="1"/>
    <xf numFmtId="164" fontId="32" fillId="0" borderId="52" xfId="10" applyNumberFormat="1" applyFont="1" applyFill="1" applyBorder="1"/>
    <xf numFmtId="170" fontId="33" fillId="0" borderId="0" xfId="9" applyNumberFormat="1" applyFont="1" applyFill="1" applyBorder="1"/>
    <xf numFmtId="171" fontId="33" fillId="0" borderId="0" xfId="9" applyNumberFormat="1" applyFont="1" applyFill="1" applyBorder="1"/>
    <xf numFmtId="10" fontId="33" fillId="0" borderId="0" xfId="9" applyNumberFormat="1" applyFont="1" applyFill="1" applyBorder="1"/>
    <xf numFmtId="37" fontId="33" fillId="0" borderId="0" xfId="9" applyNumberFormat="1" applyFont="1" applyFill="1" applyBorder="1"/>
    <xf numFmtId="172" fontId="33" fillId="0" borderId="0" xfId="9" applyNumberFormat="1" applyFont="1" applyFill="1" applyBorder="1"/>
    <xf numFmtId="169" fontId="34" fillId="0" borderId="0" xfId="9" applyNumberFormat="1" applyFont="1" applyFill="1" applyBorder="1"/>
    <xf numFmtId="169" fontId="33" fillId="0" borderId="0" xfId="9" applyNumberFormat="1" applyFont="1" applyFill="1" applyBorder="1"/>
    <xf numFmtId="171" fontId="34" fillId="0" borderId="0" xfId="9" applyNumberFormat="1" applyFont="1" applyFill="1" applyBorder="1"/>
    <xf numFmtId="1" fontId="33" fillId="0" borderId="0" xfId="9" applyNumberFormat="1" applyFont="1" applyFill="1" applyBorder="1"/>
    <xf numFmtId="43" fontId="33" fillId="0" borderId="0" xfId="9" applyNumberFormat="1" applyFont="1" applyFill="1" applyBorder="1"/>
    <xf numFmtId="164" fontId="33" fillId="0" borderId="0" xfId="1" applyNumberFormat="1" applyFont="1" applyFill="1" applyBorder="1"/>
    <xf numFmtId="164" fontId="33" fillId="0" borderId="0" xfId="9" applyNumberFormat="1" applyFont="1" applyFill="1" applyBorder="1"/>
    <xf numFmtId="0" fontId="36" fillId="0" borderId="0" xfId="9" applyFont="1" applyFill="1" applyBorder="1"/>
    <xf numFmtId="172" fontId="34" fillId="0" borderId="0" xfId="9" applyNumberFormat="1" applyFont="1" applyFill="1" applyBorder="1"/>
    <xf numFmtId="173" fontId="34" fillId="0" borderId="0" xfId="9" applyNumberFormat="1" applyFont="1" applyFill="1" applyBorder="1"/>
    <xf numFmtId="173" fontId="34" fillId="23" borderId="0" xfId="9" applyNumberFormat="1" applyFont="1" applyFill="1" applyBorder="1"/>
    <xf numFmtId="173" fontId="34" fillId="24" borderId="0" xfId="9" applyNumberFormat="1" applyFont="1" applyFill="1" applyBorder="1"/>
    <xf numFmtId="165" fontId="34" fillId="0" borderId="0" xfId="3" applyNumberFormat="1" applyFont="1" applyFill="1" applyBorder="1"/>
    <xf numFmtId="10" fontId="34" fillId="0" borderId="0" xfId="9" applyNumberFormat="1" applyFont="1" applyFill="1" applyBorder="1"/>
    <xf numFmtId="175" fontId="34" fillId="0" borderId="0" xfId="9" applyNumberFormat="1" applyFont="1" applyFill="1" applyBorder="1"/>
    <xf numFmtId="0" fontId="32" fillId="0" borderId="51" xfId="9" applyFont="1" applyFill="1" applyBorder="1"/>
    <xf numFmtId="0" fontId="37" fillId="21" borderId="0" xfId="9" applyFont="1" applyFill="1" applyBorder="1"/>
    <xf numFmtId="44" fontId="37" fillId="21" borderId="0" xfId="9" applyNumberFormat="1" applyFont="1" applyFill="1" applyBorder="1"/>
    <xf numFmtId="37" fontId="37" fillId="0" borderId="0" xfId="9" applyNumberFormat="1" applyFont="1" applyFill="1" applyBorder="1"/>
    <xf numFmtId="0" fontId="37" fillId="0" borderId="0" xfId="9" applyFont="1" applyFill="1" applyBorder="1"/>
    <xf numFmtId="0" fontId="38" fillId="0" borderId="0" xfId="9" applyFont="1" applyFill="1" applyBorder="1"/>
    <xf numFmtId="0" fontId="32" fillId="21" borderId="0" xfId="9" applyFont="1" applyFill="1" applyBorder="1"/>
    <xf numFmtId="0" fontId="35" fillId="21" borderId="0" xfId="9" applyFont="1" applyFill="1" applyBorder="1"/>
    <xf numFmtId="0" fontId="33" fillId="21" borderId="0" xfId="9" applyFont="1" applyFill="1" applyBorder="1"/>
    <xf numFmtId="0" fontId="35" fillId="0" borderId="0" xfId="9" applyFont="1" applyFill="1" applyBorder="1" applyAlignment="1">
      <alignment horizontal="center"/>
    </xf>
    <xf numFmtId="173" fontId="34" fillId="25" borderId="30" xfId="9" applyNumberFormat="1" applyFont="1" applyFill="1" applyBorder="1"/>
    <xf numFmtId="174" fontId="34" fillId="26" borderId="53" xfId="2" applyNumberFormat="1" applyFont="1" applyFill="1" applyBorder="1"/>
    <xf numFmtId="173" fontId="34" fillId="26" borderId="54" xfId="9" applyNumberFormat="1" applyFont="1" applyFill="1" applyBorder="1"/>
    <xf numFmtId="173" fontId="34" fillId="26" borderId="55" xfId="9" applyNumberFormat="1" applyFont="1" applyFill="1" applyBorder="1"/>
    <xf numFmtId="174" fontId="34" fillId="26" borderId="56" xfId="2" applyNumberFormat="1" applyFont="1" applyFill="1" applyBorder="1"/>
    <xf numFmtId="173" fontId="34" fillId="26" borderId="44" xfId="9" applyNumberFormat="1" applyFont="1" applyFill="1" applyBorder="1"/>
    <xf numFmtId="173" fontId="34" fillId="26" borderId="38" xfId="9" applyNumberFormat="1" applyFont="1" applyFill="1" applyBorder="1"/>
    <xf numFmtId="173" fontId="34" fillId="25" borderId="57" xfId="9" applyNumberFormat="1" applyFont="1" applyFill="1" applyBorder="1"/>
    <xf numFmtId="173" fontId="34" fillId="25" borderId="58" xfId="9" applyNumberFormat="1" applyFont="1" applyFill="1" applyBorder="1"/>
    <xf numFmtId="173" fontId="34" fillId="25" borderId="31" xfId="9" applyNumberFormat="1" applyFont="1" applyFill="1" applyBorder="1"/>
    <xf numFmtId="43" fontId="6" fillId="0" borderId="0" xfId="0" applyNumberFormat="1" applyFont="1"/>
    <xf numFmtId="0" fontId="22" fillId="0" borderId="0" xfId="0" applyFont="1"/>
    <xf numFmtId="0" fontId="23" fillId="0" borderId="0" xfId="0" applyFont="1"/>
    <xf numFmtId="176" fontId="23" fillId="0" borderId="0" xfId="0" applyNumberFormat="1" applyFont="1"/>
    <xf numFmtId="0" fontId="27" fillId="0" borderId="57" xfId="0" applyFont="1" applyBorder="1"/>
    <xf numFmtId="43" fontId="7" fillId="18" borderId="58" xfId="1" applyNumberFormat="1" applyFont="1" applyFill="1" applyBorder="1"/>
    <xf numFmtId="0" fontId="7" fillId="0" borderId="57" xfId="0" applyFont="1" applyBorder="1"/>
    <xf numFmtId="0" fontId="7" fillId="0" borderId="58" xfId="0" applyFont="1" applyBorder="1"/>
    <xf numFmtId="0" fontId="41" fillId="0" borderId="0" xfId="9" applyFont="1" applyFill="1" applyBorder="1"/>
    <xf numFmtId="169" fontId="34" fillId="0" borderId="0" xfId="2" applyNumberFormat="1" applyFont="1" applyFill="1" applyBorder="1"/>
    <xf numFmtId="173" fontId="34" fillId="27" borderId="4" xfId="9" applyNumberFormat="1" applyFont="1" applyFill="1" applyBorder="1"/>
    <xf numFmtId="173" fontId="34" fillId="27" borderId="24" xfId="9" applyNumberFormat="1" applyFont="1" applyFill="1" applyBorder="1"/>
    <xf numFmtId="165" fontId="7" fillId="0" borderId="0" xfId="3" applyNumberFormat="1" applyFont="1"/>
    <xf numFmtId="0" fontId="42" fillId="28" borderId="0" xfId="0" applyFont="1" applyFill="1" applyBorder="1"/>
    <xf numFmtId="0" fontId="11" fillId="0" borderId="0" xfId="0" applyFont="1" applyFill="1" applyBorder="1"/>
    <xf numFmtId="164" fontId="8" fillId="0" borderId="0" xfId="1" applyNumberFormat="1" applyFont="1" applyFill="1" applyBorder="1"/>
    <xf numFmtId="0" fontId="8" fillId="0" borderId="0" xfId="0" applyFont="1" applyFill="1" applyBorder="1"/>
    <xf numFmtId="165" fontId="43" fillId="0" borderId="0" xfId="3" applyNumberFormat="1" applyFont="1" applyFill="1" applyBorder="1"/>
    <xf numFmtId="0" fontId="44" fillId="0" borderId="0" xfId="0" applyFont="1" applyFill="1" applyBorder="1"/>
    <xf numFmtId="164" fontId="45" fillId="0" borderId="0" xfId="0" applyNumberFormat="1" applyFont="1" applyFill="1" applyBorder="1"/>
    <xf numFmtId="0" fontId="46" fillId="0" borderId="0" xfId="0" applyFont="1" applyFill="1" applyBorder="1"/>
    <xf numFmtId="165" fontId="47" fillId="0" borderId="0" xfId="3" applyNumberFormat="1" applyFont="1" applyFill="1" applyBorder="1"/>
    <xf numFmtId="165" fontId="48" fillId="0" borderId="0" xfId="3" applyNumberFormat="1" applyFont="1" applyFill="1" applyBorder="1"/>
    <xf numFmtId="164" fontId="7" fillId="0" borderId="0" xfId="1" applyNumberFormat="1" applyFont="1" applyFill="1"/>
    <xf numFmtId="164" fontId="7" fillId="0" borderId="0" xfId="0" applyNumberFormat="1" applyFont="1"/>
    <xf numFmtId="43" fontId="7" fillId="0" borderId="58" xfId="1" applyNumberFormat="1" applyFont="1" applyBorder="1"/>
    <xf numFmtId="43" fontId="7" fillId="0" borderId="58" xfId="1" applyNumberFormat="1" applyFont="1" applyFill="1" applyBorder="1"/>
    <xf numFmtId="43" fontId="7" fillId="0" borderId="31" xfId="1" applyNumberFormat="1" applyFont="1" applyFill="1" applyBorder="1"/>
    <xf numFmtId="2" fontId="7" fillId="0" borderId="58" xfId="0" applyNumberFormat="1" applyFont="1" applyBorder="1"/>
    <xf numFmtId="2" fontId="7" fillId="0" borderId="31" xfId="0" applyNumberFormat="1" applyFont="1" applyBorder="1"/>
    <xf numFmtId="43" fontId="7" fillId="18" borderId="0" xfId="1" applyNumberFormat="1" applyFont="1" applyFill="1"/>
    <xf numFmtId="43" fontId="7" fillId="0" borderId="0" xfId="1" applyNumberFormat="1" applyFont="1" applyFill="1"/>
    <xf numFmtId="43" fontId="27" fillId="0" borderId="0" xfId="0" applyNumberFormat="1" applyFont="1" applyFill="1"/>
    <xf numFmtId="43" fontId="29" fillId="19" borderId="0" xfId="1" applyNumberFormat="1" applyFont="1" applyFill="1"/>
    <xf numFmtId="43" fontId="29" fillId="0" borderId="0" xfId="1" applyNumberFormat="1" applyFont="1" applyFill="1"/>
    <xf numFmtId="164" fontId="0" fillId="0" borderId="0" xfId="0" applyNumberFormat="1"/>
    <xf numFmtId="165" fontId="12" fillId="29" borderId="12" xfId="6" applyNumberFormat="1" applyFont="1" applyFill="1" applyBorder="1"/>
    <xf numFmtId="165" fontId="12" fillId="29" borderId="19" xfId="6" applyNumberFormat="1" applyFont="1" applyFill="1" applyBorder="1"/>
    <xf numFmtId="164" fontId="49" fillId="7" borderId="12" xfId="1" applyNumberFormat="1" applyFont="1" applyFill="1" applyBorder="1"/>
    <xf numFmtId="164" fontId="49" fillId="29" borderId="12" xfId="1" applyNumberFormat="1" applyFont="1" applyFill="1" applyBorder="1"/>
    <xf numFmtId="164" fontId="49" fillId="29" borderId="19" xfId="1" applyNumberFormat="1" applyFont="1" applyFill="1" applyBorder="1"/>
    <xf numFmtId="3" fontId="8" fillId="7" borderId="11" xfId="0" applyNumberFormat="1" applyFont="1" applyFill="1" applyBorder="1"/>
    <xf numFmtId="165" fontId="8" fillId="7" borderId="0" xfId="0" applyNumberFormat="1" applyFont="1" applyFill="1" applyBorder="1"/>
    <xf numFmtId="10" fontId="8" fillId="7" borderId="0" xfId="3" applyNumberFormat="1" applyFont="1" applyFill="1" applyBorder="1"/>
    <xf numFmtId="0" fontId="34" fillId="0" borderId="0" xfId="9" applyFont="1" applyFill="1" applyBorder="1" applyAlignment="1">
      <alignment horizontal="center"/>
    </xf>
    <xf numFmtId="0" fontId="32" fillId="23" borderId="0" xfId="9" applyFont="1" applyFill="1" applyBorder="1" applyAlignment="1"/>
    <xf numFmtId="0" fontId="32" fillId="24" borderId="0" xfId="9" applyFont="1" applyFill="1" applyBorder="1" applyAlignment="1"/>
    <xf numFmtId="172" fontId="35" fillId="0" borderId="57" xfId="9" applyNumberFormat="1" applyFont="1" applyFill="1" applyBorder="1" applyAlignment="1">
      <alignment horizontal="center"/>
    </xf>
    <xf numFmtId="172" fontId="35" fillId="0" borderId="58" xfId="9" applyNumberFormat="1" applyFont="1" applyFill="1" applyBorder="1" applyAlignment="1">
      <alignment horizontal="center"/>
    </xf>
    <xf numFmtId="172" fontId="35" fillId="0" borderId="31" xfId="9" applyNumberFormat="1" applyFont="1" applyFill="1" applyBorder="1" applyAlignment="1">
      <alignment horizontal="center"/>
    </xf>
    <xf numFmtId="0" fontId="9" fillId="7" borderId="44" xfId="5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24" xfId="0" applyFont="1" applyFill="1" applyBorder="1" applyAlignment="1">
      <alignment horizontal="center" vertical="center" wrapText="1"/>
    </xf>
    <xf numFmtId="0" fontId="9" fillId="7" borderId="43" xfId="5" applyFont="1" applyFill="1" applyBorder="1" applyAlignment="1">
      <alignment horizontal="center"/>
    </xf>
    <xf numFmtId="0" fontId="9" fillId="7" borderId="42" xfId="5" applyFont="1" applyFill="1" applyBorder="1" applyAlignment="1">
      <alignment horizontal="center"/>
    </xf>
    <xf numFmtId="0" fontId="9" fillId="7" borderId="6" xfId="5" applyFont="1" applyFill="1" applyBorder="1" applyAlignment="1">
      <alignment horizontal="center"/>
    </xf>
    <xf numFmtId="0" fontId="11" fillId="7" borderId="41" xfId="0" applyFont="1" applyFill="1" applyBorder="1" applyAlignment="1">
      <alignment horizontal="center"/>
    </xf>
    <xf numFmtId="0" fontId="11" fillId="7" borderId="42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11" fillId="7" borderId="43" xfId="7" applyFont="1" applyFill="1" applyBorder="1" applyAlignment="1">
      <alignment horizontal="center"/>
    </xf>
    <xf numFmtId="0" fontId="11" fillId="7" borderId="5" xfId="7" applyFont="1" applyFill="1" applyBorder="1" applyAlignment="1">
      <alignment horizontal="center"/>
    </xf>
    <xf numFmtId="0" fontId="11" fillId="8" borderId="47" xfId="7" applyFont="1" applyFill="1" applyBorder="1" applyAlignment="1">
      <alignment horizontal="center"/>
    </xf>
    <xf numFmtId="0" fontId="11" fillId="8" borderId="48" xfId="7" applyFont="1" applyFill="1" applyBorder="1" applyAlignment="1">
      <alignment horizontal="center"/>
    </xf>
    <xf numFmtId="0" fontId="11" fillId="7" borderId="45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1" fillId="7" borderId="10" xfId="0" applyFont="1" applyFill="1" applyBorder="1" applyAlignment="1">
      <alignment horizontal="left"/>
    </xf>
    <xf numFmtId="0" fontId="8" fillId="7" borderId="41" xfId="0" applyFont="1" applyFill="1" applyBorder="1" applyAlignment="1">
      <alignment horizontal="center"/>
    </xf>
    <xf numFmtId="0" fontId="8" fillId="7" borderId="42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</cellXfs>
  <cellStyles count="11">
    <cellStyle name="20% - Accent3" xfId="8" builtinId="38"/>
    <cellStyle name="Bad" xfId="5" builtinId="27"/>
    <cellStyle name="Comma" xfId="1" builtinId="3"/>
    <cellStyle name="Comma 2" xfId="10" xr:uid="{2E3BB6D1-A800-4D58-81E4-2444D41C0D86}"/>
    <cellStyle name="Currency" xfId="2" builtinId="4"/>
    <cellStyle name="Good" xfId="4" builtinId="26"/>
    <cellStyle name="Input" xfId="6" builtinId="20"/>
    <cellStyle name="Normal" xfId="0" builtinId="0"/>
    <cellStyle name="Normal 2 2" xfId="9" xr:uid="{6529013F-C8FA-48AA-9DB8-6E1B023BDC63}"/>
    <cellStyle name="Note" xfId="7" builtinId="10"/>
    <cellStyle name="Percent" xfId="3" builtinId="5"/>
  </cellStyles>
  <dxfs count="0"/>
  <tableStyles count="0" defaultTableStyle="TableStyleMedium2" defaultPivotStyle="PivotStyleLight16"/>
  <colors>
    <mruColors>
      <color rgb="FFEABEBC"/>
      <color rgb="FFDB918D"/>
      <color rgb="FFD1706B"/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PAX Growth Rates with Different Variance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and 2 - PAX Comparison'!$A$6</c:f>
              <c:strCache>
                <c:ptCount val="1"/>
                <c:pt idx="0">
                  <c:v> 2018 Q3 Econ Model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Comparison'!$D$7:$V$7</c15:sqref>
                  </c15:fullRef>
                </c:ext>
              </c:extLst>
              <c:f>'1 and 2 - PAX Comparison'!$E$7:$V$7</c:f>
              <c:numCache>
                <c:formatCode>0.0%</c:formatCode>
                <c:ptCount val="18"/>
                <c:pt idx="0">
                  <c:v>1.419734030004749E-2</c:v>
                </c:pt>
                <c:pt idx="1">
                  <c:v>2.5433123062634788E-3</c:v>
                </c:pt>
                <c:pt idx="2">
                  <c:v>1.2909885195561355E-2</c:v>
                </c:pt>
                <c:pt idx="3">
                  <c:v>9.7178577601286786E-3</c:v>
                </c:pt>
                <c:pt idx="4">
                  <c:v>1.8445923362358618E-2</c:v>
                </c:pt>
                <c:pt idx="5">
                  <c:v>1.00667922999087E-2</c:v>
                </c:pt>
                <c:pt idx="6">
                  <c:v>1.338233141512557E-2</c:v>
                </c:pt>
                <c:pt idx="7">
                  <c:v>1.0706892623780995E-2</c:v>
                </c:pt>
                <c:pt idx="8">
                  <c:v>1.6561821055546044E-2</c:v>
                </c:pt>
                <c:pt idx="9">
                  <c:v>1.1326435726078499E-2</c:v>
                </c:pt>
                <c:pt idx="10">
                  <c:v>1.30289839230191E-2</c:v>
                </c:pt>
                <c:pt idx="11">
                  <c:v>1.4701753872490508E-2</c:v>
                </c:pt>
                <c:pt idx="12">
                  <c:v>1.2305771810824595E-2</c:v>
                </c:pt>
                <c:pt idx="13">
                  <c:v>1.3969033699986477E-2</c:v>
                </c:pt>
                <c:pt idx="14">
                  <c:v>1.4963879058801144E-2</c:v>
                </c:pt>
                <c:pt idx="15">
                  <c:v>1.1464874580792817E-2</c:v>
                </c:pt>
                <c:pt idx="16">
                  <c:v>1.192116038149571E-2</c:v>
                </c:pt>
                <c:pt idx="17">
                  <c:v>1.3047065340338726E-2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7-4816-8CA1-4BE04B2F053A}"/>
            </c:ext>
          </c:extLst>
        </c:ser>
        <c:ser>
          <c:idx val="1"/>
          <c:order val="1"/>
          <c:tx>
            <c:strRef>
              <c:f>'1 and 2 - PAX Comparison'!$A$8</c:f>
              <c:strCache>
                <c:ptCount val="1"/>
                <c:pt idx="0">
                  <c:v> New Econ 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Comparison'!$D$10:$V$10</c15:sqref>
                  </c15:fullRef>
                </c:ext>
              </c:extLst>
              <c:f>'1 and 2 - PAX Comparison'!$E$10:$V$10</c:f>
              <c:numCache>
                <c:formatCode>0.0%</c:formatCode>
                <c:ptCount val="18"/>
                <c:pt idx="0">
                  <c:v>2.5057007784974328E-2</c:v>
                </c:pt>
                <c:pt idx="1">
                  <c:v>1.9994307383086607E-6</c:v>
                </c:pt>
                <c:pt idx="2">
                  <c:v>1.0832434011846637E-2</c:v>
                </c:pt>
                <c:pt idx="3">
                  <c:v>6.414061716781605E-3</c:v>
                </c:pt>
                <c:pt idx="4">
                  <c:v>1.3860317705976621E-2</c:v>
                </c:pt>
                <c:pt idx="5">
                  <c:v>6.7985987158574179E-3</c:v>
                </c:pt>
                <c:pt idx="6">
                  <c:v>1.067029802779329E-2</c:v>
                </c:pt>
                <c:pt idx="7">
                  <c:v>8.7026557374634272E-3</c:v>
                </c:pt>
                <c:pt idx="8">
                  <c:v>1.4692715716338123E-2</c:v>
                </c:pt>
                <c:pt idx="9">
                  <c:v>9.7274349264528936E-3</c:v>
                </c:pt>
                <c:pt idx="10">
                  <c:v>1.1300081977646759E-2</c:v>
                </c:pt>
                <c:pt idx="11">
                  <c:v>1.1791063766189991E-2</c:v>
                </c:pt>
                <c:pt idx="12">
                  <c:v>9.1018053567175627E-3</c:v>
                </c:pt>
                <c:pt idx="13">
                  <c:v>1.0347589507868848E-2</c:v>
                </c:pt>
                <c:pt idx="14">
                  <c:v>1.0910615470038021E-2</c:v>
                </c:pt>
                <c:pt idx="15">
                  <c:v>7.4947324115859359E-3</c:v>
                </c:pt>
                <c:pt idx="16">
                  <c:v>8.9343536565098525E-3</c:v>
                </c:pt>
                <c:pt idx="17">
                  <c:v>1.0378819600476374E-2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7-4816-8CA1-4BE04B2F053A}"/>
            </c:ext>
          </c:extLst>
        </c:ser>
        <c:ser>
          <c:idx val="2"/>
          <c:order val="2"/>
          <c:tx>
            <c:strRef>
              <c:f>'1 and 2 - PAX Comparison'!$A$11</c:f>
              <c:strCache>
                <c:ptCount val="1"/>
                <c:pt idx="0">
                  <c:v> New Actuals + Econ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Comparison'!$D$13:$V$13</c15:sqref>
                  </c15:fullRef>
                </c:ext>
              </c:extLst>
              <c:f>'1 and 2 - PAX Comparison'!$E$13:$V$13</c:f>
              <c:numCache>
                <c:formatCode>0.0%</c:formatCode>
                <c:ptCount val="18"/>
                <c:pt idx="0">
                  <c:v>2.7688671121750774E-2</c:v>
                </c:pt>
                <c:pt idx="1">
                  <c:v>7.567242283545994E-5</c:v>
                </c:pt>
                <c:pt idx="2">
                  <c:v>1.0772414788804863E-2</c:v>
                </c:pt>
                <c:pt idx="3">
                  <c:v>6.2888500817490645E-3</c:v>
                </c:pt>
                <c:pt idx="4">
                  <c:v>1.3667646094961627E-2</c:v>
                </c:pt>
                <c:pt idx="5">
                  <c:v>6.6109894023174132E-3</c:v>
                </c:pt>
                <c:pt idx="6">
                  <c:v>1.0426051726833752E-2</c:v>
                </c:pt>
                <c:pt idx="7">
                  <c:v>8.469997520331729E-3</c:v>
                </c:pt>
                <c:pt idx="8">
                  <c:v>1.4472553902576957E-2</c:v>
                </c:pt>
                <c:pt idx="9">
                  <c:v>9.3790706600582752E-3</c:v>
                </c:pt>
                <c:pt idx="10">
                  <c:v>1.0978002557757272E-2</c:v>
                </c:pt>
                <c:pt idx="11">
                  <c:v>1.1499186124557026E-2</c:v>
                </c:pt>
                <c:pt idx="12">
                  <c:v>8.64079247969185E-3</c:v>
                </c:pt>
                <c:pt idx="13">
                  <c:v>9.9423206041155954E-3</c:v>
                </c:pt>
                <c:pt idx="14">
                  <c:v>1.0594296175401086E-2</c:v>
                </c:pt>
                <c:pt idx="15">
                  <c:v>7.0597075381964025E-3</c:v>
                </c:pt>
                <c:pt idx="16">
                  <c:v>8.6531376487548606E-3</c:v>
                </c:pt>
                <c:pt idx="17">
                  <c:v>1.0292896583099953E-2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7-4816-8CA1-4BE04B2F053A}"/>
            </c:ext>
          </c:extLst>
        </c:ser>
        <c:ser>
          <c:idx val="3"/>
          <c:order val="3"/>
          <c:tx>
            <c:strRef>
              <c:f>'1 and 2 - PAX Comparison'!$A$14</c:f>
              <c:strCache>
                <c:ptCount val="1"/>
                <c:pt idx="0">
                  <c:v> New Holiday Method + Actuals + Econ 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Comparison'!$D$16:$V$16</c15:sqref>
                  </c15:fullRef>
                </c:ext>
              </c:extLst>
              <c:f>'1 and 2 - PAX Comparison'!$E$16:$V$16</c:f>
              <c:numCache>
                <c:formatCode>0.0%</c:formatCode>
                <c:ptCount val="18"/>
                <c:pt idx="0">
                  <c:v>2.690674256384562E-2</c:v>
                </c:pt>
                <c:pt idx="1">
                  <c:v>-6.3708651371019442E-4</c:v>
                </c:pt>
                <c:pt idx="2">
                  <c:v>9.1960450733761245E-3</c:v>
                </c:pt>
                <c:pt idx="3">
                  <c:v>5.415184565261022E-3</c:v>
                </c:pt>
                <c:pt idx="4">
                  <c:v>1.3181173790305367E-2</c:v>
                </c:pt>
                <c:pt idx="5">
                  <c:v>5.4861130765002653E-3</c:v>
                </c:pt>
                <c:pt idx="6">
                  <c:v>9.4176304900555063E-3</c:v>
                </c:pt>
                <c:pt idx="7">
                  <c:v>8.0272146710083092E-3</c:v>
                </c:pt>
                <c:pt idx="8">
                  <c:v>1.2999902582125689E-2</c:v>
                </c:pt>
                <c:pt idx="9">
                  <c:v>9.1473171593530189E-3</c:v>
                </c:pt>
                <c:pt idx="10">
                  <c:v>1.0233603798094126E-2</c:v>
                </c:pt>
                <c:pt idx="11">
                  <c:v>9.598772436587355E-3</c:v>
                </c:pt>
                <c:pt idx="12">
                  <c:v>1.1260127577235046E-2</c:v>
                </c:pt>
                <c:pt idx="13">
                  <c:v>8.1999860882431275E-3</c:v>
                </c:pt>
                <c:pt idx="14">
                  <c:v>6.7986463485594228E-3</c:v>
                </c:pt>
                <c:pt idx="15">
                  <c:v>1.083019853762579E-2</c:v>
                </c:pt>
                <c:pt idx="16">
                  <c:v>1.1441322637268048E-2</c:v>
                </c:pt>
                <c:pt idx="17">
                  <c:v>9.8391193882683137E-3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7-4816-8CA1-4BE04B2F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195360"/>
        <c:axId val="790196016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PAX Activity with Variance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'1 and 2 - PAX Comparison'!$A$8</c:f>
              <c:strCache>
                <c:ptCount val="1"/>
                <c:pt idx="0">
                  <c:v> New Econ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Comparison'!$D$8:$V$8</c15:sqref>
                  </c15:fullRef>
                </c:ext>
              </c:extLst>
              <c:f>'1 and 2 - PAX Comparison'!$E$8:$V$8</c:f>
              <c:numCache>
                <c:formatCode>_(* #,##0_);_(* \(#,##0\);_(* "-"??_);_(@_)</c:formatCode>
                <c:ptCount val="18"/>
                <c:pt idx="0">
                  <c:v>1816197.2073871344</c:v>
                </c:pt>
                <c:pt idx="1">
                  <c:v>1598286.2753030509</c:v>
                </c:pt>
                <c:pt idx="2">
                  <c:v>1437007.5690578073</c:v>
                </c:pt>
                <c:pt idx="3">
                  <c:v>1158540.8941186517</c:v>
                </c:pt>
                <c:pt idx="4">
                  <c:v>771418.793422997</c:v>
                </c:pt>
                <c:pt idx="5">
                  <c:v>484013.81274190545</c:v>
                </c:pt>
                <c:pt idx="6">
                  <c:v>243885.35388837755</c:v>
                </c:pt>
                <c:pt idx="7">
                  <c:v>62306.366264015436</c:v>
                </c:pt>
                <c:pt idx="8">
                  <c:v>-109928.18983903527</c:v>
                </c:pt>
                <c:pt idx="9">
                  <c:v>-261578.86673901975</c:v>
                </c:pt>
                <c:pt idx="10">
                  <c:v>-429193.26548327506</c:v>
                </c:pt>
                <c:pt idx="11">
                  <c:v>-715076.29853194952</c:v>
                </c:pt>
                <c:pt idx="12">
                  <c:v>-1035246.9443528652</c:v>
                </c:pt>
                <c:pt idx="13">
                  <c:v>-1404854.4789914042</c:v>
                </c:pt>
                <c:pt idx="14">
                  <c:v>-1827483.2547129095</c:v>
                </c:pt>
                <c:pt idx="15">
                  <c:v>-2246097.8802879602</c:v>
                </c:pt>
                <c:pt idx="16">
                  <c:v>-2574284.7439559698</c:v>
                </c:pt>
                <c:pt idx="17">
                  <c:v>-2879540.7910995781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8-463F-9A61-7A039B7524BE}"/>
            </c:ext>
          </c:extLst>
        </c:ser>
        <c:ser>
          <c:idx val="2"/>
          <c:order val="2"/>
          <c:tx>
            <c:strRef>
              <c:f>'1 and 2 - PAX Comparison'!$A$11</c:f>
              <c:strCache>
                <c:ptCount val="1"/>
                <c:pt idx="0">
                  <c:v> New Actuals + Econ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Comparison'!$D$11:$V$11</c15:sqref>
                  </c15:fullRef>
                </c:ext>
              </c:extLst>
              <c:f>'1 and 2 - PAX Comparison'!$E$11:$V$11</c:f>
              <c:numCache>
                <c:formatCode>_(* #,##0_);_(* \(#,##0\);_(* "-"??_);_(@_)</c:formatCode>
                <c:ptCount val="18"/>
                <c:pt idx="0">
                  <c:v>-586808.46954904497</c:v>
                </c:pt>
                <c:pt idx="1">
                  <c:v>-580401.69843637943</c:v>
                </c:pt>
                <c:pt idx="2">
                  <c:v>-591909.62068393826</c:v>
                </c:pt>
                <c:pt idx="3">
                  <c:v>-606715.00037387013</c:v>
                </c:pt>
                <c:pt idx="4">
                  <c:v>-632170.83512564003</c:v>
                </c:pt>
                <c:pt idx="5">
                  <c:v>-653294.26252754033</c:v>
                </c:pt>
                <c:pt idx="6">
                  <c:v>-682314.90313518047</c:v>
                </c:pt>
                <c:pt idx="7">
                  <c:v>-709475.50005970895</c:v>
                </c:pt>
                <c:pt idx="8">
                  <c:v>-740152.46949848533</c:v>
                </c:pt>
                <c:pt idx="9">
                  <c:v>-779862.33185017109</c:v>
                </c:pt>
                <c:pt idx="10">
                  <c:v>-819013.86885532737</c:v>
                </c:pt>
                <c:pt idx="11">
                  <c:v>-856466.84508563578</c:v>
                </c:pt>
                <c:pt idx="12">
                  <c:v>-908670.01296107471</c:v>
                </c:pt>
                <c:pt idx="13">
                  <c:v>-957448.02732764184</c:v>
                </c:pt>
                <c:pt idx="14">
                  <c:v>-998933.16044679284</c:v>
                </c:pt>
                <c:pt idx="15">
                  <c:v>-1049558.8872113228</c:v>
                </c:pt>
                <c:pt idx="16">
                  <c:v>-1087019.5116987526</c:v>
                </c:pt>
                <c:pt idx="17">
                  <c:v>-1106956.3993516117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8-463F-9A61-7A039B7524BE}"/>
            </c:ext>
          </c:extLst>
        </c:ser>
        <c:ser>
          <c:idx val="3"/>
          <c:order val="3"/>
          <c:tx>
            <c:strRef>
              <c:f>'1 and 2 - PAX Comparison'!$A$14</c:f>
              <c:strCache>
                <c:ptCount val="1"/>
                <c:pt idx="0">
                  <c:v> New Holiday Method + Actuals + Econ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Comparison'!$D$14:$V$14</c15:sqref>
                  </c15:fullRef>
                </c:ext>
              </c:extLst>
              <c:f>'1 and 2 - PAX Comparison'!$E$14:$V$14</c:f>
              <c:numCache>
                <c:formatCode>_(* #,##0_);_(* \(#,##0\);_(* "-"??_);_(@_)</c:formatCode>
                <c:ptCount val="18"/>
                <c:pt idx="0">
                  <c:v>-300347.02374346554</c:v>
                </c:pt>
                <c:pt idx="1">
                  <c:v>-362150.16753283143</c:v>
                </c:pt>
                <c:pt idx="2">
                  <c:v>-502600.69591224194</c:v>
                </c:pt>
                <c:pt idx="3">
                  <c:v>-582136.63382798433</c:v>
                </c:pt>
                <c:pt idx="4">
                  <c:v>-632850.39217382669</c:v>
                </c:pt>
                <c:pt idx="5">
                  <c:v>-737205.67679005861</c:v>
                </c:pt>
                <c:pt idx="6">
                  <c:v>-835185.53920255601</c:v>
                </c:pt>
                <c:pt idx="7">
                  <c:v>-882279.57199205458</c:v>
                </c:pt>
                <c:pt idx="8">
                  <c:v>-1029219.401469782</c:v>
                </c:pt>
                <c:pt idx="9">
                  <c:v>-1060261.7161163986</c:v>
                </c:pt>
                <c:pt idx="10">
                  <c:v>-1141232.4069808125</c:v>
                </c:pt>
                <c:pt idx="11">
                  <c:v>-1333165.9911353439</c:v>
                </c:pt>
                <c:pt idx="12">
                  <c:v>-1095866.1344933957</c:v>
                </c:pt>
                <c:pt idx="13">
                  <c:v>-1274135.4800338745</c:v>
                </c:pt>
                <c:pt idx="14">
                  <c:v>-1655245.4767376482</c:v>
                </c:pt>
                <c:pt idx="15">
                  <c:v>-1299273.5540913045</c:v>
                </c:pt>
                <c:pt idx="16">
                  <c:v>-1035698.2800859064</c:v>
                </c:pt>
                <c:pt idx="17">
                  <c:v>-1091596.9964554012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8-463F-9A61-7A039B75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195360"/>
        <c:axId val="790196016"/>
      </c:barChart>
      <c:lineChart>
        <c:grouping val="standard"/>
        <c:varyColors val="0"/>
        <c:ser>
          <c:idx val="0"/>
          <c:order val="0"/>
          <c:tx>
            <c:strRef>
              <c:f>'1 and 2 - PAX Comparison'!$A$6</c:f>
              <c:strCache>
                <c:ptCount val="1"/>
                <c:pt idx="0">
                  <c:v> 2018 Q3 Econ Model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Comparison'!$D$6:$V$6</c15:sqref>
                  </c15:fullRef>
                </c:ext>
              </c:extLst>
              <c:f>'1 and 2 - PAX Comparison'!$E$6:$V$6</c:f>
              <c:numCache>
                <c:formatCode>_(* #,##0_);_(* \(#,##0\);_(* "-"??_);_(@_)</c:formatCode>
                <c:ptCount val="18"/>
                <c:pt idx="0">
                  <c:v>85748813.356783897</c:v>
                </c:pt>
                <c:pt idx="1">
                  <c:v>85966899.369041696</c:v>
                </c:pt>
                <c:pt idx="2">
                  <c:v>87076722.170514405</c:v>
                </c:pt>
                <c:pt idx="3">
                  <c:v>87922921.370785698</c:v>
                </c:pt>
                <c:pt idx="4">
                  <c:v>89544740.840185896</c:v>
                </c:pt>
                <c:pt idx="5">
                  <c:v>90446169.147773206</c:v>
                </c:pt>
                <c:pt idx="6">
                  <c:v>91656549.758537203</c:v>
                </c:pt>
                <c:pt idx="7">
                  <c:v>92637906.595068097</c:v>
                </c:pt>
                <c:pt idx="8">
                  <c:v>94172159.027055994</c:v>
                </c:pt>
                <c:pt idx="9">
                  <c:v>95238793.933461994</c:v>
                </c:pt>
                <c:pt idx="10">
                  <c:v>96479658.648468807</c:v>
                </c:pt>
                <c:pt idx="11">
                  <c:v>97898078.843620494</c:v>
                </c:pt>
                <c:pt idx="12">
                  <c:v>99102790.262588203</c:v>
                </c:pt>
                <c:pt idx="13">
                  <c:v>100487160.47952899</c:v>
                </c:pt>
                <c:pt idx="14">
                  <c:v>101990838.195907</c:v>
                </c:pt>
                <c:pt idx="15">
                  <c:v>103160150.364213</c:v>
                </c:pt>
                <c:pt idx="16">
                  <c:v>104389939.061684</c:v>
                </c:pt>
                <c:pt idx="17">
                  <c:v>105751921.41749577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8-463F-9A61-7A039B7524BE}"/>
            </c:ext>
          </c:extLst>
        </c:ser>
        <c:ser>
          <c:idx val="4"/>
          <c:order val="4"/>
          <c:tx>
            <c:strRef>
              <c:f>'1 and 2 - PAX Comparison'!$A$15</c:f>
              <c:strCache>
                <c:ptCount val="1"/>
                <c:pt idx="0">
                  <c:v> 2019 Q3 Econ Model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8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  <c:pt idx="4">
                <c:v>2024</c:v>
              </c:pt>
              <c:pt idx="5">
                <c:v>2025</c:v>
              </c:pt>
              <c:pt idx="6">
                <c:v>2026</c:v>
              </c:pt>
              <c:pt idx="7">
                <c:v>2027</c:v>
              </c:pt>
              <c:pt idx="8">
                <c:v>2028</c:v>
              </c:pt>
              <c:pt idx="9">
                <c:v>2029</c:v>
              </c:pt>
              <c:pt idx="10">
                <c:v>2030</c:v>
              </c:pt>
              <c:pt idx="11">
                <c:v>2031</c:v>
              </c:pt>
              <c:pt idx="12">
                <c:v>2032</c:v>
              </c:pt>
              <c:pt idx="13">
                <c:v>2033</c:v>
              </c:pt>
              <c:pt idx="14">
                <c:v>2034</c:v>
              </c:pt>
              <c:pt idx="15">
                <c:v>2035</c:v>
              </c:pt>
              <c:pt idx="16">
                <c:v>2036</c:v>
              </c:pt>
              <c:pt idx="17">
                <c:v>2037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Comparison'!$D$15:$V$15</c15:sqref>
                  </c15:fullRef>
                </c:ext>
              </c:extLst>
              <c:f>'1 and 2 - PAX Comparison'!$E$15:$V$15</c:f>
              <c:numCache>
                <c:formatCode>_(* #,##0_);_(* \(#,##0\);_(* "-"??_);_(@_)</c:formatCode>
                <c:ptCount val="18"/>
                <c:pt idx="0">
                  <c:v>86677855.070878521</c:v>
                </c:pt>
                <c:pt idx="1">
                  <c:v>86622633.778375536</c:v>
                </c:pt>
                <c:pt idx="2">
                  <c:v>87419219.422976032</c:v>
                </c:pt>
                <c:pt idx="3">
                  <c:v>87892610.630702496</c:v>
                </c:pt>
                <c:pt idx="4">
                  <c:v>89051138.406309426</c:v>
                </c:pt>
                <c:pt idx="5">
                  <c:v>89539683.021197513</c:v>
                </c:pt>
                <c:pt idx="6">
                  <c:v>90382934.670087844</c:v>
                </c:pt>
                <c:pt idx="7">
                  <c:v>91108457.889280349</c:v>
                </c:pt>
                <c:pt idx="8">
                  <c:v>92292858.966248691</c:v>
                </c:pt>
                <c:pt idx="9">
                  <c:v>93137091.018756405</c:v>
                </c:pt>
                <c:pt idx="10">
                  <c:v>94090219.107149392</c:v>
                </c:pt>
                <c:pt idx="11">
                  <c:v>94993369.708867565</c:v>
                </c:pt>
                <c:pt idx="12">
                  <c:v>96063007.170780867</c:v>
                </c:pt>
                <c:pt idx="13">
                  <c:v>96850722.493176073</c:v>
                </c:pt>
                <c:pt idx="14">
                  <c:v>97509176.304009646</c:v>
                </c:pt>
                <c:pt idx="15">
                  <c:v>98565220.042622417</c:v>
                </c:pt>
                <c:pt idx="16">
                  <c:v>99692936.525943369</c:v>
                </c:pt>
                <c:pt idx="17">
                  <c:v>100673827.23058918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08-463F-9A61-7A039B75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136600"/>
        <c:axId val="906348648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  <c:max val="2000000"/>
          <c:min val="-5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PAX Variance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  <c:dispUnits>
          <c:builtInUnit val="millions"/>
        </c:dispUnits>
      </c:valAx>
      <c:valAx>
        <c:axId val="906348648"/>
        <c:scaling>
          <c:orientation val="minMax"/>
          <c:max val="107000000"/>
          <c:min val="8500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PAX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36600"/>
        <c:crosses val="max"/>
        <c:crossBetween val="between"/>
        <c:dispUnits>
          <c:builtInUnit val="millions"/>
        </c:dispUnits>
      </c:valAx>
      <c:catAx>
        <c:axId val="799136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634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and Forecasted Ridership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and 2 - PAX Comparison'!$A$58</c:f>
              <c:strCache>
                <c:ptCount val="1"/>
                <c:pt idx="0">
                  <c:v>Historical Ridership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'1 and 2 - PAX Comparison'!$D$57:$AE$57</c:f>
              <c:numCache>
                <c:formatCode>General</c:formatCode>
                <c:ptCount val="2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</c:numCache>
            </c:numRef>
          </c:cat>
          <c:val>
            <c:numRef>
              <c:f>'1 and 2 - PAX Comparison'!$D$59:$AE$59</c:f>
              <c:numCache>
                <c:formatCode>0.0%</c:formatCode>
                <c:ptCount val="28"/>
                <c:pt idx="1">
                  <c:v>2.100294270391645E-2</c:v>
                </c:pt>
                <c:pt idx="2">
                  <c:v>3.4156904776371677E-2</c:v>
                </c:pt>
                <c:pt idx="3">
                  <c:v>-5.0324208954614091E-2</c:v>
                </c:pt>
                <c:pt idx="4">
                  <c:v>3.7853920727055623E-3</c:v>
                </c:pt>
                <c:pt idx="5">
                  <c:v>1.178286412533347E-2</c:v>
                </c:pt>
                <c:pt idx="6">
                  <c:v>3.8776091237682664E-2</c:v>
                </c:pt>
                <c:pt idx="7">
                  <c:v>2.6858737763528318E-2</c:v>
                </c:pt>
                <c:pt idx="8">
                  <c:v>3.927714732019072E-2</c:v>
                </c:pt>
                <c:pt idx="9">
                  <c:v>-3.9073020887891996E-4</c:v>
                </c:pt>
                <c:pt idx="10">
                  <c:v>3.4445854045506152E-3</c:v>
                </c:pt>
                <c:pt idx="11">
                  <c:v>2.5995127325710632E-2</c:v>
                </c:pt>
                <c:pt idx="12">
                  <c:v>3.1493763507829398E-2</c:v>
                </c:pt>
                <c:pt idx="13">
                  <c:v>9.1960450733761245E-3</c:v>
                </c:pt>
                <c:pt idx="14">
                  <c:v>5.415184565261022E-3</c:v>
                </c:pt>
                <c:pt idx="15">
                  <c:v>1.3181173790305367E-2</c:v>
                </c:pt>
                <c:pt idx="16">
                  <c:v>5.4861130765002653E-3</c:v>
                </c:pt>
                <c:pt idx="17">
                  <c:v>9.4176304900555063E-3</c:v>
                </c:pt>
                <c:pt idx="18">
                  <c:v>8.0272146710083092E-3</c:v>
                </c:pt>
                <c:pt idx="19">
                  <c:v>1.2999902582125689E-2</c:v>
                </c:pt>
                <c:pt idx="20">
                  <c:v>9.1473171593530189E-3</c:v>
                </c:pt>
                <c:pt idx="21">
                  <c:v>1.0233603798094126E-2</c:v>
                </c:pt>
                <c:pt idx="22">
                  <c:v>9.598772436587355E-3</c:v>
                </c:pt>
                <c:pt idx="23">
                  <c:v>1.1260127577235046E-2</c:v>
                </c:pt>
                <c:pt idx="24">
                  <c:v>8.1999860882431275E-3</c:v>
                </c:pt>
                <c:pt idx="25">
                  <c:v>6.7986463485594228E-3</c:v>
                </c:pt>
                <c:pt idx="26">
                  <c:v>1.083019853762579E-2</c:v>
                </c:pt>
                <c:pt idx="27">
                  <c:v>1.1441322637268048E-2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3-4FC5-BBDD-E17BF959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195360"/>
        <c:axId val="790196016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1762125</xdr:colOff>
      <xdr:row>22</xdr:row>
      <xdr:rowOff>4761</xdr:rowOff>
    </xdr:from>
    <xdr:to>
      <xdr:col>8</xdr:col>
      <xdr:colOff>390525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B09C3-1E3D-4F03-BD0D-4BE8E52E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647699</xdr:colOff>
      <xdr:row>22</xdr:row>
      <xdr:rowOff>0</xdr:rowOff>
    </xdr:from>
    <xdr:to>
      <xdr:col>17</xdr:col>
      <xdr:colOff>209549</xdr:colOff>
      <xdr:row>39</xdr:row>
      <xdr:rowOff>109539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E4042-1BB2-4407-8313-F59CF83FB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1838325</xdr:colOff>
      <xdr:row>60</xdr:row>
      <xdr:rowOff>57150</xdr:rowOff>
    </xdr:from>
    <xdr:to>
      <xdr:col>7</xdr:col>
      <xdr:colOff>209550</xdr:colOff>
      <xdr:row>77</xdr:row>
      <xdr:rowOff>166689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029AAD-3391-4BD5-93EA-06B13711B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stens, Ross" id="{BD317867-2C8E-4057-A5CA-0739AC37700C}" userId="S::rcarstens@panynj.gov::5b902945-b664-4192-8dd3-61eb907ae2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19-10-08T14:40:22.21" personId="{BD317867-2C8E-4057-A5CA-0739AC37700C}" id="{6F09CDD0-AF3F-48AC-8FCB-065F386DF3E2}">
    <text>Changed to reflect a $2.577 baseline average fare, instead of $2.61.</text>
  </threadedComment>
  <threadedComment ref="E30" dT="2019-10-08T14:41:29.68" personId="{BD317867-2C8E-4057-A5CA-0739AC37700C}" id="{9BDBD4E7-9BD2-4289-8EF1-C7C1C67961B7}">
    <text>Changed to reflect Board resolution raising average SmartLink fares to $2.60</text>
  </threadedComment>
  <threadedComment ref="F30" dT="2019-10-08T14:42:43.97" personId="{BD317867-2C8E-4057-A5CA-0739AC37700C}" id="{11683581-EB54-40DC-BC5B-CEE576FD8DE4}">
    <text>Changed to reflect COLA impementation policy as outlined in Board resolution.</text>
  </threadedComment>
  <threadedComment ref="D31" dT="2019-10-08T14:41:00.85" personId="{BD317867-2C8E-4057-A5CA-0739AC37700C}" id="{E0B0E9FF-27A1-4A1F-9459-F2F55D4578EE}">
    <text>Changed to reflect average fares for 2018 and the prior baseline.</text>
  </threadedComment>
  <threadedComment ref="H31" dT="2019-10-08T14:41:55.07" personId="{BD317867-2C8E-4057-A5CA-0739AC37700C}" id="{371A21E1-A17C-4679-B9F3-196B3794B747}">
    <text>COLA increase applied here, with same methodology as Metrocard COLA.</text>
  </threadedComment>
  <threadedComment ref="D32" dT="2019-10-08T14:41:04.94" personId="{BD317867-2C8E-4057-A5CA-0739AC37700C}" id="{F746870C-CAEF-49E6-B398-8E6135D06654}">
    <text>Changed to reflect average fares for 2018 and the prior baseline.</text>
  </threadedComment>
  <threadedComment ref="H32" dT="2019-10-08T14:41:59.17" personId="{BD317867-2C8E-4057-A5CA-0739AC37700C}" id="{6EF50FC4-5EAD-4575-BB08-CE4CF3B4910D}">
    <text>COLA increase applied here, with same methodology as Metrocard COLA.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926-63C3-41FA-9541-3D1812039043}">
  <dimension ref="A1:AE59"/>
  <sheetViews>
    <sheetView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24" sqref="A24"/>
    </sheetView>
  </sheetViews>
  <sheetFormatPr baseColWidth="10" defaultColWidth="8.83203125" defaultRowHeight="15"/>
  <cols>
    <col min="1" max="1" width="40" style="153" bestFit="1" customWidth="1"/>
    <col min="2" max="2" width="14.33203125" style="153" bestFit="1" customWidth="1"/>
    <col min="3" max="3" width="15.33203125" style="153" bestFit="1" customWidth="1"/>
    <col min="4" max="4" width="14.83203125" bestFit="1" customWidth="1"/>
    <col min="5" max="5" width="14.6640625" bestFit="1" customWidth="1"/>
    <col min="6" max="17" width="13.33203125" bestFit="1" customWidth="1"/>
    <col min="18" max="22" width="14.33203125" bestFit="1" customWidth="1"/>
  </cols>
  <sheetData>
    <row r="1" spans="1:22" ht="19">
      <c r="A1" s="196" t="s">
        <v>86</v>
      </c>
      <c r="B1"/>
      <c r="C1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</row>
    <row r="2" spans="1:22">
      <c r="B2"/>
      <c r="C2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</row>
    <row r="3" spans="1:22" s="153" customFormat="1">
      <c r="A3" s="159" t="s">
        <v>90</v>
      </c>
      <c r="B3" s="159" t="s">
        <v>29</v>
      </c>
      <c r="C3" s="159" t="s">
        <v>30</v>
      </c>
      <c r="D3" s="159">
        <v>2019</v>
      </c>
      <c r="E3" s="159">
        <f>D3+1</f>
        <v>2020</v>
      </c>
      <c r="F3" s="159">
        <f t="shared" ref="F3:V3" si="0">E3+1</f>
        <v>2021</v>
      </c>
      <c r="G3" s="159">
        <f t="shared" si="0"/>
        <v>2022</v>
      </c>
      <c r="H3" s="159">
        <f t="shared" si="0"/>
        <v>2023</v>
      </c>
      <c r="I3" s="159">
        <f t="shared" si="0"/>
        <v>2024</v>
      </c>
      <c r="J3" s="159">
        <f t="shared" si="0"/>
        <v>2025</v>
      </c>
      <c r="K3" s="159">
        <f t="shared" si="0"/>
        <v>2026</v>
      </c>
      <c r="L3" s="159">
        <f t="shared" si="0"/>
        <v>2027</v>
      </c>
      <c r="M3" s="159">
        <f t="shared" si="0"/>
        <v>2028</v>
      </c>
      <c r="N3" s="159">
        <f t="shared" si="0"/>
        <v>2029</v>
      </c>
      <c r="O3" s="159">
        <f t="shared" si="0"/>
        <v>2030</v>
      </c>
      <c r="P3" s="159">
        <f t="shared" si="0"/>
        <v>2031</v>
      </c>
      <c r="Q3" s="159">
        <f t="shared" si="0"/>
        <v>2032</v>
      </c>
      <c r="R3" s="159">
        <f t="shared" si="0"/>
        <v>2033</v>
      </c>
      <c r="S3" s="159">
        <f t="shared" si="0"/>
        <v>2034</v>
      </c>
      <c r="T3" s="159">
        <f t="shared" si="0"/>
        <v>2035</v>
      </c>
      <c r="U3" s="159">
        <f t="shared" si="0"/>
        <v>2036</v>
      </c>
      <c r="V3" s="159">
        <f t="shared" si="0"/>
        <v>2037</v>
      </c>
    </row>
    <row r="4" spans="1:22" s="176" customFormat="1">
      <c r="A4" s="175" t="s">
        <v>35</v>
      </c>
      <c r="B4" s="174">
        <f t="shared" ref="B4" si="1">SUM(D4:K4)</f>
        <v>697514666.25055063</v>
      </c>
      <c r="C4" s="174">
        <f t="shared" ref="C4" si="2">SUM(L4:U4)</f>
        <v>985557475.41159666</v>
      </c>
      <c r="D4" s="174">
        <f t="shared" ref="D4:V4" si="3">D6+D5</f>
        <v>81850150.236928597</v>
      </c>
      <c r="E4" s="174">
        <f t="shared" si="3"/>
        <v>83050513.356783897</v>
      </c>
      <c r="F4" s="174">
        <f t="shared" si="3"/>
        <v>85966899.369041696</v>
      </c>
      <c r="G4" s="174">
        <f t="shared" si="3"/>
        <v>87076722.170514405</v>
      </c>
      <c r="H4" s="174">
        <f t="shared" si="3"/>
        <v>87922921.370785698</v>
      </c>
      <c r="I4" s="174">
        <f t="shared" si="3"/>
        <v>89544740.840185896</v>
      </c>
      <c r="J4" s="174">
        <f t="shared" si="3"/>
        <v>90446169.147773206</v>
      </c>
      <c r="K4" s="174">
        <f t="shared" si="3"/>
        <v>91656549.758537203</v>
      </c>
      <c r="L4" s="174">
        <f t="shared" si="3"/>
        <v>92637906.595068097</v>
      </c>
      <c r="M4" s="174">
        <f t="shared" si="3"/>
        <v>94172159.027055994</v>
      </c>
      <c r="N4" s="174">
        <f t="shared" si="3"/>
        <v>95238793.933461994</v>
      </c>
      <c r="O4" s="174">
        <f t="shared" si="3"/>
        <v>96479658.648468807</v>
      </c>
      <c r="P4" s="174">
        <f t="shared" si="3"/>
        <v>97898078.843620494</v>
      </c>
      <c r="Q4" s="174">
        <f t="shared" si="3"/>
        <v>99102790.262588203</v>
      </c>
      <c r="R4" s="174">
        <f t="shared" si="3"/>
        <v>100487160.47952899</v>
      </c>
      <c r="S4" s="174">
        <f t="shared" si="3"/>
        <v>101990838.195907</v>
      </c>
      <c r="T4" s="174">
        <f t="shared" si="3"/>
        <v>103160150.364213</v>
      </c>
      <c r="U4" s="174">
        <f t="shared" si="3"/>
        <v>104389939.061684</v>
      </c>
      <c r="V4" s="174">
        <f t="shared" si="3"/>
        <v>105751921.41749577</v>
      </c>
    </row>
    <row r="5" spans="1:22" s="157" customFormat="1">
      <c r="A5" s="166" t="s">
        <v>34</v>
      </c>
      <c r="B5" s="166">
        <f t="shared" ref="B5" si="4">SUM(D5:K5)</f>
        <v>-5396600</v>
      </c>
      <c r="C5" s="166">
        <f t="shared" ref="C5" si="5">SUM(L5:U5)</f>
        <v>0</v>
      </c>
      <c r="D5" s="157">
        <f>'PAX Data'!AR23</f>
        <v>-2698300</v>
      </c>
      <c r="E5" s="157">
        <f>'PAX Data'!AR24</f>
        <v>-2698300</v>
      </c>
    </row>
    <row r="6" spans="1:22" s="156" customFormat="1">
      <c r="A6" s="154" t="s">
        <v>36</v>
      </c>
      <c r="B6" s="166">
        <f t="shared" ref="B6:B15" si="6">SUM(D6:K6)</f>
        <v>702911266.25055063</v>
      </c>
      <c r="C6" s="166">
        <f t="shared" ref="C6:C15" si="7">SUM(L6:U6)</f>
        <v>985557475.41159666</v>
      </c>
      <c r="D6" s="155">
        <f t="array" ref="D6:V6">TRANSPOSE('PAX Data'!AM23:AM41)</f>
        <v>84548450.236928597</v>
      </c>
      <c r="E6" s="155">
        <v>85748813.356783897</v>
      </c>
      <c r="F6" s="155">
        <v>85966899.369041696</v>
      </c>
      <c r="G6" s="155">
        <v>87076722.170514405</v>
      </c>
      <c r="H6" s="155">
        <v>87922921.370785698</v>
      </c>
      <c r="I6" s="155">
        <v>89544740.840185896</v>
      </c>
      <c r="J6" s="155">
        <v>90446169.147773206</v>
      </c>
      <c r="K6" s="155">
        <v>91656549.758537203</v>
      </c>
      <c r="L6" s="155">
        <v>92637906.595068097</v>
      </c>
      <c r="M6" s="155">
        <v>94172159.027055994</v>
      </c>
      <c r="N6" s="155">
        <v>95238793.933461994</v>
      </c>
      <c r="O6" s="155">
        <v>96479658.648468807</v>
      </c>
      <c r="P6" s="155">
        <v>97898078.843620494</v>
      </c>
      <c r="Q6" s="155">
        <v>99102790.262588203</v>
      </c>
      <c r="R6" s="155">
        <v>100487160.47952899</v>
      </c>
      <c r="S6" s="155">
        <v>101990838.195907</v>
      </c>
      <c r="T6" s="155">
        <v>103160150.364213</v>
      </c>
      <c r="U6" s="155">
        <v>104389939.061684</v>
      </c>
      <c r="V6" s="155">
        <v>105751921.41749577</v>
      </c>
    </row>
    <row r="7" spans="1:22" s="158" customFormat="1">
      <c r="B7" s="166"/>
      <c r="C7" s="166"/>
      <c r="D7" s="165"/>
      <c r="E7" s="165">
        <f>E6/D6-1</f>
        <v>1.419734030004749E-2</v>
      </c>
      <c r="F7" s="165">
        <f t="shared" ref="F7:V7" si="8">F6/E6-1</f>
        <v>2.5433123062634788E-3</v>
      </c>
      <c r="G7" s="165">
        <f t="shared" si="8"/>
        <v>1.2909885195561355E-2</v>
      </c>
      <c r="H7" s="165">
        <f t="shared" si="8"/>
        <v>9.7178577601286786E-3</v>
      </c>
      <c r="I7" s="165">
        <f t="shared" si="8"/>
        <v>1.8445923362358618E-2</v>
      </c>
      <c r="J7" s="165">
        <f t="shared" si="8"/>
        <v>1.00667922999087E-2</v>
      </c>
      <c r="K7" s="165">
        <f t="shared" si="8"/>
        <v>1.338233141512557E-2</v>
      </c>
      <c r="L7" s="165">
        <f t="shared" si="8"/>
        <v>1.0706892623780995E-2</v>
      </c>
      <c r="M7" s="165">
        <f t="shared" si="8"/>
        <v>1.6561821055546044E-2</v>
      </c>
      <c r="N7" s="165">
        <f t="shared" si="8"/>
        <v>1.1326435726078499E-2</v>
      </c>
      <c r="O7" s="165">
        <f t="shared" si="8"/>
        <v>1.30289839230191E-2</v>
      </c>
      <c r="P7" s="165">
        <f t="shared" si="8"/>
        <v>1.4701753872490508E-2</v>
      </c>
      <c r="Q7" s="165">
        <f t="shared" si="8"/>
        <v>1.2305771810824595E-2</v>
      </c>
      <c r="R7" s="165">
        <f t="shared" si="8"/>
        <v>1.3969033699986477E-2</v>
      </c>
      <c r="S7" s="165">
        <f t="shared" si="8"/>
        <v>1.4963879058801144E-2</v>
      </c>
      <c r="T7" s="165">
        <f t="shared" si="8"/>
        <v>1.1464874580792817E-2</v>
      </c>
      <c r="U7" s="165">
        <f t="shared" si="8"/>
        <v>1.192116038149571E-2</v>
      </c>
      <c r="V7" s="165">
        <f t="shared" si="8"/>
        <v>1.3047065340338726E-2</v>
      </c>
    </row>
    <row r="8" spans="1:22" s="162" customFormat="1">
      <c r="A8" s="160" t="s">
        <v>104</v>
      </c>
      <c r="B8" s="178">
        <f t="shared" si="6"/>
        <v>8385427.1822352558</v>
      </c>
      <c r="C8" s="178">
        <f t="shared" si="7"/>
        <v>-10541437.556630373</v>
      </c>
      <c r="D8" s="161">
        <f t="shared" ref="D8:V8" si="9">D9-D6</f>
        <v>876077.27631533146</v>
      </c>
      <c r="E8" s="161">
        <f t="shared" si="9"/>
        <v>1816197.2073871344</v>
      </c>
      <c r="F8" s="161">
        <f t="shared" si="9"/>
        <v>1598286.2753030509</v>
      </c>
      <c r="G8" s="161">
        <f t="shared" si="9"/>
        <v>1437007.5690578073</v>
      </c>
      <c r="H8" s="161">
        <f t="shared" si="9"/>
        <v>1158540.8941186517</v>
      </c>
      <c r="I8" s="161">
        <f t="shared" si="9"/>
        <v>771418.793422997</v>
      </c>
      <c r="J8" s="161">
        <f t="shared" si="9"/>
        <v>484013.81274190545</v>
      </c>
      <c r="K8" s="161">
        <f t="shared" si="9"/>
        <v>243885.35388837755</v>
      </c>
      <c r="L8" s="161">
        <f t="shared" si="9"/>
        <v>62306.366264015436</v>
      </c>
      <c r="M8" s="161">
        <f t="shared" si="9"/>
        <v>-109928.18983903527</v>
      </c>
      <c r="N8" s="161">
        <f t="shared" si="9"/>
        <v>-261578.86673901975</v>
      </c>
      <c r="O8" s="161">
        <f t="shared" si="9"/>
        <v>-429193.26548327506</v>
      </c>
      <c r="P8" s="161">
        <f t="shared" si="9"/>
        <v>-715076.29853194952</v>
      </c>
      <c r="Q8" s="161">
        <f t="shared" si="9"/>
        <v>-1035246.9443528652</v>
      </c>
      <c r="R8" s="161">
        <f t="shared" si="9"/>
        <v>-1404854.4789914042</v>
      </c>
      <c r="S8" s="161">
        <f t="shared" si="9"/>
        <v>-1827483.2547129095</v>
      </c>
      <c r="T8" s="161">
        <f t="shared" si="9"/>
        <v>-2246097.8802879602</v>
      </c>
      <c r="U8" s="161">
        <f t="shared" si="9"/>
        <v>-2574284.7439559698</v>
      </c>
      <c r="V8" s="161">
        <f t="shared" si="9"/>
        <v>-2879540.7910995781</v>
      </c>
    </row>
    <row r="9" spans="1:22" s="164" customFormat="1">
      <c r="A9" s="154" t="s">
        <v>31</v>
      </c>
      <c r="B9" s="166">
        <f t="shared" si="6"/>
        <v>711296693.43278575</v>
      </c>
      <c r="C9" s="166">
        <f t="shared" si="7"/>
        <v>975016037.85496616</v>
      </c>
      <c r="D9" s="163">
        <f t="array" ref="D9:V9">TRANSPOSE('PAX Data'!O23:O41)</f>
        <v>85424527.513243929</v>
      </c>
      <c r="E9" s="163">
        <v>87565010.564171031</v>
      </c>
      <c r="F9" s="163">
        <v>87565185.644344747</v>
      </c>
      <c r="G9" s="163">
        <v>88513729.739572212</v>
      </c>
      <c r="H9" s="163">
        <v>89081462.26490435</v>
      </c>
      <c r="I9" s="163">
        <v>90316159.633608893</v>
      </c>
      <c r="J9" s="163">
        <v>90930182.960515112</v>
      </c>
      <c r="K9" s="163">
        <v>91900435.112425581</v>
      </c>
      <c r="L9" s="163">
        <v>92700212.961332113</v>
      </c>
      <c r="M9" s="163">
        <v>94062230.837216958</v>
      </c>
      <c r="N9" s="163">
        <v>94977215.066722974</v>
      </c>
      <c r="O9" s="163">
        <v>96050465.382985532</v>
      </c>
      <c r="P9" s="163">
        <v>97183002.545088544</v>
      </c>
      <c r="Q9" s="163">
        <v>98067543.318235338</v>
      </c>
      <c r="R9" s="163">
        <v>99082306.000537589</v>
      </c>
      <c r="S9" s="163">
        <v>100163354.94119409</v>
      </c>
      <c r="T9" s="163">
        <v>100914052.48392504</v>
      </c>
      <c r="U9" s="163">
        <v>101815654.31772803</v>
      </c>
      <c r="V9" s="163">
        <v>102872380.62639619</v>
      </c>
    </row>
    <row r="10" spans="1:22" s="158" customFormat="1">
      <c r="B10" s="167"/>
      <c r="C10" s="167"/>
      <c r="D10" s="165">
        <f>D9/'PAX Data'!$D$22-1</f>
        <v>4.7264783191071524E-2</v>
      </c>
      <c r="E10" s="165">
        <f>E9/D9-1</f>
        <v>2.5057007784974328E-2</v>
      </c>
      <c r="F10" s="165">
        <f t="shared" ref="F10" si="10">F9/E9-1</f>
        <v>1.9994307383086607E-6</v>
      </c>
      <c r="G10" s="165">
        <f t="shared" ref="G10" si="11">G9/F9-1</f>
        <v>1.0832434011846637E-2</v>
      </c>
      <c r="H10" s="165">
        <f t="shared" ref="H10" si="12">H9/G9-1</f>
        <v>6.414061716781605E-3</v>
      </c>
      <c r="I10" s="165">
        <f t="shared" ref="I10" si="13">I9/H9-1</f>
        <v>1.3860317705976621E-2</v>
      </c>
      <c r="J10" s="165">
        <f t="shared" ref="J10" si="14">J9/I9-1</f>
        <v>6.7985987158574179E-3</v>
      </c>
      <c r="K10" s="165">
        <f t="shared" ref="K10" si="15">K9/J9-1</f>
        <v>1.067029802779329E-2</v>
      </c>
      <c r="L10" s="165">
        <f t="shared" ref="L10" si="16">L9/K9-1</f>
        <v>8.7026557374634272E-3</v>
      </c>
      <c r="M10" s="165">
        <f t="shared" ref="M10" si="17">M9/L9-1</f>
        <v>1.4692715716338123E-2</v>
      </c>
      <c r="N10" s="165">
        <f t="shared" ref="N10" si="18">N9/M9-1</f>
        <v>9.7274349264528936E-3</v>
      </c>
      <c r="O10" s="165">
        <f t="shared" ref="O10" si="19">O9/N9-1</f>
        <v>1.1300081977646759E-2</v>
      </c>
      <c r="P10" s="165">
        <f t="shared" ref="P10" si="20">P9/O9-1</f>
        <v>1.1791063766189991E-2</v>
      </c>
      <c r="Q10" s="165">
        <f t="shared" ref="Q10" si="21">Q9/P9-1</f>
        <v>9.1018053567175627E-3</v>
      </c>
      <c r="R10" s="165">
        <f t="shared" ref="R10" si="22">R9/Q9-1</f>
        <v>1.0347589507868848E-2</v>
      </c>
      <c r="S10" s="165">
        <f t="shared" ref="S10" si="23">S9/R9-1</f>
        <v>1.0910615470038021E-2</v>
      </c>
      <c r="T10" s="165">
        <f t="shared" ref="T10" si="24">T9/S9-1</f>
        <v>7.4947324115859359E-3</v>
      </c>
      <c r="U10" s="165">
        <f t="shared" ref="U10" si="25">U9/T9-1</f>
        <v>8.9343536565098525E-3</v>
      </c>
      <c r="V10" s="165">
        <f t="shared" ref="V10" si="26">V9/U9-1</f>
        <v>1.0378819600476374E-2</v>
      </c>
    </row>
    <row r="11" spans="1:22" s="162" customFormat="1">
      <c r="A11" s="160" t="s">
        <v>105</v>
      </c>
      <c r="B11" s="178">
        <f t="shared" si="6"/>
        <v>-5123364.7301332653</v>
      </c>
      <c r="C11" s="178">
        <f t="shared" si="7"/>
        <v>-8906600.6149949133</v>
      </c>
      <c r="D11" s="161">
        <f t="shared" ref="D11:U11" si="27">D12-D9</f>
        <v>-789749.94030167162</v>
      </c>
      <c r="E11" s="161">
        <f t="shared" si="27"/>
        <v>-586808.46954904497</v>
      </c>
      <c r="F11" s="161">
        <f t="shared" si="27"/>
        <v>-580401.69843637943</v>
      </c>
      <c r="G11" s="161">
        <f t="shared" si="27"/>
        <v>-591909.62068393826</v>
      </c>
      <c r="H11" s="161">
        <f t="shared" si="27"/>
        <v>-606715.00037387013</v>
      </c>
      <c r="I11" s="161">
        <f t="shared" si="27"/>
        <v>-632170.83512564003</v>
      </c>
      <c r="J11" s="161">
        <f t="shared" si="27"/>
        <v>-653294.26252754033</v>
      </c>
      <c r="K11" s="161">
        <f t="shared" si="27"/>
        <v>-682314.90313518047</v>
      </c>
      <c r="L11" s="161">
        <f t="shared" si="27"/>
        <v>-709475.50005970895</v>
      </c>
      <c r="M11" s="161">
        <f t="shared" si="27"/>
        <v>-740152.46949848533</v>
      </c>
      <c r="N11" s="161">
        <f t="shared" si="27"/>
        <v>-779862.33185017109</v>
      </c>
      <c r="O11" s="161">
        <f t="shared" si="27"/>
        <v>-819013.86885532737</v>
      </c>
      <c r="P11" s="161">
        <f t="shared" si="27"/>
        <v>-856466.84508563578</v>
      </c>
      <c r="Q11" s="161">
        <f t="shared" si="27"/>
        <v>-908670.01296107471</v>
      </c>
      <c r="R11" s="161">
        <f t="shared" si="27"/>
        <v>-957448.02732764184</v>
      </c>
      <c r="S11" s="161">
        <f t="shared" si="27"/>
        <v>-998933.16044679284</v>
      </c>
      <c r="T11" s="161">
        <f t="shared" si="27"/>
        <v>-1049558.8872113228</v>
      </c>
      <c r="U11" s="161">
        <f t="shared" si="27"/>
        <v>-1087019.5116987526</v>
      </c>
      <c r="V11" s="161">
        <f>V12-V9</f>
        <v>-1106956.3993516117</v>
      </c>
    </row>
    <row r="12" spans="1:22" s="164" customFormat="1">
      <c r="A12" s="154" t="s">
        <v>32</v>
      </c>
      <c r="B12" s="166">
        <f t="shared" si="6"/>
        <v>706173328.70265257</v>
      </c>
      <c r="C12" s="166">
        <f t="shared" si="7"/>
        <v>966109437.2399714</v>
      </c>
      <c r="D12" s="163">
        <f t="array" ref="D12:V12">TRANSPOSE('PAX Data'!M23:M41)</f>
        <v>84634777.572942257</v>
      </c>
      <c r="E12" s="163">
        <v>86978202.094621986</v>
      </c>
      <c r="F12" s="163">
        <v>86984783.945908368</v>
      </c>
      <c r="G12" s="163">
        <v>87921820.118888274</v>
      </c>
      <c r="H12" s="163">
        <v>88474747.26453048</v>
      </c>
      <c r="I12" s="163">
        <v>89683988.798483253</v>
      </c>
      <c r="J12" s="163">
        <v>90276888.697987571</v>
      </c>
      <c r="K12" s="163">
        <v>91218120.2092904</v>
      </c>
      <c r="L12" s="163">
        <v>91990737.461272404</v>
      </c>
      <c r="M12" s="163">
        <v>93322078.367718473</v>
      </c>
      <c r="N12" s="163">
        <v>94197352.734872803</v>
      </c>
      <c r="O12" s="163">
        <v>95231451.514130205</v>
      </c>
      <c r="P12" s="163">
        <v>96326535.700002909</v>
      </c>
      <c r="Q12" s="163">
        <v>97158873.305274263</v>
      </c>
      <c r="R12" s="163">
        <v>98124857.973209947</v>
      </c>
      <c r="S12" s="163">
        <v>99164421.780747294</v>
      </c>
      <c r="T12" s="163">
        <v>99864493.596713722</v>
      </c>
      <c r="U12" s="163">
        <v>100728634.80602928</v>
      </c>
      <c r="V12" s="163">
        <v>101765424.22704458</v>
      </c>
    </row>
    <row r="13" spans="1:22" s="158" customFormat="1">
      <c r="B13" s="167"/>
      <c r="C13" s="167"/>
      <c r="D13" s="165">
        <f>D12/'PAX Data'!$D$22-1</f>
        <v>3.7582818021560271E-2</v>
      </c>
      <c r="E13" s="165">
        <f>E12/D12-1</f>
        <v>2.7688671121750774E-2</v>
      </c>
      <c r="F13" s="165">
        <f t="shared" ref="F13" si="28">F12/E12-1</f>
        <v>7.567242283545994E-5</v>
      </c>
      <c r="G13" s="165">
        <f t="shared" ref="G13" si="29">G12/F12-1</f>
        <v>1.0772414788804863E-2</v>
      </c>
      <c r="H13" s="165">
        <f t="shared" ref="H13" si="30">H12/G12-1</f>
        <v>6.2888500817490645E-3</v>
      </c>
      <c r="I13" s="165">
        <f t="shared" ref="I13" si="31">I12/H12-1</f>
        <v>1.3667646094961627E-2</v>
      </c>
      <c r="J13" s="165">
        <f t="shared" ref="J13" si="32">J12/I12-1</f>
        <v>6.6109894023174132E-3</v>
      </c>
      <c r="K13" s="165">
        <f t="shared" ref="K13" si="33">K12/J12-1</f>
        <v>1.0426051726833752E-2</v>
      </c>
      <c r="L13" s="165">
        <f t="shared" ref="L13" si="34">L12/K12-1</f>
        <v>8.469997520331729E-3</v>
      </c>
      <c r="M13" s="165">
        <f t="shared" ref="M13" si="35">M12/L12-1</f>
        <v>1.4472553902576957E-2</v>
      </c>
      <c r="N13" s="165">
        <f t="shared" ref="N13" si="36">N12/M12-1</f>
        <v>9.3790706600582752E-3</v>
      </c>
      <c r="O13" s="165">
        <f t="shared" ref="O13" si="37">O12/N12-1</f>
        <v>1.0978002557757272E-2</v>
      </c>
      <c r="P13" s="165">
        <f t="shared" ref="P13" si="38">P12/O12-1</f>
        <v>1.1499186124557026E-2</v>
      </c>
      <c r="Q13" s="165">
        <f t="shared" ref="Q13" si="39">Q12/P12-1</f>
        <v>8.64079247969185E-3</v>
      </c>
      <c r="R13" s="165">
        <f t="shared" ref="R13" si="40">R12/Q12-1</f>
        <v>9.9423206041155954E-3</v>
      </c>
      <c r="S13" s="165">
        <f t="shared" ref="S13" si="41">S12/R12-1</f>
        <v>1.0594296175401086E-2</v>
      </c>
      <c r="T13" s="165">
        <f t="shared" ref="T13" si="42">T12/S12-1</f>
        <v>7.0597075381964025E-3</v>
      </c>
      <c r="U13" s="165">
        <f t="shared" ref="U13" si="43">U12/T12-1</f>
        <v>8.6531376487548606E-3</v>
      </c>
      <c r="V13" s="165">
        <f t="shared" ref="V13" si="44">V12/U12-1</f>
        <v>1.0292896583099953E-2</v>
      </c>
    </row>
    <row r="14" spans="1:22" s="162" customFormat="1">
      <c r="A14" s="160" t="s">
        <v>106</v>
      </c>
      <c r="B14" s="178">
        <f t="shared" si="6"/>
        <v>-4180509.176840812</v>
      </c>
      <c r="C14" s="178">
        <f t="shared" si="7"/>
        <v>-11806378.013136521</v>
      </c>
      <c r="D14" s="161">
        <f t="shared" ref="D14:U14" si="45">D15-D12</f>
        <v>-228033.0476578474</v>
      </c>
      <c r="E14" s="161">
        <f t="shared" si="45"/>
        <v>-300347.02374346554</v>
      </c>
      <c r="F14" s="161">
        <f t="shared" si="45"/>
        <v>-362150.16753283143</v>
      </c>
      <c r="G14" s="161">
        <f t="shared" si="45"/>
        <v>-502600.69591224194</v>
      </c>
      <c r="H14" s="161">
        <f t="shared" si="45"/>
        <v>-582136.63382798433</v>
      </c>
      <c r="I14" s="161">
        <f t="shared" si="45"/>
        <v>-632850.39217382669</v>
      </c>
      <c r="J14" s="161">
        <f t="shared" si="45"/>
        <v>-737205.67679005861</v>
      </c>
      <c r="K14" s="161">
        <f t="shared" si="45"/>
        <v>-835185.53920255601</v>
      </c>
      <c r="L14" s="161">
        <f t="shared" si="45"/>
        <v>-882279.57199205458</v>
      </c>
      <c r="M14" s="161">
        <f t="shared" si="45"/>
        <v>-1029219.401469782</v>
      </c>
      <c r="N14" s="161">
        <f t="shared" si="45"/>
        <v>-1060261.7161163986</v>
      </c>
      <c r="O14" s="161">
        <f t="shared" si="45"/>
        <v>-1141232.4069808125</v>
      </c>
      <c r="P14" s="161">
        <f t="shared" si="45"/>
        <v>-1333165.9911353439</v>
      </c>
      <c r="Q14" s="161">
        <f t="shared" si="45"/>
        <v>-1095866.1344933957</v>
      </c>
      <c r="R14" s="161">
        <f t="shared" si="45"/>
        <v>-1274135.4800338745</v>
      </c>
      <c r="S14" s="161">
        <f t="shared" si="45"/>
        <v>-1655245.4767376482</v>
      </c>
      <c r="T14" s="161">
        <f t="shared" si="45"/>
        <v>-1299273.5540913045</v>
      </c>
      <c r="U14" s="161">
        <f t="shared" si="45"/>
        <v>-1035698.2800859064</v>
      </c>
      <c r="V14" s="161">
        <f>V15-V12</f>
        <v>-1091596.9964554012</v>
      </c>
    </row>
    <row r="15" spans="1:22" s="164" customFormat="1">
      <c r="A15" s="154" t="s">
        <v>37</v>
      </c>
      <c r="B15" s="166">
        <f t="shared" si="6"/>
        <v>701992819.52581179</v>
      </c>
      <c r="C15" s="166">
        <f t="shared" si="7"/>
        <v>954303059.22683489</v>
      </c>
      <c r="D15" s="163">
        <f t="array" ref="D15:V15">TRANSPOSE('PAX Data'!I23:I41)</f>
        <v>84406744.52528441</v>
      </c>
      <c r="E15" s="163">
        <v>86677855.070878521</v>
      </c>
      <c r="F15" s="163">
        <v>86622633.778375536</v>
      </c>
      <c r="G15" s="163">
        <v>87419219.422976032</v>
      </c>
      <c r="H15" s="163">
        <v>87892610.630702496</v>
      </c>
      <c r="I15" s="163">
        <v>89051138.406309426</v>
      </c>
      <c r="J15" s="163">
        <v>89539683.021197513</v>
      </c>
      <c r="K15" s="163">
        <v>90382934.670087844</v>
      </c>
      <c r="L15" s="163">
        <v>91108457.889280349</v>
      </c>
      <c r="M15" s="163">
        <v>92292858.966248691</v>
      </c>
      <c r="N15" s="163">
        <v>93137091.018756405</v>
      </c>
      <c r="O15" s="163">
        <v>94090219.107149392</v>
      </c>
      <c r="P15" s="163">
        <v>94993369.708867565</v>
      </c>
      <c r="Q15" s="163">
        <v>96063007.170780867</v>
      </c>
      <c r="R15" s="163">
        <v>96850722.493176073</v>
      </c>
      <c r="S15" s="163">
        <v>97509176.304009646</v>
      </c>
      <c r="T15" s="163">
        <v>98565220.042622417</v>
      </c>
      <c r="U15" s="163">
        <v>99692936.525943369</v>
      </c>
      <c r="V15" s="163">
        <v>100673827.23058918</v>
      </c>
    </row>
    <row r="16" spans="1:22" s="158" customFormat="1">
      <c r="B16" s="167"/>
      <c r="C16" s="167"/>
      <c r="D16" s="165">
        <f>D15/'PAX Data'!$D$22-1</f>
        <v>3.4787239431104844E-2</v>
      </c>
      <c r="E16" s="165">
        <f>E15/D15-1</f>
        <v>2.690674256384562E-2</v>
      </c>
      <c r="F16" s="165">
        <f t="shared" ref="F16" si="46">F15/E15-1</f>
        <v>-6.3708651371019442E-4</v>
      </c>
      <c r="G16" s="165">
        <f t="shared" ref="G16" si="47">G15/F15-1</f>
        <v>9.1960450733761245E-3</v>
      </c>
      <c r="H16" s="165">
        <f t="shared" ref="H16" si="48">H15/G15-1</f>
        <v>5.415184565261022E-3</v>
      </c>
      <c r="I16" s="165">
        <f t="shared" ref="I16" si="49">I15/H15-1</f>
        <v>1.3181173790305367E-2</v>
      </c>
      <c r="J16" s="165">
        <f t="shared" ref="J16" si="50">J15/I15-1</f>
        <v>5.4861130765002653E-3</v>
      </c>
      <c r="K16" s="165">
        <f t="shared" ref="K16" si="51">K15/J15-1</f>
        <v>9.4176304900555063E-3</v>
      </c>
      <c r="L16" s="165">
        <f t="shared" ref="L16" si="52">L15/K15-1</f>
        <v>8.0272146710083092E-3</v>
      </c>
      <c r="M16" s="165">
        <f t="shared" ref="M16" si="53">M15/L15-1</f>
        <v>1.2999902582125689E-2</v>
      </c>
      <c r="N16" s="165">
        <f t="shared" ref="N16" si="54">N15/M15-1</f>
        <v>9.1473171593530189E-3</v>
      </c>
      <c r="O16" s="165">
        <f t="shared" ref="O16" si="55">O15/N15-1</f>
        <v>1.0233603798094126E-2</v>
      </c>
      <c r="P16" s="165">
        <f t="shared" ref="P16" si="56">P15/O15-1</f>
        <v>9.598772436587355E-3</v>
      </c>
      <c r="Q16" s="165">
        <f t="shared" ref="Q16" si="57">Q15/P15-1</f>
        <v>1.1260127577235046E-2</v>
      </c>
      <c r="R16" s="165">
        <f t="shared" ref="R16" si="58">R15/Q15-1</f>
        <v>8.1999860882431275E-3</v>
      </c>
      <c r="S16" s="165">
        <f t="shared" ref="S16" si="59">S15/R15-1</f>
        <v>6.7986463485594228E-3</v>
      </c>
      <c r="T16" s="165">
        <f t="shared" ref="T16" si="60">T15/S15-1</f>
        <v>1.083019853762579E-2</v>
      </c>
      <c r="U16" s="165">
        <f t="shared" ref="U16" si="61">U15/T15-1</f>
        <v>1.1441322637268048E-2</v>
      </c>
      <c r="V16" s="165">
        <f t="shared" ref="V16" si="62">V15/U15-1</f>
        <v>9.8391193882683137E-3</v>
      </c>
    </row>
    <row r="17" spans="1:22" s="166" customFormat="1">
      <c r="A17" s="166" t="s">
        <v>39</v>
      </c>
      <c r="B17" s="166">
        <f t="shared" ref="B17" si="63">SUM(D17:K17)</f>
        <v>-5256594.5252844095</v>
      </c>
      <c r="C17" s="166">
        <f t="shared" ref="C17" si="64">SUM(L17:U17)</f>
        <v>0</v>
      </c>
      <c r="D17" s="163">
        <f>'PAX Data'!AI23</f>
        <v>-2556594.5252844095</v>
      </c>
      <c r="E17" s="163">
        <f>'PAX Data'!AI24</f>
        <v>-2700000</v>
      </c>
    </row>
    <row r="18" spans="1:22" s="174" customFormat="1">
      <c r="A18" s="174" t="s">
        <v>38</v>
      </c>
      <c r="B18" s="174">
        <f t="shared" ref="B18" si="65">SUM(D18:K18)</f>
        <v>696736225.00052738</v>
      </c>
      <c r="C18" s="174">
        <f t="shared" ref="C18" si="66">SUM(L18:U18)</f>
        <v>954303059.22683489</v>
      </c>
      <c r="D18" s="174">
        <f>D15+D17</f>
        <v>81850150</v>
      </c>
      <c r="E18" s="174">
        <f t="shared" ref="E18:V18" si="67">E15+E17</f>
        <v>83977855.070878521</v>
      </c>
      <c r="F18" s="174">
        <f t="shared" si="67"/>
        <v>86622633.778375536</v>
      </c>
      <c r="G18" s="174">
        <f t="shared" si="67"/>
        <v>87419219.422976032</v>
      </c>
      <c r="H18" s="174">
        <f t="shared" si="67"/>
        <v>87892610.630702496</v>
      </c>
      <c r="I18" s="174">
        <f t="shared" si="67"/>
        <v>89051138.406309426</v>
      </c>
      <c r="J18" s="174">
        <f t="shared" si="67"/>
        <v>89539683.021197513</v>
      </c>
      <c r="K18" s="174">
        <f t="shared" si="67"/>
        <v>90382934.670087844</v>
      </c>
      <c r="L18" s="174">
        <f t="shared" si="67"/>
        <v>91108457.889280349</v>
      </c>
      <c r="M18" s="174">
        <f t="shared" si="67"/>
        <v>92292858.966248691</v>
      </c>
      <c r="N18" s="174">
        <f t="shared" si="67"/>
        <v>93137091.018756405</v>
      </c>
      <c r="O18" s="174">
        <f t="shared" si="67"/>
        <v>94090219.107149392</v>
      </c>
      <c r="P18" s="174">
        <f t="shared" si="67"/>
        <v>94993369.708867565</v>
      </c>
      <c r="Q18" s="174">
        <f t="shared" si="67"/>
        <v>96063007.170780867</v>
      </c>
      <c r="R18" s="174">
        <f t="shared" si="67"/>
        <v>96850722.493176073</v>
      </c>
      <c r="S18" s="174">
        <f t="shared" si="67"/>
        <v>97509176.304009646</v>
      </c>
      <c r="T18" s="174">
        <f t="shared" si="67"/>
        <v>98565220.042622417</v>
      </c>
      <c r="U18" s="174">
        <f t="shared" si="67"/>
        <v>99692936.525943369</v>
      </c>
      <c r="V18" s="174">
        <f t="shared" si="67"/>
        <v>100673827.23058918</v>
      </c>
    </row>
    <row r="19" spans="1:22" s="166" customFormat="1"/>
    <row r="20" spans="1:22" s="168" customFormat="1">
      <c r="A20" s="172" t="s">
        <v>33</v>
      </c>
      <c r="B20" s="173">
        <f>B18-B4</f>
        <v>-778441.25002324581</v>
      </c>
      <c r="C20" s="173">
        <f t="shared" ref="C20:V20" si="68">C18-C4</f>
        <v>-31254416.184761763</v>
      </c>
      <c r="D20" s="173">
        <f t="shared" si="68"/>
        <v>-0.23692859709262848</v>
      </c>
      <c r="E20" s="173">
        <f t="shared" si="68"/>
        <v>927341.71409462392</v>
      </c>
      <c r="F20" s="173">
        <f t="shared" si="68"/>
        <v>655734.40933384001</v>
      </c>
      <c r="G20" s="173">
        <f t="shared" si="68"/>
        <v>342497.25246162713</v>
      </c>
      <c r="H20" s="173">
        <f t="shared" si="68"/>
        <v>-30310.74008320272</v>
      </c>
      <c r="I20" s="173">
        <f t="shared" si="68"/>
        <v>-493602.43387646973</v>
      </c>
      <c r="J20" s="173">
        <f t="shared" si="68"/>
        <v>-906486.12657569349</v>
      </c>
      <c r="K20" s="173">
        <f t="shared" si="68"/>
        <v>-1273615.0884493589</v>
      </c>
      <c r="L20" s="173">
        <f t="shared" si="68"/>
        <v>-1529448.7057877481</v>
      </c>
      <c r="M20" s="173">
        <f t="shared" si="68"/>
        <v>-1879300.0608073026</v>
      </c>
      <c r="N20" s="173">
        <f t="shared" si="68"/>
        <v>-2101702.9147055894</v>
      </c>
      <c r="O20" s="173">
        <f t="shared" si="68"/>
        <v>-2389439.541319415</v>
      </c>
      <c r="P20" s="173">
        <f t="shared" si="68"/>
        <v>-2904709.1347529292</v>
      </c>
      <c r="Q20" s="173">
        <f t="shared" si="68"/>
        <v>-3039783.0918073356</v>
      </c>
      <c r="R20" s="173">
        <f t="shared" si="68"/>
        <v>-3636437.9863529205</v>
      </c>
      <c r="S20" s="173">
        <f t="shared" si="68"/>
        <v>-4481661.8918973505</v>
      </c>
      <c r="T20" s="173">
        <f t="shared" si="68"/>
        <v>-4594930.3215905875</v>
      </c>
      <c r="U20" s="173">
        <f t="shared" si="68"/>
        <v>-4697002.5357406288</v>
      </c>
      <c r="V20" s="173">
        <f t="shared" si="68"/>
        <v>-5078094.1869065911</v>
      </c>
    </row>
    <row r="21" spans="1:22" s="170" customFormat="1">
      <c r="A21" s="168" t="s">
        <v>107</v>
      </c>
      <c r="B21" s="171">
        <f>B17-B5</f>
        <v>140005.47471559048</v>
      </c>
      <c r="C21" s="171">
        <f t="shared" ref="C21:V21" si="69">C17-C5</f>
        <v>0</v>
      </c>
      <c r="D21" s="169">
        <f t="shared" si="69"/>
        <v>141705.47471559048</v>
      </c>
      <c r="E21" s="169">
        <f t="shared" si="69"/>
        <v>-1700</v>
      </c>
      <c r="F21" s="169">
        <f t="shared" si="69"/>
        <v>0</v>
      </c>
      <c r="G21" s="169">
        <f t="shared" si="69"/>
        <v>0</v>
      </c>
      <c r="H21" s="169">
        <f t="shared" si="69"/>
        <v>0</v>
      </c>
      <c r="I21" s="169">
        <f t="shared" si="69"/>
        <v>0</v>
      </c>
      <c r="J21" s="169">
        <f t="shared" si="69"/>
        <v>0</v>
      </c>
      <c r="K21" s="169">
        <f t="shared" si="69"/>
        <v>0</v>
      </c>
      <c r="L21" s="169">
        <f t="shared" si="69"/>
        <v>0</v>
      </c>
      <c r="M21" s="169">
        <f t="shared" si="69"/>
        <v>0</v>
      </c>
      <c r="N21" s="169">
        <f t="shared" si="69"/>
        <v>0</v>
      </c>
      <c r="O21" s="169">
        <f t="shared" si="69"/>
        <v>0</v>
      </c>
      <c r="P21" s="169">
        <f t="shared" si="69"/>
        <v>0</v>
      </c>
      <c r="Q21" s="169">
        <f t="shared" si="69"/>
        <v>0</v>
      </c>
      <c r="R21" s="169">
        <f t="shared" si="69"/>
        <v>0</v>
      </c>
      <c r="S21" s="169">
        <f t="shared" si="69"/>
        <v>0</v>
      </c>
      <c r="T21" s="169">
        <f t="shared" si="69"/>
        <v>0</v>
      </c>
      <c r="U21" s="169">
        <f t="shared" si="69"/>
        <v>0</v>
      </c>
      <c r="V21" s="169">
        <f t="shared" si="69"/>
        <v>0</v>
      </c>
    </row>
    <row r="22" spans="1:22" s="156" customFormat="1">
      <c r="A22" s="154"/>
      <c r="B22" s="166"/>
      <c r="C22" s="166"/>
    </row>
    <row r="23" spans="1:22" s="156" customFormat="1">
      <c r="A23" s="154"/>
      <c r="B23" s="166"/>
      <c r="C23" s="166"/>
    </row>
    <row r="24" spans="1:22" s="156" customFormat="1">
      <c r="A24" s="154"/>
      <c r="B24" s="166"/>
      <c r="C24" s="166"/>
    </row>
    <row r="25" spans="1:22" s="156" customFormat="1">
      <c r="A25" s="154"/>
      <c r="B25" s="166"/>
      <c r="C25" s="166"/>
    </row>
    <row r="26" spans="1:22" s="156" customFormat="1">
      <c r="A26" s="154"/>
      <c r="B26" s="166"/>
      <c r="C26" s="166"/>
    </row>
    <row r="27" spans="1:22" s="156" customFormat="1">
      <c r="A27" s="154"/>
      <c r="B27" s="166"/>
      <c r="C27" s="166"/>
    </row>
    <row r="28" spans="1:22" s="156" customFormat="1">
      <c r="A28" s="154"/>
      <c r="B28" s="166"/>
      <c r="C28" s="166"/>
    </row>
    <row r="29" spans="1:22" s="156" customFormat="1">
      <c r="A29" s="154"/>
      <c r="B29" s="166"/>
      <c r="C29" s="166"/>
    </row>
    <row r="30" spans="1:22" s="156" customFormat="1">
      <c r="A30" s="154"/>
      <c r="B30" s="166"/>
      <c r="C30" s="166"/>
    </row>
    <row r="31" spans="1:22" s="156" customFormat="1">
      <c r="A31" s="154"/>
      <c r="B31" s="154"/>
      <c r="C31" s="154"/>
    </row>
    <row r="32" spans="1:22" s="156" customFormat="1">
      <c r="A32" s="154"/>
      <c r="B32" s="154"/>
      <c r="C32" s="154"/>
    </row>
    <row r="33" spans="1:22" s="156" customFormat="1">
      <c r="A33" s="154"/>
      <c r="B33" s="154"/>
      <c r="C33" s="154"/>
    </row>
    <row r="34" spans="1:22" s="156" customFormat="1">
      <c r="A34" s="154"/>
      <c r="B34" s="154"/>
      <c r="C34" s="154"/>
    </row>
    <row r="35" spans="1:22" s="156" customFormat="1">
      <c r="A35" s="154"/>
      <c r="B35" s="154"/>
      <c r="C35" s="154"/>
    </row>
    <row r="36" spans="1:22" s="156" customFormat="1">
      <c r="A36" s="154"/>
      <c r="B36" s="154"/>
      <c r="C36" s="154"/>
    </row>
    <row r="37" spans="1:22" s="156" customFormat="1">
      <c r="A37" s="154"/>
      <c r="B37" s="154"/>
      <c r="C37" s="154"/>
    </row>
    <row r="38" spans="1:22" s="156" customFormat="1">
      <c r="A38" s="154"/>
      <c r="B38" s="154"/>
      <c r="C38" s="154"/>
    </row>
    <row r="39" spans="1:22" s="156" customFormat="1">
      <c r="A39" s="154"/>
      <c r="B39" s="154"/>
      <c r="C39" s="154"/>
    </row>
    <row r="40" spans="1:22" s="156" customFormat="1">
      <c r="A40" s="154"/>
      <c r="B40" s="154"/>
      <c r="C40" s="154"/>
    </row>
    <row r="41" spans="1:22" s="156" customFormat="1">
      <c r="A41" s="154"/>
      <c r="B41" s="154"/>
      <c r="C41" s="154"/>
    </row>
    <row r="42" spans="1:22" s="156" customFormat="1">
      <c r="A42" s="270" t="s">
        <v>88</v>
      </c>
      <c r="B42" s="270" t="s">
        <v>89</v>
      </c>
      <c r="C42" s="270" t="s">
        <v>95</v>
      </c>
      <c r="D42" s="270">
        <v>2019</v>
      </c>
      <c r="E42" s="270">
        <v>2020</v>
      </c>
      <c r="F42" s="270">
        <v>2021</v>
      </c>
      <c r="G42" s="270">
        <v>2022</v>
      </c>
      <c r="H42" s="270">
        <v>2023</v>
      </c>
      <c r="I42" s="270">
        <v>2024</v>
      </c>
      <c r="J42" s="270">
        <v>2025</v>
      </c>
      <c r="K42" s="270">
        <v>2026</v>
      </c>
      <c r="L42" s="270">
        <v>2027</v>
      </c>
      <c r="M42" s="270">
        <v>2028</v>
      </c>
      <c r="N42" s="270">
        <v>2029</v>
      </c>
      <c r="O42" s="270">
        <v>2030</v>
      </c>
      <c r="P42" s="270">
        <v>2031</v>
      </c>
      <c r="Q42" s="270">
        <v>2032</v>
      </c>
      <c r="R42" s="270">
        <v>2033</v>
      </c>
      <c r="S42" s="270">
        <v>2034</v>
      </c>
      <c r="T42" s="270">
        <v>2035</v>
      </c>
      <c r="U42" s="270">
        <v>2036</v>
      </c>
      <c r="V42" s="270">
        <v>2037</v>
      </c>
    </row>
    <row r="43" spans="1:22" s="156" customFormat="1">
      <c r="A43" s="271" t="s">
        <v>91</v>
      </c>
      <c r="B43" s="269">
        <f>(K43/D43)^(1/($K$42-$D$42))-1</f>
        <v>4.6365355079918125E-3</v>
      </c>
      <c r="C43" s="269">
        <f>(U43/L43)^(1/($U$42-$L$42))-1</f>
        <v>6.85317724647172E-3</v>
      </c>
      <c r="D43" s="272">
        <v>2930.6468992940872</v>
      </c>
      <c r="E43" s="272">
        <v>2937.3860832351102</v>
      </c>
      <c r="F43" s="272">
        <v>2946.2405244932202</v>
      </c>
      <c r="G43" s="272">
        <v>2957.0408571171397</v>
      </c>
      <c r="H43" s="272">
        <v>2972.7123917868566</v>
      </c>
      <c r="I43" s="272">
        <v>2989.9558218001703</v>
      </c>
      <c r="J43" s="272">
        <v>3008.4388606902212</v>
      </c>
      <c r="K43" s="272">
        <v>3027.096540345764</v>
      </c>
      <c r="L43" s="272">
        <v>3045.7335447380965</v>
      </c>
      <c r="M43" s="272">
        <v>3065.0640763472334</v>
      </c>
      <c r="N43" s="272">
        <v>3085.6860396795687</v>
      </c>
      <c r="O43" s="272">
        <v>3107.1595751000564</v>
      </c>
      <c r="P43" s="272">
        <v>3129.7209933027643</v>
      </c>
      <c r="Q43" s="272">
        <v>3153.252994301848</v>
      </c>
      <c r="R43" s="272">
        <v>3176.8088958230005</v>
      </c>
      <c r="S43" s="272">
        <v>3200.0103024416558</v>
      </c>
      <c r="T43" s="272">
        <v>3222.7094206727133</v>
      </c>
      <c r="U43" s="272">
        <v>3238.8229677760764</v>
      </c>
      <c r="V43" s="272">
        <v>0</v>
      </c>
    </row>
    <row r="44" spans="1:22" s="156" customFormat="1">
      <c r="A44" s="271"/>
      <c r="B44" s="271"/>
      <c r="D44" s="273"/>
      <c r="E44" s="274">
        <f>E43/D43-1</f>
        <v>2.2995550718327706E-3</v>
      </c>
      <c r="F44" s="274">
        <f t="shared" ref="F44" si="70">F43/E43-1</f>
        <v>3.0143947738590082E-3</v>
      </c>
      <c r="G44" s="274">
        <f t="shared" ref="G44" si="71">G43/F43-1</f>
        <v>3.665801394737489E-3</v>
      </c>
      <c r="H44" s="274">
        <f t="shared" ref="H44" si="72">H43/G43-1</f>
        <v>5.2997355893809051E-3</v>
      </c>
      <c r="I44" s="274">
        <f t="shared" ref="I44" si="73">I43/H43-1</f>
        <v>5.8005712429343159E-3</v>
      </c>
      <c r="J44" s="274">
        <f t="shared" ref="J44" si="74">J43/I43-1</f>
        <v>6.1817096946010786E-3</v>
      </c>
      <c r="K44" s="274">
        <f t="shared" ref="K44" si="75">K43/J43-1</f>
        <v>6.2017812292394225E-3</v>
      </c>
      <c r="L44" s="274">
        <f t="shared" ref="L44" si="76">L43/K43-1</f>
        <v>6.1567261380450766E-3</v>
      </c>
      <c r="M44" s="274">
        <f t="shared" ref="M44" si="77">M43/L43-1</f>
        <v>6.3467573000708377E-3</v>
      </c>
      <c r="N44" s="274">
        <f t="shared" ref="N44" si="78">N43/M43-1</f>
        <v>6.7280692405333742E-3</v>
      </c>
      <c r="O44" s="274">
        <f t="shared" ref="O44" si="79">O43/N43-1</f>
        <v>6.9590798105687579E-3</v>
      </c>
      <c r="P44" s="274">
        <f t="shared" ref="P44" si="80">P43/O43-1</f>
        <v>7.2611070198997929E-3</v>
      </c>
      <c r="Q44" s="274">
        <f t="shared" ref="Q44" si="81">Q43/P43-1</f>
        <v>7.5188814112949753E-3</v>
      </c>
      <c r="R44" s="274">
        <f t="shared" ref="R44" si="82">R43/Q43-1</f>
        <v>7.4703493705452484E-3</v>
      </c>
      <c r="S44" s="274">
        <f t="shared" ref="S44" si="83">S43/R43-1</f>
        <v>7.3033686883594573E-3</v>
      </c>
      <c r="T44" s="274">
        <f t="shared" ref="T44" si="84">T43/S43-1</f>
        <v>7.0934516097456157E-3</v>
      </c>
      <c r="U44" s="274">
        <f t="shared" ref="U44" si="85">U43/T43-1</f>
        <v>4.9999999999998934E-3</v>
      </c>
      <c r="V44" s="274">
        <f t="shared" ref="V44" si="86">V43/U43-1</f>
        <v>-1</v>
      </c>
    </row>
    <row r="45" spans="1:22" s="156" customFormat="1">
      <c r="A45" s="271" t="s">
        <v>92</v>
      </c>
      <c r="B45" s="269">
        <f>(K45/D45)^(1/($K$42-$D$42))-1</f>
        <v>3.2883729918682381E-3</v>
      </c>
      <c r="C45" s="269">
        <f>(U45/L45)^(1/($U$42-$L$42))-1</f>
        <v>5.7080599260554976E-3</v>
      </c>
      <c r="D45" s="272">
        <v>2899.0341659999999</v>
      </c>
      <c r="E45" s="272">
        <v>2905.6609629999998</v>
      </c>
      <c r="F45" s="272">
        <v>2911.2837749999999</v>
      </c>
      <c r="G45" s="272">
        <v>2920.0966389999999</v>
      </c>
      <c r="H45" s="272">
        <v>2929.345538</v>
      </c>
      <c r="I45" s="272">
        <v>2939.1769730000001</v>
      </c>
      <c r="J45" s="272">
        <v>2952.0410630000001</v>
      </c>
      <c r="K45" s="272">
        <v>2966.4278420000001</v>
      </c>
      <c r="L45" s="272">
        <v>2981.4853159999998</v>
      </c>
      <c r="M45" s="272">
        <v>2996.8935540000002</v>
      </c>
      <c r="N45" s="272">
        <v>3013.306998</v>
      </c>
      <c r="O45" s="272">
        <v>3030.4791719999998</v>
      </c>
      <c r="P45" s="272">
        <v>3048.61249</v>
      </c>
      <c r="Q45" s="272">
        <v>3067.794848</v>
      </c>
      <c r="R45" s="272">
        <v>3086.6614070000001</v>
      </c>
      <c r="S45" s="272">
        <v>3104.91345</v>
      </c>
      <c r="T45" s="272">
        <v>3122.582985</v>
      </c>
      <c r="U45" s="272">
        <v>3138.1959000000002</v>
      </c>
      <c r="V45" s="272">
        <v>0</v>
      </c>
    </row>
    <row r="46" spans="1:22">
      <c r="A46" s="271"/>
      <c r="B46" s="271"/>
      <c r="D46" s="273"/>
      <c r="E46" s="274">
        <f>E45/D45-1</f>
        <v>2.285863712031766E-3</v>
      </c>
      <c r="F46" s="274">
        <f t="shared" ref="F46:V46" si="87">F45/E45-1</f>
        <v>1.9351232203617119E-3</v>
      </c>
      <c r="G46" s="274">
        <f t="shared" si="87"/>
        <v>3.0271401488506378E-3</v>
      </c>
      <c r="H46" s="274">
        <f t="shared" si="87"/>
        <v>3.1673263399829565E-3</v>
      </c>
      <c r="I46" s="274">
        <f t="shared" si="87"/>
        <v>3.3561882244566021E-3</v>
      </c>
      <c r="J46" s="274">
        <f t="shared" si="87"/>
        <v>4.3767660532769703E-3</v>
      </c>
      <c r="K46" s="274">
        <f t="shared" si="87"/>
        <v>4.8735023304111724E-3</v>
      </c>
      <c r="L46" s="274">
        <f t="shared" si="87"/>
        <v>5.0759616623095027E-3</v>
      </c>
      <c r="M46" s="274">
        <f t="shared" si="87"/>
        <v>5.1679738006129572E-3</v>
      </c>
      <c r="N46" s="274">
        <f t="shared" si="87"/>
        <v>5.4768191476446404E-3</v>
      </c>
      <c r="O46" s="274">
        <f t="shared" si="87"/>
        <v>5.6987801148031814E-3</v>
      </c>
      <c r="P46" s="274">
        <f t="shared" si="87"/>
        <v>5.9836471299794525E-3</v>
      </c>
      <c r="Q46" s="274">
        <f t="shared" si="87"/>
        <v>6.2921601426622065E-3</v>
      </c>
      <c r="R46" s="274">
        <f t="shared" si="87"/>
        <v>6.1498763557477076E-3</v>
      </c>
      <c r="S46" s="274">
        <f t="shared" si="87"/>
        <v>5.9131989529552786E-3</v>
      </c>
      <c r="T46" s="274">
        <f t="shared" si="87"/>
        <v>5.6908301260378824E-3</v>
      </c>
      <c r="U46" s="274">
        <f t="shared" si="87"/>
        <v>5.0000000240186804E-3</v>
      </c>
      <c r="V46" s="274">
        <f t="shared" si="87"/>
        <v>-1</v>
      </c>
    </row>
    <row r="47" spans="1:22">
      <c r="A47" s="275" t="s">
        <v>45</v>
      </c>
      <c r="B47" s="275"/>
      <c r="D47" s="276">
        <f>D45-D43</f>
        <v>-31.61273329408732</v>
      </c>
      <c r="E47" s="276">
        <f t="shared" ref="E47:V48" si="88">E45-E43</f>
        <v>-31.725120235110353</v>
      </c>
      <c r="F47" s="276">
        <f t="shared" si="88"/>
        <v>-34.956749493220286</v>
      </c>
      <c r="G47" s="276">
        <f t="shared" si="88"/>
        <v>-36.944218117139826</v>
      </c>
      <c r="H47" s="276">
        <f t="shared" si="88"/>
        <v>-43.366853786856609</v>
      </c>
      <c r="I47" s="276">
        <f t="shared" si="88"/>
        <v>-50.778848800170181</v>
      </c>
      <c r="J47" s="276">
        <f t="shared" si="88"/>
        <v>-56.397797690221068</v>
      </c>
      <c r="K47" s="276">
        <f t="shared" si="88"/>
        <v>-60.668698345763914</v>
      </c>
      <c r="L47" s="276">
        <f t="shared" si="88"/>
        <v>-64.248228738096714</v>
      </c>
      <c r="M47" s="276">
        <f t="shared" si="88"/>
        <v>-68.170522347233145</v>
      </c>
      <c r="N47" s="276">
        <f t="shared" si="88"/>
        <v>-72.379041679568672</v>
      </c>
      <c r="O47" s="276">
        <f t="shared" si="88"/>
        <v>-76.680403100056537</v>
      </c>
      <c r="P47" s="276">
        <f t="shared" si="88"/>
        <v>-81.108503302764348</v>
      </c>
      <c r="Q47" s="276">
        <f t="shared" si="88"/>
        <v>-85.458146301848046</v>
      </c>
      <c r="R47" s="276">
        <f t="shared" si="88"/>
        <v>-90.147488823000458</v>
      </c>
      <c r="S47" s="276">
        <f t="shared" si="88"/>
        <v>-95.096852441655756</v>
      </c>
      <c r="T47" s="276">
        <f t="shared" si="88"/>
        <v>-100.12643567271334</v>
      </c>
      <c r="U47" s="276">
        <f t="shared" si="88"/>
        <v>-100.62706777607627</v>
      </c>
      <c r="V47" s="276">
        <f t="shared" si="88"/>
        <v>0</v>
      </c>
    </row>
    <row r="48" spans="1:22">
      <c r="A48" s="277"/>
      <c r="B48" s="277"/>
      <c r="D48" s="278"/>
      <c r="E48" s="279">
        <f t="shared" si="88"/>
        <v>-1.3691359801004666E-5</v>
      </c>
      <c r="F48" s="279">
        <f t="shared" si="88"/>
        <v>-1.0792715534972963E-3</v>
      </c>
      <c r="G48" s="279">
        <f t="shared" si="88"/>
        <v>-6.3866124588685125E-4</v>
      </c>
      <c r="H48" s="279">
        <f t="shared" si="88"/>
        <v>-2.1324092493979485E-3</v>
      </c>
      <c r="I48" s="279">
        <f t="shared" si="88"/>
        <v>-2.4443830184777138E-3</v>
      </c>
      <c r="J48" s="279">
        <f t="shared" si="88"/>
        <v>-1.8049436413241082E-3</v>
      </c>
      <c r="K48" s="279">
        <f t="shared" si="88"/>
        <v>-1.3282788988282501E-3</v>
      </c>
      <c r="L48" s="279">
        <f t="shared" si="88"/>
        <v>-1.0807644757355739E-3</v>
      </c>
      <c r="M48" s="279">
        <f t="shared" si="88"/>
        <v>-1.1787834994578805E-3</v>
      </c>
      <c r="N48" s="279">
        <f t="shared" si="88"/>
        <v>-1.2512500928887338E-3</v>
      </c>
      <c r="O48" s="279">
        <f t="shared" si="88"/>
        <v>-1.2602996957655765E-3</v>
      </c>
      <c r="P48" s="279">
        <f t="shared" si="88"/>
        <v>-1.2774598899203404E-3</v>
      </c>
      <c r="Q48" s="279">
        <f t="shared" si="88"/>
        <v>-1.2267212686327689E-3</v>
      </c>
      <c r="R48" s="279">
        <f t="shared" si="88"/>
        <v>-1.3204730147975408E-3</v>
      </c>
      <c r="S48" s="279">
        <f t="shared" si="88"/>
        <v>-1.3901697354041787E-3</v>
      </c>
      <c r="T48" s="279">
        <f t="shared" si="88"/>
        <v>-1.4026214837077333E-3</v>
      </c>
      <c r="U48" s="279">
        <f t="shared" si="88"/>
        <v>2.4018786959345562E-11</v>
      </c>
      <c r="V48" s="279">
        <f t="shared" si="88"/>
        <v>0</v>
      </c>
    </row>
    <row r="49" spans="1:31">
      <c r="A49" s="271"/>
      <c r="B49" s="271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</row>
    <row r="50" spans="1:31">
      <c r="A50" s="271" t="s">
        <v>93</v>
      </c>
      <c r="B50" s="269">
        <f>(K50/D50)^(1/($K$42-$D$42))-1</f>
        <v>7.250023084500512E-3</v>
      </c>
      <c r="C50" s="269">
        <f>(U50/L50)^(1/($U$42-$L$42))-1</f>
        <v>6.7166833758749434E-3</v>
      </c>
      <c r="D50" s="272">
        <v>702.69477370081984</v>
      </c>
      <c r="E50" s="272">
        <v>707.94063928155867</v>
      </c>
      <c r="F50" s="272">
        <v>713.36851009831594</v>
      </c>
      <c r="G50" s="272">
        <v>718.76116763534264</v>
      </c>
      <c r="H50" s="272">
        <v>724.06636075705023</v>
      </c>
      <c r="I50" s="272">
        <v>729.26439830287393</v>
      </c>
      <c r="J50" s="272">
        <v>734.21561293225443</v>
      </c>
      <c r="K50" s="272">
        <v>739.14173592246209</v>
      </c>
      <c r="L50" s="272">
        <v>743.88070894643636</v>
      </c>
      <c r="M50" s="272">
        <v>748.47616671344952</v>
      </c>
      <c r="N50" s="272">
        <v>753.03722594812405</v>
      </c>
      <c r="O50" s="272">
        <v>757.92679825005632</v>
      </c>
      <c r="P50" s="272">
        <v>763.31891406973921</v>
      </c>
      <c r="Q50" s="272">
        <v>768.86260516250411</v>
      </c>
      <c r="R50" s="272">
        <v>774.60247807374424</v>
      </c>
      <c r="S50" s="272">
        <v>780.35936106525014</v>
      </c>
      <c r="T50" s="272">
        <v>786.14494642922693</v>
      </c>
      <c r="U50" s="272">
        <v>790.07567116137295</v>
      </c>
      <c r="V50" s="272">
        <v>0</v>
      </c>
    </row>
    <row r="51" spans="1:31">
      <c r="A51" s="271"/>
      <c r="B51" s="271"/>
      <c r="D51" s="273"/>
      <c r="E51" s="274">
        <f>E50/D50-1</f>
        <v>7.4653544854346165E-3</v>
      </c>
      <c r="F51" s="274">
        <f t="shared" ref="F51" si="89">F50/E50-1</f>
        <v>7.6671270380319623E-3</v>
      </c>
      <c r="G51" s="274">
        <f t="shared" ref="G51" si="90">G50/F50-1</f>
        <v>7.559427505825056E-3</v>
      </c>
      <c r="H51" s="274">
        <f t="shared" ref="H51" si="91">H50/G50-1</f>
        <v>7.3810235730473739E-3</v>
      </c>
      <c r="I51" s="274">
        <f t="shared" ref="I51" si="92">I50/H50-1</f>
        <v>7.1789518579330469E-3</v>
      </c>
      <c r="J51" s="274">
        <f t="shared" ref="J51" si="93">J50/I50-1</f>
        <v>6.7893272191852372E-3</v>
      </c>
      <c r="K51" s="274">
        <f t="shared" ref="K51" si="94">K50/J50-1</f>
        <v>6.7093683428143258E-3</v>
      </c>
      <c r="L51" s="274">
        <f t="shared" ref="L51" si="95">L50/K50-1</f>
        <v>6.4114537086177315E-3</v>
      </c>
      <c r="M51" s="274">
        <f t="shared" ref="M51" si="96">M50/L50-1</f>
        <v>6.1776810606122279E-3</v>
      </c>
      <c r="N51" s="274">
        <f t="shared" ref="N51" si="97">N50/M50-1</f>
        <v>6.0937935468301507E-3</v>
      </c>
      <c r="O51" s="274">
        <f t="shared" ref="O51" si="98">O50/N50-1</f>
        <v>6.4931349121233328E-3</v>
      </c>
      <c r="P51" s="274">
        <f t="shared" ref="P51" si="99">P50/O50-1</f>
        <v>7.1142963042505336E-3</v>
      </c>
      <c r="Q51" s="274">
        <f t="shared" ref="Q51" si="100">Q50/P50-1</f>
        <v>7.2626146039116435E-3</v>
      </c>
      <c r="R51" s="274">
        <f t="shared" ref="R51" si="101">R50/Q50-1</f>
        <v>7.4654078280045333E-3</v>
      </c>
      <c r="S51" s="274">
        <f t="shared" ref="S51" si="102">S50/R50-1</f>
        <v>7.4320482498608786E-3</v>
      </c>
      <c r="T51" s="274">
        <f t="shared" ref="T51" si="103">T50/S50-1</f>
        <v>7.4140013596799559E-3</v>
      </c>
      <c r="U51" s="274">
        <f t="shared" ref="U51" si="104">U50/T50-1</f>
        <v>4.9999999999998934E-3</v>
      </c>
      <c r="V51" s="274">
        <f t="shared" ref="V51" si="105">V50/U50-1</f>
        <v>-1</v>
      </c>
    </row>
    <row r="52" spans="1:31">
      <c r="A52" s="271" t="s">
        <v>94</v>
      </c>
      <c r="B52" s="269">
        <f>(K52/D52)^(1/($K$42-$D$42))-1</f>
        <v>7.0841547629489909E-3</v>
      </c>
      <c r="C52" s="269">
        <f>(U52/L52)^(1/($U$42-$L$42))-1</f>
        <v>3.9175205324135653E-3</v>
      </c>
      <c r="D52" s="272">
        <v>681.82606020000003</v>
      </c>
      <c r="E52" s="272">
        <v>686.34345719999999</v>
      </c>
      <c r="F52" s="272">
        <v>691.22979720000001</v>
      </c>
      <c r="G52" s="272">
        <v>696.31736369999999</v>
      </c>
      <c r="H52" s="272">
        <v>701.35840840000003</v>
      </c>
      <c r="I52" s="272">
        <v>706.46988920000001</v>
      </c>
      <c r="J52" s="272">
        <v>711.46150169999999</v>
      </c>
      <c r="K52" s="272">
        <v>716.36430380000002</v>
      </c>
      <c r="L52" s="272">
        <v>721.10874899999999</v>
      </c>
      <c r="M52" s="272">
        <v>725.80598659999998</v>
      </c>
      <c r="N52" s="272">
        <v>730.41520070000001</v>
      </c>
      <c r="O52" s="272">
        <v>734.40930470000001</v>
      </c>
      <c r="P52" s="272">
        <v>736.99404079999999</v>
      </c>
      <c r="Q52" s="272">
        <v>739.31633450000004</v>
      </c>
      <c r="R52" s="272">
        <v>741.27164400000004</v>
      </c>
      <c r="S52" s="272">
        <v>742.75022679999995</v>
      </c>
      <c r="T52" s="272">
        <v>743.95960479999997</v>
      </c>
      <c r="U52" s="272">
        <v>746.93544320000001</v>
      </c>
      <c r="V52" s="272">
        <v>0</v>
      </c>
    </row>
    <row r="53" spans="1:31">
      <c r="A53" s="271"/>
      <c r="B53" s="271"/>
      <c r="D53" s="273"/>
      <c r="E53" s="274">
        <f>E52/D52-1</f>
        <v>6.6254390433169164E-3</v>
      </c>
      <c r="F53" s="274">
        <f t="shared" ref="F53" si="106">F52/E52-1</f>
        <v>7.1193801714586336E-3</v>
      </c>
      <c r="G53" s="274">
        <f t="shared" ref="G53" si="107">G52/F52-1</f>
        <v>7.3601666487881356E-3</v>
      </c>
      <c r="H53" s="274">
        <f t="shared" ref="H53" si="108">H52/G52-1</f>
        <v>7.2395791959194433E-3</v>
      </c>
      <c r="I53" s="274">
        <f t="shared" ref="I53" si="109">I52/H52-1</f>
        <v>7.2879725098908832E-3</v>
      </c>
      <c r="J53" s="274">
        <f t="shared" ref="J53" si="110">J52/I52-1</f>
        <v>7.0655700636477192E-3</v>
      </c>
      <c r="K53" s="274">
        <f t="shared" ref="K53" si="111">K52/J52-1</f>
        <v>6.8911699203471066E-3</v>
      </c>
      <c r="L53" s="274">
        <f t="shared" ref="L53" si="112">L52/K52-1</f>
        <v>6.622950326855781E-3</v>
      </c>
      <c r="M53" s="274">
        <f t="shared" ref="M53" si="113">M52/L52-1</f>
        <v>6.5139101508806529E-3</v>
      </c>
      <c r="N53" s="274">
        <f t="shared" ref="N53" si="114">N52/M52-1</f>
        <v>6.3504768286517521E-3</v>
      </c>
      <c r="O53" s="274">
        <f t="shared" ref="O53" si="115">O52/N52-1</f>
        <v>5.4682651677733229E-3</v>
      </c>
      <c r="P53" s="274">
        <f t="shared" ref="P53" si="116">P52/O52-1</f>
        <v>3.5194762422785519E-3</v>
      </c>
      <c r="Q53" s="274">
        <f t="shared" ref="Q53" si="117">Q52/P52-1</f>
        <v>3.1510345693965824E-3</v>
      </c>
      <c r="R53" s="274">
        <f t="shared" ref="R53" si="118">R52/Q52-1</f>
        <v>2.6447535496727514E-3</v>
      </c>
      <c r="S53" s="274">
        <f t="shared" ref="S53" si="119">S52/R52-1</f>
        <v>1.9946571705093952E-3</v>
      </c>
      <c r="T53" s="274">
        <f t="shared" ref="T53" si="120">T52/S52-1</f>
        <v>1.6282431918066553E-3</v>
      </c>
      <c r="U53" s="274">
        <f t="shared" ref="U53" si="121">U52/T52-1</f>
        <v>3.9999999741922032E-3</v>
      </c>
      <c r="V53" s="274">
        <f t="shared" ref="V53" si="122">V52/U52-1</f>
        <v>-1</v>
      </c>
    </row>
    <row r="54" spans="1:31">
      <c r="A54" s="275" t="s">
        <v>45</v>
      </c>
      <c r="B54" s="275"/>
      <c r="D54" s="276">
        <v>-20.868713500819808</v>
      </c>
      <c r="E54" s="276">
        <f t="shared" ref="E54:V54" si="123">E52-E50</f>
        <v>-21.597182081558685</v>
      </c>
      <c r="F54" s="276">
        <f t="shared" si="123"/>
        <v>-22.13871289831593</v>
      </c>
      <c r="G54" s="276">
        <f t="shared" si="123"/>
        <v>-22.443803935342657</v>
      </c>
      <c r="H54" s="276">
        <f t="shared" si="123"/>
        <v>-22.707952357050203</v>
      </c>
      <c r="I54" s="276">
        <f t="shared" si="123"/>
        <v>-22.794509102873917</v>
      </c>
      <c r="J54" s="276">
        <f t="shared" si="123"/>
        <v>-22.754111232254445</v>
      </c>
      <c r="K54" s="276">
        <f t="shared" si="123"/>
        <v>-22.777432122462073</v>
      </c>
      <c r="L54" s="276">
        <f t="shared" si="123"/>
        <v>-22.771959946436368</v>
      </c>
      <c r="M54" s="276">
        <f t="shared" si="123"/>
        <v>-22.670180113449533</v>
      </c>
      <c r="N54" s="276">
        <f t="shared" si="123"/>
        <v>-22.622025248124032</v>
      </c>
      <c r="O54" s="276">
        <f t="shared" si="123"/>
        <v>-23.517493550056315</v>
      </c>
      <c r="P54" s="276">
        <f t="shared" si="123"/>
        <v>-26.324873269739214</v>
      </c>
      <c r="Q54" s="276">
        <f t="shared" si="123"/>
        <v>-29.546270662504071</v>
      </c>
      <c r="R54" s="276">
        <f t="shared" si="123"/>
        <v>-33.330834073744199</v>
      </c>
      <c r="S54" s="276">
        <f t="shared" si="123"/>
        <v>-37.609134265250191</v>
      </c>
      <c r="T54" s="276">
        <f t="shared" si="123"/>
        <v>-42.185341629226969</v>
      </c>
      <c r="U54" s="276">
        <f t="shared" si="123"/>
        <v>-43.140227961372943</v>
      </c>
      <c r="V54" s="276">
        <f t="shared" si="123"/>
        <v>0</v>
      </c>
    </row>
    <row r="55" spans="1:31">
      <c r="E55" s="279">
        <f t="shared" ref="E55:V55" si="124">E53-E51</f>
        <v>-8.399154421177002E-4</v>
      </c>
      <c r="F55" s="279">
        <f t="shared" si="124"/>
        <v>-5.4774686657332872E-4</v>
      </c>
      <c r="G55" s="279">
        <f t="shared" si="124"/>
        <v>-1.9926085703692031E-4</v>
      </c>
      <c r="H55" s="279">
        <f t="shared" si="124"/>
        <v>-1.4144437712793057E-4</v>
      </c>
      <c r="I55" s="279">
        <f t="shared" si="124"/>
        <v>1.0902065195783628E-4</v>
      </c>
      <c r="J55" s="279">
        <f t="shared" si="124"/>
        <v>2.7624284446248204E-4</v>
      </c>
      <c r="K55" s="279">
        <f t="shared" si="124"/>
        <v>1.8180157753278081E-4</v>
      </c>
      <c r="L55" s="279">
        <f t="shared" si="124"/>
        <v>2.1149661823804955E-4</v>
      </c>
      <c r="M55" s="279">
        <f t="shared" si="124"/>
        <v>3.3622909026842507E-4</v>
      </c>
      <c r="N55" s="279">
        <f t="shared" si="124"/>
        <v>2.5668328182160138E-4</v>
      </c>
      <c r="O55" s="279">
        <f t="shared" si="124"/>
        <v>-1.0248697443500099E-3</v>
      </c>
      <c r="P55" s="279">
        <f t="shared" si="124"/>
        <v>-3.5948200619719817E-3</v>
      </c>
      <c r="Q55" s="279">
        <f t="shared" si="124"/>
        <v>-4.111580034515061E-3</v>
      </c>
      <c r="R55" s="279">
        <f t="shared" si="124"/>
        <v>-4.8206542783317818E-3</v>
      </c>
      <c r="S55" s="279">
        <f t="shared" si="124"/>
        <v>-5.4373910793514835E-3</v>
      </c>
      <c r="T55" s="279">
        <f t="shared" si="124"/>
        <v>-5.7857581678733006E-3</v>
      </c>
      <c r="U55" s="279">
        <f t="shared" si="124"/>
        <v>-1.0000000258076902E-3</v>
      </c>
      <c r="V55" s="279">
        <f t="shared" si="124"/>
        <v>0</v>
      </c>
    </row>
    <row r="57" spans="1:31">
      <c r="A57" s="159"/>
      <c r="B57" s="159"/>
      <c r="C57" s="159" t="s">
        <v>97</v>
      </c>
      <c r="D57" s="159">
        <f t="shared" ref="D57:L57" si="125">E57-1</f>
        <v>2009</v>
      </c>
      <c r="E57" s="159">
        <f t="shared" si="125"/>
        <v>2010</v>
      </c>
      <c r="F57" s="159">
        <f t="shared" si="125"/>
        <v>2011</v>
      </c>
      <c r="G57" s="159">
        <f t="shared" si="125"/>
        <v>2012</v>
      </c>
      <c r="H57" s="159">
        <f t="shared" si="125"/>
        <v>2013</v>
      </c>
      <c r="I57" s="159">
        <f t="shared" si="125"/>
        <v>2014</v>
      </c>
      <c r="J57" s="159">
        <f t="shared" si="125"/>
        <v>2015</v>
      </c>
      <c r="K57" s="159">
        <f t="shared" si="125"/>
        <v>2016</v>
      </c>
      <c r="L57" s="159">
        <f t="shared" si="125"/>
        <v>2017</v>
      </c>
      <c r="M57" s="159">
        <f>D3-1</f>
        <v>2018</v>
      </c>
      <c r="N57" s="159">
        <f>M57+1</f>
        <v>2019</v>
      </c>
      <c r="O57" s="159">
        <f t="shared" ref="O57:AE57" si="126">N57+1</f>
        <v>2020</v>
      </c>
      <c r="P57" s="159">
        <f t="shared" si="126"/>
        <v>2021</v>
      </c>
      <c r="Q57" s="159">
        <f t="shared" si="126"/>
        <v>2022</v>
      </c>
      <c r="R57" s="159">
        <f t="shared" si="126"/>
        <v>2023</v>
      </c>
      <c r="S57" s="159">
        <f t="shared" si="126"/>
        <v>2024</v>
      </c>
      <c r="T57" s="159">
        <f t="shared" si="126"/>
        <v>2025</v>
      </c>
      <c r="U57" s="159">
        <f t="shared" si="126"/>
        <v>2026</v>
      </c>
      <c r="V57" s="159">
        <f t="shared" si="126"/>
        <v>2027</v>
      </c>
      <c r="W57" s="159">
        <f t="shared" si="126"/>
        <v>2028</v>
      </c>
      <c r="X57" s="159">
        <f t="shared" si="126"/>
        <v>2029</v>
      </c>
      <c r="Y57" s="159">
        <f t="shared" si="126"/>
        <v>2030</v>
      </c>
      <c r="Z57" s="159">
        <f t="shared" si="126"/>
        <v>2031</v>
      </c>
      <c r="AA57" s="159">
        <f t="shared" si="126"/>
        <v>2032</v>
      </c>
      <c r="AB57" s="159">
        <f t="shared" si="126"/>
        <v>2033</v>
      </c>
      <c r="AC57" s="159">
        <f t="shared" si="126"/>
        <v>2034</v>
      </c>
      <c r="AD57" s="159">
        <f t="shared" si="126"/>
        <v>2035</v>
      </c>
      <c r="AE57" s="159">
        <f t="shared" si="126"/>
        <v>2036</v>
      </c>
    </row>
    <row r="58" spans="1:31">
      <c r="A58" s="153" t="s">
        <v>96</v>
      </c>
      <c r="C58" s="269">
        <f>(N58/D58)^(1/($N$57-$D$57))-1</f>
        <v>1.2512674240348076E-2</v>
      </c>
      <c r="D58" s="280">
        <f t="array" ref="D58:M58">TRANSPOSE('PAX Data'!D13:D22)</f>
        <v>72279443</v>
      </c>
      <c r="E58" s="280">
        <v>73797524</v>
      </c>
      <c r="F58" s="280">
        <v>76318219</v>
      </c>
      <c r="G58" s="280">
        <v>72477565</v>
      </c>
      <c r="H58" s="280">
        <v>72751921</v>
      </c>
      <c r="I58" s="280">
        <v>73609147</v>
      </c>
      <c r="J58" s="280">
        <v>76463422</v>
      </c>
      <c r="K58" s="280">
        <v>78517133</v>
      </c>
      <c r="L58" s="280">
        <v>81601062</v>
      </c>
      <c r="M58" s="280">
        <v>81569178</v>
      </c>
      <c r="N58" s="281">
        <f>D18</f>
        <v>81850150</v>
      </c>
      <c r="O58" s="281">
        <f t="shared" ref="O58:AE58" si="127">E18</f>
        <v>83977855.070878521</v>
      </c>
      <c r="P58" s="281">
        <f t="shared" si="127"/>
        <v>86622633.778375536</v>
      </c>
      <c r="Q58" s="281">
        <f t="shared" si="127"/>
        <v>87419219.422976032</v>
      </c>
      <c r="R58" s="281">
        <f t="shared" si="127"/>
        <v>87892610.630702496</v>
      </c>
      <c r="S58" s="281">
        <f t="shared" si="127"/>
        <v>89051138.406309426</v>
      </c>
      <c r="T58" s="281">
        <f t="shared" si="127"/>
        <v>89539683.021197513</v>
      </c>
      <c r="U58" s="281">
        <f t="shared" si="127"/>
        <v>90382934.670087844</v>
      </c>
      <c r="V58" s="281">
        <f t="shared" si="127"/>
        <v>91108457.889280349</v>
      </c>
      <c r="W58" s="281">
        <f t="shared" si="127"/>
        <v>92292858.966248691</v>
      </c>
      <c r="X58" s="281">
        <f t="shared" si="127"/>
        <v>93137091.018756405</v>
      </c>
      <c r="Y58" s="281">
        <f t="shared" si="127"/>
        <v>94090219.107149392</v>
      </c>
      <c r="Z58" s="281">
        <f t="shared" si="127"/>
        <v>94993369.708867565</v>
      </c>
      <c r="AA58" s="281">
        <f t="shared" si="127"/>
        <v>96063007.170780867</v>
      </c>
      <c r="AB58" s="281">
        <f t="shared" si="127"/>
        <v>96850722.493176073</v>
      </c>
      <c r="AC58" s="281">
        <f t="shared" si="127"/>
        <v>97509176.304009646</v>
      </c>
      <c r="AD58" s="281">
        <f t="shared" si="127"/>
        <v>98565220.042622417</v>
      </c>
      <c r="AE58" s="281">
        <f t="shared" si="127"/>
        <v>99692936.525943369</v>
      </c>
    </row>
    <row r="59" spans="1:31">
      <c r="D59" s="269"/>
      <c r="E59" s="165">
        <f>E58/D58-1</f>
        <v>2.100294270391645E-2</v>
      </c>
      <c r="F59" s="165">
        <f t="shared" ref="F59:AE59" si="128">F58/E58-1</f>
        <v>3.4156904776371677E-2</v>
      </c>
      <c r="G59" s="165">
        <f t="shared" si="128"/>
        <v>-5.0324208954614091E-2</v>
      </c>
      <c r="H59" s="165">
        <f t="shared" si="128"/>
        <v>3.7853920727055623E-3</v>
      </c>
      <c r="I59" s="165">
        <f t="shared" si="128"/>
        <v>1.178286412533347E-2</v>
      </c>
      <c r="J59" s="165">
        <f t="shared" si="128"/>
        <v>3.8776091237682664E-2</v>
      </c>
      <c r="K59" s="165">
        <f t="shared" si="128"/>
        <v>2.6858737763528318E-2</v>
      </c>
      <c r="L59" s="165">
        <f t="shared" si="128"/>
        <v>3.927714732019072E-2</v>
      </c>
      <c r="M59" s="165">
        <f t="shared" si="128"/>
        <v>-3.9073020887891996E-4</v>
      </c>
      <c r="N59" s="165">
        <f t="shared" si="128"/>
        <v>3.4445854045506152E-3</v>
      </c>
      <c r="O59" s="165">
        <f t="shared" si="128"/>
        <v>2.5995127325710632E-2</v>
      </c>
      <c r="P59" s="165">
        <f t="shared" si="128"/>
        <v>3.1493763507829398E-2</v>
      </c>
      <c r="Q59" s="165">
        <f t="shared" si="128"/>
        <v>9.1960450733761245E-3</v>
      </c>
      <c r="R59" s="165">
        <f t="shared" si="128"/>
        <v>5.415184565261022E-3</v>
      </c>
      <c r="S59" s="165">
        <f t="shared" si="128"/>
        <v>1.3181173790305367E-2</v>
      </c>
      <c r="T59" s="165">
        <f t="shared" si="128"/>
        <v>5.4861130765002653E-3</v>
      </c>
      <c r="U59" s="165">
        <f t="shared" si="128"/>
        <v>9.4176304900555063E-3</v>
      </c>
      <c r="V59" s="165">
        <f t="shared" si="128"/>
        <v>8.0272146710083092E-3</v>
      </c>
      <c r="W59" s="165">
        <f t="shared" si="128"/>
        <v>1.2999902582125689E-2</v>
      </c>
      <c r="X59" s="165">
        <f t="shared" si="128"/>
        <v>9.1473171593530189E-3</v>
      </c>
      <c r="Y59" s="165">
        <f t="shared" si="128"/>
        <v>1.0233603798094126E-2</v>
      </c>
      <c r="Z59" s="165">
        <f t="shared" si="128"/>
        <v>9.598772436587355E-3</v>
      </c>
      <c r="AA59" s="165">
        <f t="shared" si="128"/>
        <v>1.1260127577235046E-2</v>
      </c>
      <c r="AB59" s="165">
        <f t="shared" si="128"/>
        <v>8.1999860882431275E-3</v>
      </c>
      <c r="AC59" s="165">
        <f t="shared" si="128"/>
        <v>6.7986463485594228E-3</v>
      </c>
      <c r="AD59" s="165">
        <f t="shared" si="128"/>
        <v>1.083019853762579E-2</v>
      </c>
      <c r="AE59" s="165">
        <f t="shared" si="128"/>
        <v>1.1441322637268048E-2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F82-1FFB-42C9-8E70-49D0F1B6B389}">
  <dimension ref="A1:XEX18"/>
  <sheetViews>
    <sheetView workbookViewId="0">
      <selection activeCell="J15" sqref="J15"/>
    </sheetView>
  </sheetViews>
  <sheetFormatPr baseColWidth="10" defaultColWidth="8.83203125" defaultRowHeight="15"/>
  <cols>
    <col min="1" max="1" width="36.6640625" style="153" bestFit="1" customWidth="1"/>
    <col min="2" max="2" width="7" bestFit="1" customWidth="1"/>
    <col min="3" max="3" width="8" bestFit="1" customWidth="1"/>
    <col min="4" max="6" width="7" bestFit="1" customWidth="1"/>
    <col min="7" max="7" width="7.6640625" bestFit="1" customWidth="1"/>
    <col min="8" max="8" width="7" bestFit="1" customWidth="1"/>
    <col min="9" max="11" width="7.6640625" bestFit="1" customWidth="1"/>
    <col min="12" max="12" width="7" bestFit="1" customWidth="1"/>
    <col min="13" max="22" width="7.6640625" bestFit="1" customWidth="1"/>
  </cols>
  <sheetData>
    <row r="1" spans="1:29 16378:16378" ht="19">
      <c r="A1" s="196" t="s">
        <v>100</v>
      </c>
    </row>
    <row r="3" spans="1:29 16378:16378" s="180" customFormat="1">
      <c r="A3" s="153" t="s">
        <v>40</v>
      </c>
      <c r="B3" s="179">
        <v>2018</v>
      </c>
      <c r="C3" s="179">
        <v>2019</v>
      </c>
      <c r="D3" s="179">
        <v>2020</v>
      </c>
      <c r="E3" s="179">
        <v>2021</v>
      </c>
      <c r="F3" s="179">
        <v>2022</v>
      </c>
      <c r="G3" s="179">
        <v>2023</v>
      </c>
      <c r="H3" s="179">
        <v>2024</v>
      </c>
      <c r="I3" s="179">
        <v>2025</v>
      </c>
      <c r="J3" s="179">
        <v>2026</v>
      </c>
      <c r="K3" s="179">
        <v>2027</v>
      </c>
      <c r="L3" s="179">
        <v>2028</v>
      </c>
      <c r="M3" s="179">
        <v>2029</v>
      </c>
      <c r="N3" s="179">
        <v>2030</v>
      </c>
      <c r="O3" s="179">
        <v>2031</v>
      </c>
      <c r="P3" s="179">
        <v>2032</v>
      </c>
      <c r="Q3" s="179">
        <v>2033</v>
      </c>
      <c r="R3" s="179">
        <v>2034</v>
      </c>
      <c r="S3" s="179">
        <v>2035</v>
      </c>
      <c r="T3" s="179">
        <v>2036</v>
      </c>
      <c r="U3" s="179">
        <v>2037</v>
      </c>
      <c r="V3" s="179">
        <v>2038</v>
      </c>
      <c r="W3" s="177"/>
      <c r="X3" s="177"/>
      <c r="Y3" s="177"/>
      <c r="Z3" s="177"/>
      <c r="AA3" s="177"/>
      <c r="AB3" s="177"/>
      <c r="AC3" s="177"/>
    </row>
    <row r="4" spans="1:29 16378:16378" s="177" customFormat="1">
      <c r="A4" s="181" t="s">
        <v>3</v>
      </c>
      <c r="B4" s="182">
        <v>273.64690000000002</v>
      </c>
      <c r="C4" s="182">
        <v>278.18900000000002</v>
      </c>
      <c r="D4" s="182">
        <v>283.8528</v>
      </c>
      <c r="E4" s="182">
        <v>289.61900000000003</v>
      </c>
      <c r="F4" s="182">
        <v>295.79180000000002</v>
      </c>
      <c r="G4" s="182">
        <v>302.14980000000003</v>
      </c>
      <c r="H4" s="182">
        <v>308.64620000000002</v>
      </c>
      <c r="I4" s="182">
        <v>315.34039999999999</v>
      </c>
      <c r="J4" s="182">
        <v>322.19130000000001</v>
      </c>
      <c r="K4" s="182">
        <v>329.16449999999998</v>
      </c>
      <c r="L4" s="182">
        <v>336.28480000000002</v>
      </c>
      <c r="M4" s="182">
        <v>343.5181</v>
      </c>
      <c r="N4" s="182">
        <v>350.95499999999998</v>
      </c>
      <c r="O4" s="182">
        <v>358.58699999999999</v>
      </c>
      <c r="P4" s="182">
        <v>366.3845</v>
      </c>
      <c r="Q4" s="182">
        <v>374.33859999999999</v>
      </c>
      <c r="R4" s="182">
        <v>382.45690000000002</v>
      </c>
      <c r="S4" s="182">
        <v>390.76760000000002</v>
      </c>
      <c r="T4" s="182">
        <v>399.25647707484239</v>
      </c>
      <c r="U4" s="182">
        <v>407.92976307711837</v>
      </c>
      <c r="V4" s="182">
        <v>416.79146403167869</v>
      </c>
    </row>
    <row r="5" spans="1:29 16378:16378" s="185" customFormat="1">
      <c r="A5" s="183" t="s">
        <v>41</v>
      </c>
      <c r="B5" s="184"/>
      <c r="C5" s="184">
        <f>C4/B4-1</f>
        <v>1.6598397423833511E-2</v>
      </c>
      <c r="D5" s="184">
        <f t="shared" ref="D5:V5" si="0">D4/C4-1</f>
        <v>2.0359539737372812E-2</v>
      </c>
      <c r="E5" s="184">
        <f t="shared" si="0"/>
        <v>2.0314050099206504E-2</v>
      </c>
      <c r="F5" s="184">
        <f t="shared" si="0"/>
        <v>2.1313518795382791E-2</v>
      </c>
      <c r="G5" s="184">
        <f t="shared" si="0"/>
        <v>2.1494848741581141E-2</v>
      </c>
      <c r="H5" s="184">
        <f t="shared" si="0"/>
        <v>2.1500593414260027E-2</v>
      </c>
      <c r="I5" s="184">
        <f t="shared" si="0"/>
        <v>2.1688911122184518E-2</v>
      </c>
      <c r="J5" s="184">
        <f t="shared" si="0"/>
        <v>2.1725411650394433E-2</v>
      </c>
      <c r="K5" s="184">
        <f t="shared" si="0"/>
        <v>2.1643042503009635E-2</v>
      </c>
      <c r="L5" s="184">
        <f t="shared" si="0"/>
        <v>2.1631433523360055E-2</v>
      </c>
      <c r="M5" s="184">
        <f t="shared" si="0"/>
        <v>2.1509446754655492E-2</v>
      </c>
      <c r="N5" s="184">
        <f t="shared" si="0"/>
        <v>2.1649223141371632E-2</v>
      </c>
      <c r="O5" s="184">
        <f t="shared" si="0"/>
        <v>2.1746377740736067E-2</v>
      </c>
      <c r="P5" s="184">
        <f t="shared" si="0"/>
        <v>2.1745071628363588E-2</v>
      </c>
      <c r="Q5" s="184">
        <f t="shared" si="0"/>
        <v>2.1709706606038104E-2</v>
      </c>
      <c r="R5" s="184">
        <f t="shared" si="0"/>
        <v>2.1687050173292421E-2</v>
      </c>
      <c r="S5" s="184">
        <f t="shared" si="0"/>
        <v>2.1729768766101554E-2</v>
      </c>
      <c r="T5" s="184">
        <f t="shared" si="0"/>
        <v>2.1723594982906436E-2</v>
      </c>
      <c r="U5" s="184">
        <f t="shared" si="0"/>
        <v>2.1723594982906436E-2</v>
      </c>
      <c r="V5" s="184">
        <f t="shared" si="0"/>
        <v>2.1723594982906436E-2</v>
      </c>
    </row>
    <row r="6" spans="1:29 16378:16378" s="177" customFormat="1">
      <c r="A6" s="181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1"/>
      <c r="V6" s="181"/>
    </row>
    <row r="7" spans="1:29 16378:16378" s="153" customFormat="1">
      <c r="A7" s="183" t="s">
        <v>42</v>
      </c>
      <c r="B7" s="197">
        <v>2.75</v>
      </c>
      <c r="C7" s="288">
        <f t="shared" ref="C7:V7" si="1">IF(C8&gt;(B7+0.25),B7+0.25,B7)</f>
        <v>2.75</v>
      </c>
      <c r="D7" s="288">
        <f t="shared" si="1"/>
        <v>2.75</v>
      </c>
      <c r="E7" s="197">
        <f t="shared" si="1"/>
        <v>2.75</v>
      </c>
      <c r="F7" s="197">
        <f t="shared" si="1"/>
        <v>2.75</v>
      </c>
      <c r="G7" s="197">
        <f t="shared" si="1"/>
        <v>2.75</v>
      </c>
      <c r="H7" s="287">
        <f t="shared" si="1"/>
        <v>3</v>
      </c>
      <c r="I7" s="288">
        <f t="shared" si="1"/>
        <v>3</v>
      </c>
      <c r="J7" s="288">
        <f t="shared" si="1"/>
        <v>3</v>
      </c>
      <c r="K7" s="288">
        <f t="shared" si="1"/>
        <v>3</v>
      </c>
      <c r="L7" s="287">
        <f t="shared" si="1"/>
        <v>3.25</v>
      </c>
      <c r="M7" s="288">
        <f t="shared" si="1"/>
        <v>3.25</v>
      </c>
      <c r="N7" s="288">
        <f t="shared" si="1"/>
        <v>3.25</v>
      </c>
      <c r="O7" s="288">
        <f t="shared" si="1"/>
        <v>3.25</v>
      </c>
      <c r="P7" s="287">
        <f t="shared" si="1"/>
        <v>3.5</v>
      </c>
      <c r="Q7" s="288">
        <f t="shared" si="1"/>
        <v>3.5</v>
      </c>
      <c r="R7" s="288">
        <f t="shared" si="1"/>
        <v>3.5</v>
      </c>
      <c r="S7" s="288">
        <f t="shared" si="1"/>
        <v>3.5</v>
      </c>
      <c r="T7" s="287">
        <f t="shared" si="1"/>
        <v>3.75</v>
      </c>
      <c r="U7" s="288">
        <f t="shared" si="1"/>
        <v>3.75</v>
      </c>
      <c r="V7" s="289">
        <f t="shared" si="1"/>
        <v>3.75</v>
      </c>
    </row>
    <row r="8" spans="1:29 16378:16378" s="185" customFormat="1">
      <c r="A8" s="187"/>
      <c r="B8" s="188"/>
      <c r="C8" s="188"/>
      <c r="D8" s="290">
        <f>C7+(C7*D5)</f>
        <v>2.8059887342777752</v>
      </c>
      <c r="E8" s="291">
        <f>D8+(D8*E5)</f>
        <v>2.862989730003703</v>
      </c>
      <c r="F8" s="291">
        <f t="shared" ref="F8:V8" si="2">E8+(E8*F5)</f>
        <v>2.924010115425125</v>
      </c>
      <c r="G8" s="291">
        <f t="shared" si="2"/>
        <v>2.9868612705750412</v>
      </c>
      <c r="H8" s="291">
        <f t="shared" si="2"/>
        <v>3.0510805603384754</v>
      </c>
      <c r="I8" s="290">
        <f>H7+(H7*I5)</f>
        <v>3.0650667333665536</v>
      </c>
      <c r="J8" s="291">
        <f t="shared" si="2"/>
        <v>3.1316565698848717</v>
      </c>
      <c r="K8" s="291">
        <f t="shared" si="2"/>
        <v>3.1994351461317194</v>
      </c>
      <c r="L8" s="291">
        <f t="shared" si="2"/>
        <v>3.2686435148075694</v>
      </c>
      <c r="M8" s="290">
        <f>L7+(L7*M5)</f>
        <v>3.3199057019526306</v>
      </c>
      <c r="N8" s="291">
        <f t="shared" si="2"/>
        <v>3.391779081302515</v>
      </c>
      <c r="O8" s="291">
        <f t="shared" si="2"/>
        <v>3.4655379904176464</v>
      </c>
      <c r="P8" s="291">
        <f t="shared" si="2"/>
        <v>3.5408963622500935</v>
      </c>
      <c r="Q8" s="290">
        <f>P7+(P7*Q5)</f>
        <v>3.5759839731211334</v>
      </c>
      <c r="R8" s="291">
        <f t="shared" si="2"/>
        <v>3.6535365169651008</v>
      </c>
      <c r="S8" s="291">
        <f t="shared" si="2"/>
        <v>3.7329270206572605</v>
      </c>
      <c r="T8" s="291">
        <f t="shared" si="2"/>
        <v>3.8140196153547663</v>
      </c>
      <c r="U8" s="291">
        <f t="shared" si="2"/>
        <v>3.8968738327355936</v>
      </c>
      <c r="V8" s="291">
        <f t="shared" si="2"/>
        <v>3.9815279415774278</v>
      </c>
      <c r="XEX8" s="189"/>
    </row>
    <row r="10" spans="1:29 16378:16378" s="153" customFormat="1">
      <c r="A10" s="181" t="s">
        <v>43</v>
      </c>
      <c r="B10" s="197">
        <v>2.5770660844458328</v>
      </c>
      <c r="C10" s="197">
        <f>B10*(4/12)+C7*(8/12)</f>
        <v>2.692355361481944</v>
      </c>
      <c r="D10" s="197">
        <f t="shared" ref="D10:V10" si="3">D7</f>
        <v>2.75</v>
      </c>
      <c r="E10" s="197">
        <f t="shared" si="3"/>
        <v>2.75</v>
      </c>
      <c r="F10" s="197">
        <f t="shared" si="3"/>
        <v>2.75</v>
      </c>
      <c r="G10" s="197">
        <f t="shared" si="3"/>
        <v>2.75</v>
      </c>
      <c r="H10" s="287">
        <f t="shared" si="3"/>
        <v>3</v>
      </c>
      <c r="I10" s="197">
        <f t="shared" si="3"/>
        <v>3</v>
      </c>
      <c r="J10" s="197">
        <f t="shared" si="3"/>
        <v>3</v>
      </c>
      <c r="K10" s="197">
        <f t="shared" si="3"/>
        <v>3</v>
      </c>
      <c r="L10" s="287">
        <f t="shared" si="3"/>
        <v>3.25</v>
      </c>
      <c r="M10" s="197">
        <f t="shared" si="3"/>
        <v>3.25</v>
      </c>
      <c r="N10" s="197">
        <f t="shared" si="3"/>
        <v>3.25</v>
      </c>
      <c r="O10" s="197">
        <f t="shared" si="3"/>
        <v>3.25</v>
      </c>
      <c r="P10" s="287">
        <f t="shared" si="3"/>
        <v>3.5</v>
      </c>
      <c r="Q10" s="197">
        <f t="shared" si="3"/>
        <v>3.5</v>
      </c>
      <c r="R10" s="197">
        <f t="shared" si="3"/>
        <v>3.5</v>
      </c>
      <c r="S10" s="197">
        <f t="shared" si="3"/>
        <v>3.5</v>
      </c>
      <c r="T10" s="287">
        <f t="shared" si="3"/>
        <v>3.75</v>
      </c>
      <c r="U10" s="197">
        <f t="shared" si="3"/>
        <v>3.75</v>
      </c>
      <c r="V10" s="197">
        <f t="shared" si="3"/>
        <v>3.75</v>
      </c>
    </row>
    <row r="11" spans="1:29 16378:16378"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 spans="1:29 16378:16378" s="192" customFormat="1">
      <c r="A12" s="183" t="s">
        <v>44</v>
      </c>
      <c r="B12" s="184"/>
      <c r="C12" s="184">
        <f t="shared" ref="C12:V12" si="4">C7/B7-1</f>
        <v>0</v>
      </c>
      <c r="D12" s="184">
        <f t="shared" si="4"/>
        <v>0</v>
      </c>
      <c r="E12" s="184">
        <f t="shared" si="4"/>
        <v>0</v>
      </c>
      <c r="F12" s="184">
        <f t="shared" si="4"/>
        <v>0</v>
      </c>
      <c r="G12" s="184">
        <f t="shared" si="4"/>
        <v>0</v>
      </c>
      <c r="H12" s="191">
        <f t="shared" si="4"/>
        <v>9.0909090909090828E-2</v>
      </c>
      <c r="I12" s="184">
        <f t="shared" si="4"/>
        <v>0</v>
      </c>
      <c r="J12" s="184">
        <f t="shared" si="4"/>
        <v>0</v>
      </c>
      <c r="K12" s="184">
        <f t="shared" si="4"/>
        <v>0</v>
      </c>
      <c r="L12" s="191">
        <f t="shared" si="4"/>
        <v>8.3333333333333259E-2</v>
      </c>
      <c r="M12" s="184">
        <f t="shared" si="4"/>
        <v>0</v>
      </c>
      <c r="N12" s="184">
        <f t="shared" si="4"/>
        <v>0</v>
      </c>
      <c r="O12" s="184">
        <f t="shared" si="4"/>
        <v>0</v>
      </c>
      <c r="P12" s="191">
        <f t="shared" si="4"/>
        <v>7.6923076923076872E-2</v>
      </c>
      <c r="Q12" s="184">
        <f t="shared" si="4"/>
        <v>0</v>
      </c>
      <c r="R12" s="184">
        <f t="shared" si="4"/>
        <v>0</v>
      </c>
      <c r="S12" s="184">
        <f t="shared" si="4"/>
        <v>0</v>
      </c>
      <c r="T12" s="191">
        <f t="shared" si="4"/>
        <v>7.1428571428571397E-2</v>
      </c>
      <c r="U12" s="184">
        <f t="shared" si="4"/>
        <v>0</v>
      </c>
      <c r="V12" s="184">
        <f t="shared" si="4"/>
        <v>0</v>
      </c>
    </row>
    <row r="13" spans="1:29 16378:16378" ht="16" thickBot="1">
      <c r="B13" s="190"/>
      <c r="C13" s="193"/>
      <c r="D13" s="193"/>
      <c r="E13" s="190"/>
      <c r="G13" s="193"/>
      <c r="H13" s="194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</row>
    <row r="14" spans="1:29 16378:16378" s="153" customFormat="1" ht="16" thickBot="1">
      <c r="A14" s="261" t="s">
        <v>102</v>
      </c>
      <c r="B14" s="282">
        <v>2.130930038707862</v>
      </c>
      <c r="C14" s="262">
        <f>B14*(10/12)+2.5*(2/12)</f>
        <v>2.1924416989232185</v>
      </c>
      <c r="D14" s="262">
        <f>2.5*(10/12)+2.6*(2/12)</f>
        <v>2.5166666666666666</v>
      </c>
      <c r="E14" s="283">
        <v>2.6</v>
      </c>
      <c r="F14" s="283">
        <v>2.6</v>
      </c>
      <c r="G14" s="283">
        <v>2.6</v>
      </c>
      <c r="H14" s="262">
        <f t="shared" ref="H14:O14" si="5">ROUND(G14*(1+H12),1)</f>
        <v>2.8</v>
      </c>
      <c r="I14" s="283">
        <f t="shared" si="5"/>
        <v>2.8</v>
      </c>
      <c r="J14" s="283">
        <f t="shared" si="5"/>
        <v>2.8</v>
      </c>
      <c r="K14" s="283">
        <f t="shared" si="5"/>
        <v>2.8</v>
      </c>
      <c r="L14" s="262">
        <f t="shared" si="5"/>
        <v>3</v>
      </c>
      <c r="M14" s="283">
        <f t="shared" si="5"/>
        <v>3</v>
      </c>
      <c r="N14" s="283">
        <f t="shared" si="5"/>
        <v>3</v>
      </c>
      <c r="O14" s="283">
        <f t="shared" si="5"/>
        <v>3</v>
      </c>
      <c r="P14" s="262">
        <f>ROUND(O14*(1+P12),1)</f>
        <v>3.2</v>
      </c>
      <c r="Q14" s="283">
        <f t="shared" ref="Q14:V14" si="6">ROUND(P14*(1+Q12),1)</f>
        <v>3.2</v>
      </c>
      <c r="R14" s="283">
        <f t="shared" si="6"/>
        <v>3.2</v>
      </c>
      <c r="S14" s="283">
        <f t="shared" si="6"/>
        <v>3.2</v>
      </c>
      <c r="T14" s="262">
        <f t="shared" si="6"/>
        <v>3.4</v>
      </c>
      <c r="U14" s="283">
        <f t="shared" si="6"/>
        <v>3.4</v>
      </c>
      <c r="V14" s="284">
        <f t="shared" si="6"/>
        <v>3.4</v>
      </c>
    </row>
    <row r="15" spans="1:29 16378:16378" ht="16" thickBot="1"/>
    <row r="16" spans="1:29 16378:16378" s="153" customFormat="1" ht="16" thickBot="1">
      <c r="A16" s="263" t="s">
        <v>101</v>
      </c>
      <c r="B16" s="264"/>
      <c r="C16" s="285">
        <f>'PATH Submitted Revenue'!D30</f>
        <v>2.1944853044300885</v>
      </c>
      <c r="D16" s="285">
        <f>'PATH Submitted Revenue'!E30</f>
        <v>2.5288581216552601</v>
      </c>
      <c r="E16" s="285">
        <f>'PATH Submitted Revenue'!F30</f>
        <v>2.57690642596671</v>
      </c>
      <c r="F16" s="285">
        <f>'PATH Submitted Revenue'!G30</f>
        <v>2.6258676480600776</v>
      </c>
      <c r="G16" s="285">
        <f>'PATH Submitted Revenue'!H30</f>
        <v>2.6757591333732189</v>
      </c>
      <c r="H16" s="285">
        <f>'PATH Submitted Revenue'!I30</f>
        <v>2.7265985569073101</v>
      </c>
      <c r="I16" s="285">
        <f>'PATH Submitted Revenue'!J30</f>
        <v>2.7784039294885492</v>
      </c>
      <c r="J16" s="285">
        <f>'PATH Submitted Revenue'!K30</f>
        <v>2.8311936041488317</v>
      </c>
      <c r="K16" s="285">
        <f>'PATH Submitted Revenue'!L30</f>
        <v>2.8849862826276595</v>
      </c>
      <c r="L16" s="285">
        <f>'PATH Submitted Revenue'!M30</f>
        <v>2.9398010219975852</v>
      </c>
      <c r="M16" s="285">
        <f>'PATH Submitted Revenue'!N30</f>
        <v>2.9956572414155391</v>
      </c>
      <c r="N16" s="285">
        <f>'PATH Submitted Revenue'!O30</f>
        <v>3.0525747290024343</v>
      </c>
      <c r="O16" s="285">
        <f>'PATH Submitted Revenue'!P30</f>
        <v>3.1105736488534808</v>
      </c>
      <c r="P16" s="285">
        <f>'PATH Submitted Revenue'!Q30</f>
        <v>3.169674548181697</v>
      </c>
      <c r="Q16" s="285">
        <f>'PATH Submitted Revenue'!R30</f>
        <v>3.2298983645971493</v>
      </c>
      <c r="R16" s="285">
        <f>'PATH Submitted Revenue'!S30</f>
        <v>3.2912664335244952</v>
      </c>
      <c r="S16" s="285">
        <f>'PATH Submitted Revenue'!T30</f>
        <v>3.3538004957614604</v>
      </c>
      <c r="T16" s="285">
        <f>'PATH Submitted Revenue'!U30</f>
        <v>3.4175227051809283</v>
      </c>
      <c r="U16" s="285">
        <f>'PATH Submitted Revenue'!V30</f>
        <v>3.482455636579366</v>
      </c>
      <c r="V16" s="286">
        <f>'PATH Submitted Revenue'!W30</f>
        <v>3.5486222936743741</v>
      </c>
    </row>
    <row r="17" spans="1:22" s="259" customFormat="1">
      <c r="A17" s="258"/>
      <c r="C17" s="260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2">
      <c r="A18" s="195" t="s">
        <v>103</v>
      </c>
      <c r="C18" s="257">
        <f t="shared" ref="C18:V18" si="7">C16-C14</f>
        <v>2.0436055068699943E-3</v>
      </c>
      <c r="D18" s="257">
        <f t="shared" si="7"/>
        <v>1.2191454988593531E-2</v>
      </c>
      <c r="E18" s="257">
        <f t="shared" si="7"/>
        <v>-2.3093574033290043E-2</v>
      </c>
      <c r="F18" s="257">
        <f t="shared" si="7"/>
        <v>2.5867648060077464E-2</v>
      </c>
      <c r="G18" s="257">
        <f t="shared" si="7"/>
        <v>7.5759133373218823E-2</v>
      </c>
      <c r="H18" s="257">
        <f t="shared" si="7"/>
        <v>-7.34014430926897E-2</v>
      </c>
      <c r="I18" s="257">
        <f t="shared" si="7"/>
        <v>-2.1596070511450627E-2</v>
      </c>
      <c r="J18" s="257">
        <f t="shared" si="7"/>
        <v>3.1193604148831877E-2</v>
      </c>
      <c r="K18" s="257">
        <f t="shared" si="7"/>
        <v>8.4986282627659726E-2</v>
      </c>
      <c r="L18" s="257">
        <f t="shared" si="7"/>
        <v>-6.0198978002414805E-2</v>
      </c>
      <c r="M18" s="257">
        <f t="shared" si="7"/>
        <v>-4.3427585844608707E-3</v>
      </c>
      <c r="N18" s="257">
        <f t="shared" si="7"/>
        <v>5.2574729002434317E-2</v>
      </c>
      <c r="O18" s="257">
        <f t="shared" si="7"/>
        <v>0.11057364885348075</v>
      </c>
      <c r="P18" s="257">
        <f t="shared" si="7"/>
        <v>-3.0325451818303151E-2</v>
      </c>
      <c r="Q18" s="257">
        <f t="shared" si="7"/>
        <v>2.9898364597149119E-2</v>
      </c>
      <c r="R18" s="257">
        <f t="shared" si="7"/>
        <v>9.1266433524495039E-2</v>
      </c>
      <c r="S18" s="257">
        <f t="shared" si="7"/>
        <v>0.15380049576146027</v>
      </c>
      <c r="T18" s="257">
        <f t="shared" si="7"/>
        <v>1.7522705180928355E-2</v>
      </c>
      <c r="U18" s="257">
        <f t="shared" si="7"/>
        <v>8.2455636579366054E-2</v>
      </c>
      <c r="V18" s="257">
        <f t="shared" si="7"/>
        <v>0.14862229367437418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889-C03E-4047-80E1-10B432714742}">
  <dimension ref="A1:Y55"/>
  <sheetViews>
    <sheetView workbookViewId="0">
      <pane xSplit="2" ySplit="18" topLeftCell="C19" activePane="bottomRight" state="frozen"/>
      <selection pane="topRight" activeCell="C1" sqref="C1"/>
      <selection pane="bottomLeft" activeCell="A19" sqref="A19"/>
      <selection pane="bottomRight" activeCell="E24" sqref="E24"/>
    </sheetView>
  </sheetViews>
  <sheetFormatPr baseColWidth="10" defaultColWidth="9.33203125" defaultRowHeight="16" outlineLevelRow="1"/>
  <cols>
    <col min="1" max="1" width="32.6640625" style="199" customWidth="1"/>
    <col min="2" max="2" width="1.5" style="199" customWidth="1"/>
    <col min="3" max="3" width="13.1640625" style="199" customWidth="1"/>
    <col min="4" max="5" width="17.83203125" style="199" bestFit="1" customWidth="1"/>
    <col min="6" max="6" width="19.83203125" style="199" customWidth="1"/>
    <col min="7" max="7" width="17.83203125" style="199" bestFit="1" customWidth="1"/>
    <col min="8" max="8" width="11.5" style="199" customWidth="1"/>
    <col min="9" max="21" width="14" style="199" bestFit="1" customWidth="1"/>
    <col min="22" max="22" width="14.5" style="199" bestFit="1" customWidth="1"/>
    <col min="23" max="23" width="14" style="199" bestFit="1" customWidth="1"/>
    <col min="24" max="24" width="9.33203125" style="199"/>
    <col min="25" max="25" width="11.5" style="199" bestFit="1" customWidth="1"/>
    <col min="26" max="16384" width="9.33203125" style="199"/>
  </cols>
  <sheetData>
    <row r="1" spans="1:23" ht="18">
      <c r="A1" s="265" t="s">
        <v>87</v>
      </c>
    </row>
    <row r="2" spans="1:23" hidden="1" outlineLevel="1">
      <c r="A2" s="198" t="s">
        <v>46</v>
      </c>
    </row>
    <row r="3" spans="1:23" hidden="1" outlineLevel="1">
      <c r="A3" s="198" t="s">
        <v>47</v>
      </c>
    </row>
    <row r="4" spans="1:23" hidden="1" outlineLevel="1">
      <c r="A4" s="200">
        <v>43697</v>
      </c>
    </row>
    <row r="5" spans="1:23" hidden="1" outlineLevel="1">
      <c r="A5" s="201" t="s">
        <v>48</v>
      </c>
    </row>
    <row r="6" spans="1:23" hidden="1" outlineLevel="1"/>
    <row r="7" spans="1:23" hidden="1" outlineLevel="1">
      <c r="C7" s="301" t="s">
        <v>49</v>
      </c>
      <c r="D7" s="301"/>
      <c r="E7" s="301"/>
      <c r="F7" s="301"/>
      <c r="G7" s="301"/>
    </row>
    <row r="8" spans="1:23" hidden="1" outlineLevel="1">
      <c r="C8" s="203">
        <v>2019</v>
      </c>
      <c r="D8" s="203">
        <v>2019</v>
      </c>
      <c r="E8" s="203">
        <v>2020</v>
      </c>
      <c r="F8" s="203">
        <v>2021</v>
      </c>
      <c r="G8" s="203">
        <v>2022</v>
      </c>
      <c r="K8" s="202" t="s">
        <v>50</v>
      </c>
      <c r="L8" s="202"/>
      <c r="M8" s="203" t="s">
        <v>51</v>
      </c>
      <c r="N8" s="203" t="s">
        <v>52</v>
      </c>
      <c r="O8" s="203" t="s">
        <v>53</v>
      </c>
      <c r="P8" s="203" t="s">
        <v>54</v>
      </c>
      <c r="Q8" s="203" t="s">
        <v>55</v>
      </c>
      <c r="R8" s="246"/>
      <c r="S8" s="246"/>
      <c r="T8" s="246"/>
    </row>
    <row r="9" spans="1:23" hidden="1" outlineLevel="1">
      <c r="A9" s="204"/>
      <c r="C9" s="205" t="s">
        <v>56</v>
      </c>
      <c r="D9" s="205" t="s">
        <v>57</v>
      </c>
      <c r="E9" s="205" t="s">
        <v>56</v>
      </c>
      <c r="F9" s="205" t="s">
        <v>56</v>
      </c>
      <c r="G9" s="205" t="s">
        <v>56</v>
      </c>
      <c r="K9" s="206" t="s">
        <v>58</v>
      </c>
      <c r="L9" s="206"/>
      <c r="M9" s="201">
        <v>350</v>
      </c>
      <c r="N9" s="201">
        <v>364</v>
      </c>
      <c r="O9" s="201">
        <v>350</v>
      </c>
      <c r="P9" s="201">
        <v>400</v>
      </c>
      <c r="Q9" s="201">
        <v>400</v>
      </c>
      <c r="R9" s="207"/>
      <c r="S9" s="207"/>
      <c r="T9" s="207"/>
      <c r="V9" s="207"/>
      <c r="W9" s="208"/>
    </row>
    <row r="10" spans="1:23" hidden="1" outlineLevel="1">
      <c r="A10" s="201" t="s">
        <v>59</v>
      </c>
      <c r="C10" s="209">
        <v>189667.62300914916</v>
      </c>
      <c r="D10" s="209">
        <v>195539.69060997991</v>
      </c>
      <c r="E10" s="209">
        <v>219474.82071420102</v>
      </c>
      <c r="F10" s="209">
        <v>228843.99265537545</v>
      </c>
      <c r="G10" s="209">
        <v>233475.24552865425</v>
      </c>
      <c r="K10" s="206" t="s">
        <v>60</v>
      </c>
      <c r="L10" s="206"/>
      <c r="M10" s="201">
        <v>900</v>
      </c>
      <c r="N10" s="201">
        <v>844</v>
      </c>
      <c r="O10" s="201">
        <v>900</v>
      </c>
      <c r="P10" s="201">
        <v>830</v>
      </c>
      <c r="Q10" s="201">
        <v>830</v>
      </c>
      <c r="R10" s="210"/>
      <c r="S10" s="210"/>
      <c r="T10" s="210"/>
      <c r="V10" s="207"/>
      <c r="W10" s="208"/>
    </row>
    <row r="11" spans="1:23" ht="17" hidden="1" outlineLevel="1" thickBot="1">
      <c r="A11" s="201" t="s">
        <v>50</v>
      </c>
      <c r="C11" s="211">
        <v>1250</v>
      </c>
      <c r="D11" s="211">
        <v>1208</v>
      </c>
      <c r="E11" s="211">
        <v>1250</v>
      </c>
      <c r="F11" s="211">
        <v>1230</v>
      </c>
      <c r="G11" s="211">
        <v>1230</v>
      </c>
      <c r="M11" s="212">
        <v>1250</v>
      </c>
      <c r="N11" s="212">
        <v>1208</v>
      </c>
      <c r="O11" s="212">
        <v>1250</v>
      </c>
      <c r="P11" s="212">
        <v>1230</v>
      </c>
      <c r="Q11" s="212">
        <v>1230</v>
      </c>
      <c r="R11" s="210"/>
      <c r="S11" s="210"/>
      <c r="T11" s="210"/>
      <c r="V11" s="207"/>
      <c r="W11" s="208"/>
    </row>
    <row r="12" spans="1:23" ht="17" hidden="1" outlineLevel="1" thickTop="1">
      <c r="A12" s="201" t="s">
        <v>61</v>
      </c>
      <c r="C12" s="209">
        <v>190917.62300914916</v>
      </c>
      <c r="D12" s="209">
        <v>196747.69060997991</v>
      </c>
      <c r="E12" s="209">
        <v>220724.82071420102</v>
      </c>
      <c r="F12" s="209">
        <v>230073.99265537545</v>
      </c>
      <c r="G12" s="209">
        <v>234705.24552865425</v>
      </c>
      <c r="Q12" s="213"/>
      <c r="R12" s="213"/>
      <c r="S12" s="213"/>
      <c r="T12" s="213"/>
      <c r="V12" s="214"/>
      <c r="W12" s="215"/>
    </row>
    <row r="13" spans="1:23" hidden="1" outlineLevel="1">
      <c r="A13" s="201"/>
    </row>
    <row r="14" spans="1:23" ht="17" hidden="1" outlineLevel="1" thickBot="1">
      <c r="A14" s="201" t="s">
        <v>62</v>
      </c>
      <c r="C14" s="216">
        <v>81850.149999999994</v>
      </c>
      <c r="D14" s="216">
        <v>81850.149999999994</v>
      </c>
      <c r="E14" s="216">
        <v>83977.855070878519</v>
      </c>
      <c r="F14" s="216">
        <v>86622.63377837553</v>
      </c>
      <c r="G14" s="216">
        <v>87419.219422976035</v>
      </c>
      <c r="V14" s="217"/>
    </row>
    <row r="15" spans="1:23" ht="17" hidden="1" outlineLevel="1" thickTop="1">
      <c r="D15" s="218"/>
    </row>
    <row r="16" spans="1:23" hidden="1" outlineLevel="1">
      <c r="E16" s="219"/>
      <c r="H16" s="220"/>
      <c r="I16" s="219"/>
      <c r="K16" s="220"/>
      <c r="L16" s="219"/>
      <c r="N16" s="220"/>
      <c r="O16" s="219"/>
    </row>
    <row r="17" spans="1:25" hidden="1" outlineLevel="1">
      <c r="H17" s="221"/>
      <c r="K17" s="221"/>
      <c r="N17" s="221"/>
    </row>
    <row r="18" spans="1:25" s="201" customFormat="1" collapsed="1">
      <c r="C18" s="203">
        <v>2019</v>
      </c>
      <c r="D18" s="203">
        <v>2019</v>
      </c>
      <c r="E18" s="203">
        <v>2020</v>
      </c>
      <c r="F18" s="203">
        <v>2021</v>
      </c>
      <c r="G18" s="203">
        <v>2022</v>
      </c>
      <c r="H18" s="203">
        <v>2023</v>
      </c>
      <c r="I18" s="203">
        <v>2024</v>
      </c>
      <c r="J18" s="203">
        <v>2025</v>
      </c>
      <c r="K18" s="203">
        <v>2026</v>
      </c>
      <c r="L18" s="203">
        <v>2027</v>
      </c>
      <c r="M18" s="203">
        <v>2028</v>
      </c>
      <c r="N18" s="203">
        <v>2029</v>
      </c>
      <c r="O18" s="203">
        <v>2030</v>
      </c>
      <c r="P18" s="203">
        <v>2031</v>
      </c>
      <c r="Q18" s="203">
        <v>2032</v>
      </c>
      <c r="R18" s="203">
        <v>2033</v>
      </c>
      <c r="S18" s="203">
        <v>2034</v>
      </c>
      <c r="T18" s="203">
        <v>2035</v>
      </c>
      <c r="U18" s="203">
        <v>2036</v>
      </c>
      <c r="V18" s="203">
        <v>2037</v>
      </c>
      <c r="W18" s="203">
        <v>2038</v>
      </c>
    </row>
    <row r="19" spans="1:25" s="201" customFormat="1">
      <c r="C19" s="205" t="s">
        <v>56</v>
      </c>
      <c r="D19" s="205" t="s">
        <v>63</v>
      </c>
      <c r="E19" s="205" t="s">
        <v>56</v>
      </c>
      <c r="F19" s="205" t="s">
        <v>64</v>
      </c>
      <c r="G19" s="205" t="s">
        <v>64</v>
      </c>
      <c r="H19" s="205" t="s">
        <v>65</v>
      </c>
      <c r="I19" s="205" t="s">
        <v>65</v>
      </c>
      <c r="J19" s="205" t="s">
        <v>65</v>
      </c>
      <c r="K19" s="205" t="s">
        <v>65</v>
      </c>
      <c r="L19" s="205" t="s">
        <v>65</v>
      </c>
      <c r="M19" s="205" t="s">
        <v>65</v>
      </c>
      <c r="N19" s="205" t="s">
        <v>65</v>
      </c>
      <c r="O19" s="205" t="s">
        <v>65</v>
      </c>
      <c r="P19" s="205" t="s">
        <v>65</v>
      </c>
      <c r="Q19" s="205" t="s">
        <v>65</v>
      </c>
      <c r="R19" s="205" t="s">
        <v>65</v>
      </c>
      <c r="S19" s="205" t="s">
        <v>65</v>
      </c>
      <c r="T19" s="205" t="s">
        <v>65</v>
      </c>
      <c r="U19" s="205" t="s">
        <v>65</v>
      </c>
      <c r="V19" s="205" t="s">
        <v>65</v>
      </c>
      <c r="W19" s="205" t="s">
        <v>65</v>
      </c>
    </row>
    <row r="20" spans="1:25" s="201" customFormat="1">
      <c r="A20" s="201" t="s">
        <v>61</v>
      </c>
      <c r="C20" s="209">
        <v>189667.62300914916</v>
      </c>
      <c r="D20" s="209">
        <v>195539.69060997991</v>
      </c>
      <c r="E20" s="209">
        <v>219474.82071420102</v>
      </c>
      <c r="F20" s="209">
        <v>228843.99265537545</v>
      </c>
      <c r="G20" s="209">
        <v>233475.24552865425</v>
      </c>
      <c r="H20" s="209">
        <v>237328.30237702571</v>
      </c>
      <c r="I20" s="209">
        <v>251424.21400260658</v>
      </c>
      <c r="J20" s="209">
        <v>255541.98085477456</v>
      </c>
      <c r="K20" s="209">
        <v>260765.31554419769</v>
      </c>
      <c r="L20" s="209">
        <v>265751.82754447748</v>
      </c>
      <c r="M20" s="209">
        <v>280790.07158561243</v>
      </c>
      <c r="N20" s="209">
        <v>286429.72362095263</v>
      </c>
      <c r="O20" s="209">
        <v>292522.48682673235</v>
      </c>
      <c r="P20" s="209">
        <v>298582.89169156709</v>
      </c>
      <c r="Q20" s="209">
        <v>314244.7253225568</v>
      </c>
      <c r="R20" s="209">
        <v>320264.88162742316</v>
      </c>
      <c r="S20" s="209">
        <v>325974.88188742066</v>
      </c>
      <c r="T20" s="209">
        <v>333143.99322320259</v>
      </c>
      <c r="U20" s="209">
        <v>349992.10551420844</v>
      </c>
      <c r="V20" s="209">
        <v>357294.87367197935</v>
      </c>
      <c r="W20" s="209">
        <v>364781.51068467938</v>
      </c>
      <c r="Y20" s="222"/>
    </row>
    <row r="21" spans="1:25">
      <c r="A21" s="201"/>
      <c r="D21" s="223"/>
      <c r="R21" s="223"/>
      <c r="Y21" s="223"/>
    </row>
    <row r="22" spans="1:25" s="201" customFormat="1">
      <c r="A22" s="201" t="s">
        <v>66</v>
      </c>
      <c r="C22" s="224">
        <v>2.3172544339765921</v>
      </c>
      <c r="D22" s="224">
        <v>2.3889961180276384</v>
      </c>
      <c r="E22" s="224">
        <v>2.6134844778895712</v>
      </c>
      <c r="F22" s="224">
        <v>2.6418498569424016</v>
      </c>
      <c r="G22" s="224">
        <v>2.6707541781972366</v>
      </c>
      <c r="H22" s="224">
        <v>2.7002076815559124</v>
      </c>
      <c r="I22" s="224">
        <v>2.8233688923261728</v>
      </c>
      <c r="J22" s="224">
        <v>2.8539522615271919</v>
      </c>
      <c r="K22" s="224">
        <v>2.8851167147430297</v>
      </c>
      <c r="L22" s="224">
        <v>2.9168732925699681</v>
      </c>
      <c r="M22" s="224">
        <v>3.0423813362233885</v>
      </c>
      <c r="N22" s="224">
        <v>3.0753561281323467</v>
      </c>
      <c r="O22" s="224">
        <v>3.1089574410875742</v>
      </c>
      <c r="P22" s="224">
        <v>3.1431971789889519</v>
      </c>
      <c r="Q22" s="224">
        <v>3.2712355627582252</v>
      </c>
      <c r="R22" s="224">
        <v>3.3067887712452371</v>
      </c>
      <c r="S22" s="224">
        <v>3.3430174906935028</v>
      </c>
      <c r="T22" s="224">
        <v>3.3799345558112854</v>
      </c>
      <c r="U22" s="224">
        <v>3.5107011360140747</v>
      </c>
      <c r="V22" s="224">
        <v>3.5490343766668411</v>
      </c>
      <c r="W22" s="224">
        <v>3.5880959488920086</v>
      </c>
      <c r="Y22" s="222"/>
    </row>
    <row r="23" spans="1:25">
      <c r="A23" s="201"/>
      <c r="R23" s="223"/>
      <c r="Y23" s="223"/>
    </row>
    <row r="24" spans="1:25" ht="17" thickBot="1">
      <c r="A24" s="201" t="s">
        <v>67</v>
      </c>
      <c r="B24" s="201"/>
      <c r="C24" s="216">
        <v>81850.149999999994</v>
      </c>
      <c r="D24" s="216">
        <v>81850.149999999994</v>
      </c>
      <c r="E24" s="216">
        <v>83977.855070878519</v>
      </c>
      <c r="F24" s="216">
        <v>86622.63377837553</v>
      </c>
      <c r="G24" s="216">
        <v>87419.219422976035</v>
      </c>
      <c r="H24" s="216">
        <v>87892.610630702489</v>
      </c>
      <c r="I24" s="216">
        <v>89051.13840630943</v>
      </c>
      <c r="J24" s="216">
        <v>89539.683021197518</v>
      </c>
      <c r="K24" s="216">
        <v>90382.934670087838</v>
      </c>
      <c r="L24" s="216">
        <v>91108.457889280355</v>
      </c>
      <c r="M24" s="216">
        <v>92292.858966248692</v>
      </c>
      <c r="N24" s="216">
        <v>93137.0910187564</v>
      </c>
      <c r="O24" s="216">
        <v>94090.219107149387</v>
      </c>
      <c r="P24" s="216">
        <v>94993.369708867569</v>
      </c>
      <c r="Q24" s="216">
        <v>96063.007170780867</v>
      </c>
      <c r="R24" s="216">
        <v>96850.722493176072</v>
      </c>
      <c r="S24" s="216">
        <v>97509.176304009641</v>
      </c>
      <c r="T24" s="216">
        <v>98565.220042622415</v>
      </c>
      <c r="U24" s="216">
        <v>99692.936525943369</v>
      </c>
      <c r="V24" s="216">
        <v>100673.82723058919</v>
      </c>
      <c r="W24" s="216">
        <v>101664.36903598484</v>
      </c>
      <c r="Y24" s="223"/>
    </row>
    <row r="25" spans="1:25" ht="17" thickTop="1"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R25" s="226"/>
    </row>
    <row r="26" spans="1:25" ht="17" thickBot="1"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spans="1:25" ht="17" thickBot="1">
      <c r="D27" s="304" t="s">
        <v>99</v>
      </c>
      <c r="E27" s="305"/>
      <c r="F27" s="305"/>
      <c r="G27" s="306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</row>
    <row r="28" spans="1:25" s="201" customFormat="1" ht="17" thickBot="1">
      <c r="A28" s="229" t="s">
        <v>68</v>
      </c>
      <c r="H28" s="230"/>
    </row>
    <row r="29" spans="1:25" s="201" customFormat="1" ht="17" thickBot="1">
      <c r="A29" s="201" t="s">
        <v>69</v>
      </c>
      <c r="C29" s="231">
        <v>2.5770660844458328</v>
      </c>
      <c r="D29" s="247">
        <v>2.6699104740692414</v>
      </c>
      <c r="E29" s="232">
        <v>2.75</v>
      </c>
      <c r="F29" s="231">
        <v>2.75</v>
      </c>
      <c r="G29" s="231">
        <v>2.75</v>
      </c>
      <c r="H29" s="231">
        <v>2.75</v>
      </c>
      <c r="I29" s="232">
        <v>3</v>
      </c>
      <c r="J29" s="231">
        <v>3</v>
      </c>
      <c r="K29" s="231">
        <v>3</v>
      </c>
      <c r="L29" s="231">
        <v>3</v>
      </c>
      <c r="M29" s="232">
        <v>3.25</v>
      </c>
      <c r="N29" s="231">
        <v>3.25</v>
      </c>
      <c r="O29" s="231">
        <v>3.25</v>
      </c>
      <c r="P29" s="231">
        <v>3.25</v>
      </c>
      <c r="Q29" s="232">
        <v>3.5</v>
      </c>
      <c r="R29" s="231">
        <v>3.5</v>
      </c>
      <c r="S29" s="231">
        <v>3.5</v>
      </c>
      <c r="T29" s="231">
        <v>3.5</v>
      </c>
      <c r="U29" s="232">
        <v>3.75</v>
      </c>
      <c r="V29" s="231">
        <v>3.75</v>
      </c>
      <c r="W29" s="231">
        <v>3.75</v>
      </c>
    </row>
    <row r="30" spans="1:25" s="201" customFormat="1" ht="17" thickBot="1">
      <c r="A30" s="201" t="s">
        <v>70</v>
      </c>
      <c r="C30" s="231">
        <v>2.130930038707862</v>
      </c>
      <c r="D30" s="233">
        <v>2.1944853044300885</v>
      </c>
      <c r="E30" s="233">
        <v>2.5288581216552601</v>
      </c>
      <c r="F30" s="254">
        <v>2.57690642596671</v>
      </c>
      <c r="G30" s="255">
        <v>2.6258676480600776</v>
      </c>
      <c r="H30" s="255">
        <v>2.6757591333732189</v>
      </c>
      <c r="I30" s="255">
        <v>2.7265985569073101</v>
      </c>
      <c r="J30" s="255">
        <v>2.7784039294885492</v>
      </c>
      <c r="K30" s="255">
        <v>2.8311936041488317</v>
      </c>
      <c r="L30" s="255">
        <v>2.8849862826276595</v>
      </c>
      <c r="M30" s="255">
        <v>2.9398010219975852</v>
      </c>
      <c r="N30" s="255">
        <v>2.9956572414155391</v>
      </c>
      <c r="O30" s="255">
        <v>3.0525747290024343</v>
      </c>
      <c r="P30" s="255">
        <v>3.1105736488534808</v>
      </c>
      <c r="Q30" s="255">
        <v>3.169674548181697</v>
      </c>
      <c r="R30" s="255">
        <v>3.2298983645971493</v>
      </c>
      <c r="S30" s="255">
        <v>3.2912664335244952</v>
      </c>
      <c r="T30" s="255">
        <v>3.3538004957614604</v>
      </c>
      <c r="U30" s="255">
        <v>3.4175227051809283</v>
      </c>
      <c r="V30" s="255">
        <v>3.482455636579366</v>
      </c>
      <c r="W30" s="256">
        <v>3.5486222936743741</v>
      </c>
    </row>
    <row r="31" spans="1:25" s="201" customFormat="1">
      <c r="A31" s="201" t="s">
        <v>71</v>
      </c>
      <c r="C31" s="231">
        <v>2.7422495717453472</v>
      </c>
      <c r="D31" s="231">
        <v>2.7422495717453472</v>
      </c>
      <c r="E31" s="248">
        <v>2.5704653170596177</v>
      </c>
      <c r="F31" s="249">
        <v>2.5704653170596177</v>
      </c>
      <c r="G31" s="249">
        <v>2.5704653170596177</v>
      </c>
      <c r="H31" s="249">
        <v>2.5704653170596177</v>
      </c>
      <c r="I31" s="249">
        <v>2.5704653170596177</v>
      </c>
      <c r="J31" s="249">
        <v>2.5704653170596177</v>
      </c>
      <c r="K31" s="249">
        <v>2.5704653170596177</v>
      </c>
      <c r="L31" s="249">
        <v>2.5704653170596177</v>
      </c>
      <c r="M31" s="249">
        <v>2.5704653170596177</v>
      </c>
      <c r="N31" s="249">
        <v>2.5704653170596177</v>
      </c>
      <c r="O31" s="249">
        <v>2.5704653170596177</v>
      </c>
      <c r="P31" s="249">
        <v>2.5704653170596177</v>
      </c>
      <c r="Q31" s="249">
        <v>2.5704653170596177</v>
      </c>
      <c r="R31" s="249">
        <v>2.5704653170596177</v>
      </c>
      <c r="S31" s="249">
        <v>2.5704653170596177</v>
      </c>
      <c r="T31" s="249">
        <v>2.5704653170596177</v>
      </c>
      <c r="U31" s="249">
        <v>2.5704653170596177</v>
      </c>
      <c r="V31" s="249">
        <v>2.5704653170596177</v>
      </c>
      <c r="W31" s="250">
        <v>2.5704653170596177</v>
      </c>
    </row>
    <row r="32" spans="1:25" s="201" customFormat="1" ht="17" thickBot="1">
      <c r="A32" s="201" t="s">
        <v>72</v>
      </c>
      <c r="C32" s="231">
        <v>2.75</v>
      </c>
      <c r="D32" s="231">
        <v>2.75</v>
      </c>
      <c r="E32" s="251">
        <v>2.6447568091505178</v>
      </c>
      <c r="F32" s="252">
        <v>2.6447568091505178</v>
      </c>
      <c r="G32" s="252">
        <v>2.6447568091505178</v>
      </c>
      <c r="H32" s="252">
        <v>2.6447568091505178</v>
      </c>
      <c r="I32" s="252">
        <v>2.6447568091505178</v>
      </c>
      <c r="J32" s="252">
        <v>2.6447568091505178</v>
      </c>
      <c r="K32" s="252">
        <v>2.6447568091505178</v>
      </c>
      <c r="L32" s="252">
        <v>2.6447568091505178</v>
      </c>
      <c r="M32" s="252">
        <v>2.6447568091505178</v>
      </c>
      <c r="N32" s="252">
        <v>2.6447568091505178</v>
      </c>
      <c r="O32" s="252">
        <v>2.6447568091505178</v>
      </c>
      <c r="P32" s="252">
        <v>2.6447568091505178</v>
      </c>
      <c r="Q32" s="252">
        <v>2.6447568091505178</v>
      </c>
      <c r="R32" s="252">
        <v>2.6447568091505178</v>
      </c>
      <c r="S32" s="252">
        <v>2.6447568091505178</v>
      </c>
      <c r="T32" s="252">
        <v>2.6447568091505178</v>
      </c>
      <c r="U32" s="252">
        <v>2.6447568091505178</v>
      </c>
      <c r="V32" s="252">
        <v>2.6447568091505178</v>
      </c>
      <c r="W32" s="253">
        <v>2.6447568091505178</v>
      </c>
    </row>
    <row r="33" spans="1:23">
      <c r="E33" s="221"/>
      <c r="F33" s="221"/>
      <c r="G33" s="221"/>
      <c r="H33" s="221"/>
    </row>
    <row r="34" spans="1:23" s="201" customFormat="1">
      <c r="A34" s="229" t="s">
        <v>73</v>
      </c>
      <c r="E34" s="230"/>
      <c r="F34" s="230"/>
      <c r="G34" s="230"/>
      <c r="H34" s="230"/>
    </row>
    <row r="35" spans="1:23" s="201" customFormat="1">
      <c r="A35" s="201" t="s">
        <v>69</v>
      </c>
      <c r="C35" s="234">
        <v>0.36406253183562626</v>
      </c>
      <c r="D35" s="234">
        <v>0.36406253183562626</v>
      </c>
      <c r="E35" s="234">
        <v>0.3725923633910791</v>
      </c>
      <c r="F35" s="234">
        <v>0.3725923633910791</v>
      </c>
      <c r="G35" s="234">
        <v>0.3725923633910791</v>
      </c>
      <c r="H35" s="234">
        <v>0.3725923633910791</v>
      </c>
      <c r="I35" s="234">
        <v>0.3725923633910791</v>
      </c>
      <c r="J35" s="234">
        <v>0.3725923633910791</v>
      </c>
      <c r="K35" s="234">
        <v>0.3725923633910791</v>
      </c>
      <c r="L35" s="234">
        <v>0.3725923633910791</v>
      </c>
      <c r="M35" s="234">
        <v>0.3725923633910791</v>
      </c>
      <c r="N35" s="234">
        <v>0.3725923633910791</v>
      </c>
      <c r="O35" s="234">
        <v>0.3725923633910791</v>
      </c>
      <c r="P35" s="234">
        <v>0.3725923633910791</v>
      </c>
      <c r="Q35" s="234">
        <v>0.3725923633910791</v>
      </c>
      <c r="R35" s="234">
        <v>0.3725923633910791</v>
      </c>
      <c r="S35" s="234">
        <v>0.3725923633910791</v>
      </c>
      <c r="T35" s="234">
        <v>0.3725923633910791</v>
      </c>
      <c r="U35" s="234">
        <v>0.3725923633910791</v>
      </c>
      <c r="V35" s="234">
        <v>0.3725923633910791</v>
      </c>
      <c r="W35" s="234">
        <v>0.3725923633910791</v>
      </c>
    </row>
    <row r="36" spans="1:23" s="201" customFormat="1">
      <c r="A36" s="201" t="s">
        <v>70</v>
      </c>
      <c r="C36" s="234">
        <v>0.5969689539783597</v>
      </c>
      <c r="D36" s="234">
        <v>0.5969689539783597</v>
      </c>
      <c r="E36" s="234">
        <v>0.59035130290895832</v>
      </c>
      <c r="F36" s="234">
        <v>0.59035130290895832</v>
      </c>
      <c r="G36" s="234">
        <v>0.59035130290895832</v>
      </c>
      <c r="H36" s="234">
        <v>0.59035130290895832</v>
      </c>
      <c r="I36" s="234">
        <v>0.59035130290895832</v>
      </c>
      <c r="J36" s="234">
        <v>0.59035130290895832</v>
      </c>
      <c r="K36" s="234">
        <v>0.59035130290895832</v>
      </c>
      <c r="L36" s="234">
        <v>0.59035130290895832</v>
      </c>
      <c r="M36" s="234">
        <v>0.59035130290895832</v>
      </c>
      <c r="N36" s="234">
        <v>0.59035130290895832</v>
      </c>
      <c r="O36" s="234">
        <v>0.59035130290895832</v>
      </c>
      <c r="P36" s="234">
        <v>0.59035130290895832</v>
      </c>
      <c r="Q36" s="234">
        <v>0.59035130290895832</v>
      </c>
      <c r="R36" s="234">
        <v>0.59035130290895832</v>
      </c>
      <c r="S36" s="234">
        <v>0.59035130290895832</v>
      </c>
      <c r="T36" s="234">
        <v>0.59035130290895832</v>
      </c>
      <c r="U36" s="234">
        <v>0.59035130290895832</v>
      </c>
      <c r="V36" s="234">
        <v>0.59035130290895832</v>
      </c>
      <c r="W36" s="234">
        <v>0.59035130290895832</v>
      </c>
    </row>
    <row r="37" spans="1:23" s="201" customFormat="1">
      <c r="A37" s="201" t="s">
        <v>71</v>
      </c>
      <c r="C37" s="234">
        <v>2.8548055313567022E-2</v>
      </c>
      <c r="D37" s="234">
        <v>2.8548055313567022E-2</v>
      </c>
      <c r="E37" s="234">
        <v>2.7785137221154201E-2</v>
      </c>
      <c r="F37" s="234">
        <v>2.7785137221154201E-2</v>
      </c>
      <c r="G37" s="234">
        <v>2.7785137221154201E-2</v>
      </c>
      <c r="H37" s="234">
        <v>2.7785137221154201E-2</v>
      </c>
      <c r="I37" s="234">
        <v>2.7785137221154201E-2</v>
      </c>
      <c r="J37" s="234">
        <v>2.7785137221154201E-2</v>
      </c>
      <c r="K37" s="234">
        <v>2.7785137221154201E-2</v>
      </c>
      <c r="L37" s="234">
        <v>2.7785137221154201E-2</v>
      </c>
      <c r="M37" s="234">
        <v>2.7785137221154201E-2</v>
      </c>
      <c r="N37" s="234">
        <v>2.7785137221154201E-2</v>
      </c>
      <c r="O37" s="234">
        <v>2.7785137221154201E-2</v>
      </c>
      <c r="P37" s="234">
        <v>2.7785137221154201E-2</v>
      </c>
      <c r="Q37" s="234">
        <v>2.7785137221154201E-2</v>
      </c>
      <c r="R37" s="234">
        <v>2.7785137221154201E-2</v>
      </c>
      <c r="S37" s="234">
        <v>2.7785137221154201E-2</v>
      </c>
      <c r="T37" s="234">
        <v>2.7785137221154201E-2</v>
      </c>
      <c r="U37" s="234">
        <v>2.7785137221154201E-2</v>
      </c>
      <c r="V37" s="234">
        <v>2.7785137221154201E-2</v>
      </c>
      <c r="W37" s="234">
        <v>2.7785137221154201E-2</v>
      </c>
    </row>
    <row r="38" spans="1:23" s="201" customFormat="1">
      <c r="A38" s="201" t="s">
        <v>72</v>
      </c>
      <c r="C38" s="234">
        <v>1.0420458872447032E-2</v>
      </c>
      <c r="D38" s="234">
        <v>1.0420458872447032E-2</v>
      </c>
      <c r="E38" s="234">
        <v>9.2711964788083634E-3</v>
      </c>
      <c r="F38" s="234">
        <v>9.2711964788083634E-3</v>
      </c>
      <c r="G38" s="234">
        <v>9.2711964788083634E-3</v>
      </c>
      <c r="H38" s="234">
        <v>9.2711964788083634E-3</v>
      </c>
      <c r="I38" s="234">
        <v>9.2711964788083634E-3</v>
      </c>
      <c r="J38" s="234">
        <v>9.2711964788083634E-3</v>
      </c>
      <c r="K38" s="234">
        <v>9.2711964788083634E-3</v>
      </c>
      <c r="L38" s="234">
        <v>9.2711964788083634E-3</v>
      </c>
      <c r="M38" s="234">
        <v>9.2711964788083634E-3</v>
      </c>
      <c r="N38" s="234">
        <v>9.2711964788083634E-3</v>
      </c>
      <c r="O38" s="234">
        <v>9.2711964788083634E-3</v>
      </c>
      <c r="P38" s="234">
        <v>9.2711964788083634E-3</v>
      </c>
      <c r="Q38" s="234">
        <v>9.2711964788083634E-3</v>
      </c>
      <c r="R38" s="234">
        <v>9.2711964788083634E-3</v>
      </c>
      <c r="S38" s="234">
        <v>9.2711964788083634E-3</v>
      </c>
      <c r="T38" s="234">
        <v>9.2711964788083634E-3</v>
      </c>
      <c r="U38" s="234">
        <v>9.2711964788083634E-3</v>
      </c>
      <c r="V38" s="234">
        <v>9.2711964788083634E-3</v>
      </c>
      <c r="W38" s="234">
        <v>9.2711964788083634E-3</v>
      </c>
    </row>
    <row r="39" spans="1:23" s="201" customFormat="1"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H39" s="235">
        <v>1</v>
      </c>
      <c r="I39" s="235">
        <v>1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  <c r="P39" s="235">
        <v>1</v>
      </c>
      <c r="Q39" s="235">
        <v>1</v>
      </c>
      <c r="R39" s="235">
        <v>1</v>
      </c>
      <c r="S39" s="235">
        <v>1</v>
      </c>
      <c r="T39" s="235">
        <v>1</v>
      </c>
      <c r="U39" s="235">
        <v>1</v>
      </c>
      <c r="V39" s="235">
        <v>1</v>
      </c>
      <c r="W39" s="235">
        <v>1</v>
      </c>
    </row>
    <row r="40" spans="1:23">
      <c r="W40" s="215"/>
    </row>
    <row r="41" spans="1:23" s="201" customFormat="1">
      <c r="A41" s="201" t="s">
        <v>74</v>
      </c>
      <c r="C41" s="266">
        <v>76792.891431176889</v>
      </c>
      <c r="D41" s="266">
        <v>79559.521738167052</v>
      </c>
      <c r="E41" s="266">
        <v>86046.145606773396</v>
      </c>
      <c r="F41" s="266">
        <v>88756.062567273359</v>
      </c>
      <c r="G41" s="266">
        <v>89572.267319177408</v>
      </c>
      <c r="H41" s="266">
        <v>90057.317678639651</v>
      </c>
      <c r="I41" s="266">
        <v>99539.322364418767</v>
      </c>
      <c r="J41" s="266">
        <v>100085.40634246818</v>
      </c>
      <c r="K41" s="266">
        <v>101027.97371684859</v>
      </c>
      <c r="L41" s="266">
        <v>101838.94694965072</v>
      </c>
      <c r="M41" s="266">
        <v>111759.74695065097</v>
      </c>
      <c r="N41" s="266">
        <v>112782.0488016576</v>
      </c>
      <c r="O41" s="266">
        <v>113936.21560463108</v>
      </c>
      <c r="P41" s="266">
        <v>115029.8634105059</v>
      </c>
      <c r="Q41" s="266">
        <v>125273.20006675398</v>
      </c>
      <c r="R41" s="266">
        <v>126300.43856453105</v>
      </c>
      <c r="S41" s="266">
        <v>127159.11057999925</v>
      </c>
      <c r="T41" s="266">
        <v>128536.26899344855</v>
      </c>
      <c r="U41" s="266">
        <v>139293.10062599278</v>
      </c>
      <c r="V41" s="266">
        <v>140663.622073014</v>
      </c>
      <c r="W41" s="266">
        <v>142047.62824417662</v>
      </c>
    </row>
    <row r="42" spans="1:23" s="201" customFormat="1">
      <c r="A42" s="201" t="s">
        <v>75</v>
      </c>
      <c r="C42" s="266">
        <v>104121.50020252696</v>
      </c>
      <c r="D42" s="266">
        <v>107226.93749636752</v>
      </c>
      <c r="E42" s="266">
        <v>125371.77321732321</v>
      </c>
      <c r="F42" s="266">
        <v>131777.28603526496</v>
      </c>
      <c r="G42" s="266">
        <v>135515.90909934099</v>
      </c>
      <c r="H42" s="266">
        <v>138838.49806105724</v>
      </c>
      <c r="I42" s="266">
        <v>143341.25492900793</v>
      </c>
      <c r="J42" s="266">
        <v>146866.0664460554</v>
      </c>
      <c r="K42" s="266">
        <v>151065.93153040833</v>
      </c>
      <c r="L42" s="266">
        <v>155171.86302593205</v>
      </c>
      <c r="M42" s="266">
        <v>160175.67468920248</v>
      </c>
      <c r="N42" s="266">
        <v>164712.02858214712</v>
      </c>
      <c r="O42" s="266">
        <v>169559.18112168246</v>
      </c>
      <c r="P42" s="266">
        <v>174439.28919700391</v>
      </c>
      <c r="Q42" s="266">
        <v>179755.1643069534</v>
      </c>
      <c r="R42" s="266">
        <v>184672.50808247793</v>
      </c>
      <c r="S42" s="266">
        <v>189460.66374718159</v>
      </c>
      <c r="T42" s="266">
        <v>195151.29899729593</v>
      </c>
      <c r="U42" s="266">
        <v>201134.38564367787</v>
      </c>
      <c r="V42" s="266">
        <v>206972.52492377718</v>
      </c>
      <c r="W42" s="266">
        <v>212980.1224004188</v>
      </c>
    </row>
    <row r="43" spans="1:23" s="201" customFormat="1">
      <c r="A43" s="201" t="s">
        <v>76</v>
      </c>
      <c r="C43" s="266">
        <v>6407.7120405541145</v>
      </c>
      <c r="D43" s="266">
        <v>6407.7120405541145</v>
      </c>
      <c r="E43" s="266">
        <v>5997.7598437262777</v>
      </c>
      <c r="F43" s="266">
        <v>6186.6518738213481</v>
      </c>
      <c r="G43" s="266">
        <v>6243.5446033062972</v>
      </c>
      <c r="H43" s="266">
        <v>6277.3545496746392</v>
      </c>
      <c r="I43" s="266">
        <v>6360.0974509372654</v>
      </c>
      <c r="J43" s="266">
        <v>6394.9896647306687</v>
      </c>
      <c r="K43" s="266">
        <v>6455.2153143808246</v>
      </c>
      <c r="L43" s="266">
        <v>6507.0327134569407</v>
      </c>
      <c r="M43" s="266">
        <v>6591.6235048305844</v>
      </c>
      <c r="N43" s="266">
        <v>6651.9191756243163</v>
      </c>
      <c r="O43" s="266">
        <v>6719.9922809646005</v>
      </c>
      <c r="P43" s="266">
        <v>6784.4959576452038</v>
      </c>
      <c r="Q43" s="266">
        <v>6860.8902476755238</v>
      </c>
      <c r="R43" s="266">
        <v>6917.1494522594257</v>
      </c>
      <c r="S43" s="266">
        <v>6964.1767051254692</v>
      </c>
      <c r="T43" s="266">
        <v>7039.6001214930866</v>
      </c>
      <c r="U43" s="266">
        <v>7120.1424577204398</v>
      </c>
      <c r="V43" s="266">
        <v>7190.198389423429</v>
      </c>
      <c r="W43" s="266">
        <v>7260.9436098022998</v>
      </c>
    </row>
    <row r="44" spans="1:23" s="201" customFormat="1">
      <c r="A44" s="201" t="s">
        <v>77</v>
      </c>
      <c r="C44" s="266">
        <v>2345.5193348912057</v>
      </c>
      <c r="D44" s="266">
        <v>2345.5193348912057</v>
      </c>
      <c r="E44" s="266">
        <v>2059.1420463781451</v>
      </c>
      <c r="F44" s="266">
        <v>2123.9921790158064</v>
      </c>
      <c r="G44" s="266">
        <v>2143.5245068295344</v>
      </c>
      <c r="H44" s="266">
        <v>2155.1320876541758</v>
      </c>
      <c r="I44" s="266">
        <v>2183.5392582426098</v>
      </c>
      <c r="J44" s="266">
        <v>2195.5184015203058</v>
      </c>
      <c r="K44" s="266">
        <v>2216.1949825599413</v>
      </c>
      <c r="L44" s="266">
        <v>2233.9848554377613</v>
      </c>
      <c r="M44" s="266">
        <v>2263.0264409283964</v>
      </c>
      <c r="N44" s="266">
        <v>2283.7270615235702</v>
      </c>
      <c r="O44" s="266">
        <v>2307.0978194541881</v>
      </c>
      <c r="P44" s="266">
        <v>2329.243126412076</v>
      </c>
      <c r="Q44" s="266">
        <v>2355.4707011738737</v>
      </c>
      <c r="R44" s="266">
        <v>2374.7855281547636</v>
      </c>
      <c r="S44" s="266">
        <v>2390.9308551143649</v>
      </c>
      <c r="T44" s="266">
        <v>2416.8251109649887</v>
      </c>
      <c r="U44" s="266">
        <v>2444.4767868173899</v>
      </c>
      <c r="V44" s="266">
        <v>2468.5282857647371</v>
      </c>
      <c r="W44" s="266">
        <v>2492.8164302816931</v>
      </c>
    </row>
    <row r="45" spans="1:23" s="201" customFormat="1">
      <c r="A45" s="201" t="s">
        <v>78</v>
      </c>
      <c r="C45" s="266">
        <v>350</v>
      </c>
      <c r="D45" s="266">
        <v>364</v>
      </c>
      <c r="E45" s="266">
        <v>350</v>
      </c>
      <c r="F45" s="266">
        <v>400</v>
      </c>
      <c r="G45" s="266">
        <v>400</v>
      </c>
      <c r="H45" s="266">
        <v>400</v>
      </c>
      <c r="I45" s="266">
        <v>400</v>
      </c>
      <c r="J45" s="266">
        <v>400</v>
      </c>
      <c r="K45" s="266">
        <v>400</v>
      </c>
      <c r="L45" s="266">
        <v>400</v>
      </c>
      <c r="M45" s="266">
        <v>400</v>
      </c>
      <c r="N45" s="266">
        <v>400</v>
      </c>
      <c r="O45" s="266">
        <v>400</v>
      </c>
      <c r="P45" s="266">
        <v>400</v>
      </c>
      <c r="Q45" s="266">
        <v>400</v>
      </c>
      <c r="R45" s="266">
        <v>400</v>
      </c>
      <c r="S45" s="266">
        <v>400</v>
      </c>
      <c r="T45" s="266">
        <v>400</v>
      </c>
      <c r="U45" s="266">
        <v>400</v>
      </c>
      <c r="V45" s="266">
        <v>400</v>
      </c>
      <c r="W45" s="266">
        <v>400</v>
      </c>
    </row>
    <row r="46" spans="1:23" s="201" customFormat="1">
      <c r="A46" s="201" t="s">
        <v>79</v>
      </c>
      <c r="C46" s="266">
        <v>900</v>
      </c>
      <c r="D46" s="266">
        <v>844</v>
      </c>
      <c r="E46" s="266">
        <v>900</v>
      </c>
      <c r="F46" s="266">
        <v>830</v>
      </c>
      <c r="G46" s="266">
        <v>830</v>
      </c>
      <c r="H46" s="266">
        <v>830</v>
      </c>
      <c r="I46" s="266">
        <v>830</v>
      </c>
      <c r="J46" s="266">
        <v>830</v>
      </c>
      <c r="K46" s="266">
        <v>830</v>
      </c>
      <c r="L46" s="266">
        <v>830</v>
      </c>
      <c r="M46" s="266">
        <v>830</v>
      </c>
      <c r="N46" s="266">
        <v>830</v>
      </c>
      <c r="O46" s="266">
        <v>830</v>
      </c>
      <c r="P46" s="266">
        <v>830</v>
      </c>
      <c r="Q46" s="266">
        <v>830</v>
      </c>
      <c r="R46" s="266">
        <v>830</v>
      </c>
      <c r="S46" s="266">
        <v>830</v>
      </c>
      <c r="T46" s="266">
        <v>830</v>
      </c>
      <c r="U46" s="266">
        <v>830</v>
      </c>
      <c r="V46" s="266">
        <v>830</v>
      </c>
      <c r="W46" s="266">
        <v>830</v>
      </c>
    </row>
    <row r="47" spans="1:23" s="201" customFormat="1"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</row>
    <row r="48" spans="1:23" s="198" customFormat="1" ht="17" thickBot="1">
      <c r="A48" s="237" t="s">
        <v>80</v>
      </c>
      <c r="B48" s="237"/>
      <c r="C48" s="212">
        <v>190917.62300914916</v>
      </c>
      <c r="D48" s="212">
        <v>196747.69060997991</v>
      </c>
      <c r="E48" s="212">
        <v>220724.82071420102</v>
      </c>
      <c r="F48" s="212">
        <v>230073.99265537545</v>
      </c>
      <c r="G48" s="212">
        <v>234705.24552865425</v>
      </c>
      <c r="H48" s="212">
        <v>238558.30237702571</v>
      </c>
      <c r="I48" s="212">
        <v>252654.21400260658</v>
      </c>
      <c r="J48" s="212">
        <v>256771.98085477456</v>
      </c>
      <c r="K48" s="212">
        <v>261995.31554419769</v>
      </c>
      <c r="L48" s="212">
        <v>266981.82754447748</v>
      </c>
      <c r="M48" s="212">
        <v>282020.07158561243</v>
      </c>
      <c r="N48" s="212">
        <v>287659.72362095263</v>
      </c>
      <c r="O48" s="212">
        <v>293752.48682673235</v>
      </c>
      <c r="P48" s="212">
        <v>299812.89169156709</v>
      </c>
      <c r="Q48" s="212">
        <v>315474.7253225568</v>
      </c>
      <c r="R48" s="212">
        <v>321494.88162742316</v>
      </c>
      <c r="S48" s="212">
        <v>327204.88188742066</v>
      </c>
      <c r="T48" s="212">
        <v>334373.99322320259</v>
      </c>
      <c r="U48" s="212">
        <v>351222.10551420844</v>
      </c>
      <c r="V48" s="212">
        <v>358524.87367197935</v>
      </c>
      <c r="W48" s="212">
        <v>366011.51068467938</v>
      </c>
    </row>
    <row r="49" spans="1:23" s="241" customFormat="1" ht="17" thickTop="1">
      <c r="A49" s="238" t="s">
        <v>81</v>
      </c>
      <c r="B49" s="238"/>
      <c r="C49" s="239">
        <v>-11.41848408113583</v>
      </c>
      <c r="D49" s="240"/>
    </row>
    <row r="50" spans="1:23"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</row>
    <row r="51" spans="1:23">
      <c r="A51" s="242" t="s">
        <v>82</v>
      </c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</row>
    <row r="52" spans="1:23" s="201" customFormat="1">
      <c r="A52" s="302" t="s">
        <v>83</v>
      </c>
      <c r="B52" s="302"/>
      <c r="C52" s="302"/>
      <c r="D52" s="302"/>
      <c r="E52" s="236"/>
    </row>
    <row r="53" spans="1:23">
      <c r="A53" s="303" t="s">
        <v>84</v>
      </c>
      <c r="B53" s="303"/>
      <c r="C53" s="303"/>
      <c r="D53" s="303"/>
    </row>
    <row r="54" spans="1:23">
      <c r="A54" s="243" t="s">
        <v>85</v>
      </c>
      <c r="B54" s="244"/>
      <c r="C54" s="245"/>
      <c r="D54" s="245"/>
    </row>
    <row r="55" spans="1:23">
      <c r="D55" s="220"/>
    </row>
  </sheetData>
  <mergeCells count="4">
    <mergeCell ref="C7:G7"/>
    <mergeCell ref="A52:D52"/>
    <mergeCell ref="A53:D53"/>
    <mergeCell ref="D27:G2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DE23-F7C1-4624-921B-DFE4AFAB9E88}">
  <dimension ref="A1:X49"/>
  <sheetViews>
    <sheetView workbookViewId="0">
      <pane xSplit="1" ySplit="18" topLeftCell="C19" activePane="bottomRight" state="frozen"/>
      <selection pane="topRight" activeCell="B1" sqref="B1"/>
      <selection pane="bottomLeft" activeCell="A19" sqref="A19"/>
      <selection pane="bottomRight" activeCell="C30" sqref="C30"/>
    </sheetView>
  </sheetViews>
  <sheetFormatPr baseColWidth="10" defaultColWidth="9.33203125" defaultRowHeight="16" outlineLevelRow="1"/>
  <cols>
    <col min="1" max="1" width="32.6640625" style="199" customWidth="1"/>
    <col min="2" max="2" width="13.1640625" style="199" hidden="1" customWidth="1"/>
    <col min="3" max="6" width="17.83203125" style="199" bestFit="1" customWidth="1"/>
    <col min="7" max="7" width="11.5" style="199" customWidth="1"/>
    <col min="8" max="20" width="14" style="199" bestFit="1" customWidth="1"/>
    <col min="21" max="21" width="14.5" style="199" bestFit="1" customWidth="1"/>
    <col min="22" max="22" width="14" style="199" bestFit="1" customWidth="1"/>
    <col min="23" max="23" width="9.33203125" style="199"/>
    <col min="24" max="24" width="11.5" style="199" bestFit="1" customWidth="1"/>
    <col min="25" max="16384" width="9.33203125" style="199"/>
  </cols>
  <sheetData>
    <row r="1" spans="1:22" ht="18">
      <c r="A1" s="265" t="s">
        <v>98</v>
      </c>
    </row>
    <row r="2" spans="1:22" ht="15.75" hidden="1" customHeight="1" outlineLevel="1">
      <c r="A2" s="198" t="s">
        <v>46</v>
      </c>
    </row>
    <row r="3" spans="1:22" ht="15.75" hidden="1" customHeight="1" outlineLevel="1">
      <c r="A3" s="198" t="s">
        <v>47</v>
      </c>
    </row>
    <row r="4" spans="1:22" ht="15.75" hidden="1" customHeight="1" outlineLevel="1">
      <c r="A4" s="200">
        <v>43697</v>
      </c>
    </row>
    <row r="5" spans="1:22" ht="15.75" hidden="1" customHeight="1" outlineLevel="1">
      <c r="A5" s="201" t="s">
        <v>48</v>
      </c>
    </row>
    <row r="6" spans="1:22" ht="15.75" hidden="1" customHeight="1" outlineLevel="1"/>
    <row r="7" spans="1:22" ht="15.75" hidden="1" customHeight="1" outlineLevel="1">
      <c r="B7" s="301" t="s">
        <v>49</v>
      </c>
      <c r="C7" s="301"/>
      <c r="D7" s="301"/>
      <c r="E7" s="301"/>
      <c r="F7" s="301"/>
    </row>
    <row r="8" spans="1:22" ht="15.75" hidden="1" customHeight="1" outlineLevel="1">
      <c r="B8" s="203">
        <v>2019</v>
      </c>
      <c r="C8" s="203">
        <v>2019</v>
      </c>
      <c r="D8" s="203">
        <v>2020</v>
      </c>
      <c r="E8" s="203">
        <v>2021</v>
      </c>
      <c r="F8" s="203">
        <v>2022</v>
      </c>
      <c r="J8" s="202" t="s">
        <v>50</v>
      </c>
      <c r="K8" s="202"/>
      <c r="L8" s="203" t="s">
        <v>51</v>
      </c>
      <c r="M8" s="203" t="s">
        <v>52</v>
      </c>
      <c r="N8" s="203" t="s">
        <v>53</v>
      </c>
      <c r="O8" s="203" t="s">
        <v>54</v>
      </c>
      <c r="P8" s="203" t="s">
        <v>55</v>
      </c>
      <c r="Q8" s="246"/>
      <c r="R8" s="246"/>
      <c r="S8" s="246"/>
    </row>
    <row r="9" spans="1:22" ht="15.75" hidden="1" customHeight="1" outlineLevel="1">
      <c r="A9" s="204"/>
      <c r="B9" s="205" t="s">
        <v>56</v>
      </c>
      <c r="C9" s="205" t="s">
        <v>57</v>
      </c>
      <c r="D9" s="205" t="s">
        <v>56</v>
      </c>
      <c r="E9" s="205" t="s">
        <v>56</v>
      </c>
      <c r="F9" s="205" t="s">
        <v>56</v>
      </c>
      <c r="J9" s="206" t="s">
        <v>58</v>
      </c>
      <c r="K9" s="206"/>
      <c r="L9" s="201">
        <v>350</v>
      </c>
      <c r="M9" s="201">
        <v>364</v>
      </c>
      <c r="N9" s="201">
        <v>350</v>
      </c>
      <c r="O9" s="201">
        <v>400</v>
      </c>
      <c r="P9" s="201">
        <v>400</v>
      </c>
      <c r="Q9" s="207"/>
      <c r="R9" s="207"/>
      <c r="S9" s="207"/>
      <c r="U9" s="207"/>
      <c r="V9" s="208"/>
    </row>
    <row r="10" spans="1:22" ht="15.75" hidden="1" customHeight="1" outlineLevel="1">
      <c r="A10" s="201" t="s">
        <v>59</v>
      </c>
      <c r="B10" s="209">
        <v>189667.62300914916</v>
      </c>
      <c r="C10" s="209">
        <v>195539.69060997991</v>
      </c>
      <c r="D10" s="209">
        <v>219474.82071420102</v>
      </c>
      <c r="E10" s="209">
        <v>228843.99265537545</v>
      </c>
      <c r="F10" s="209">
        <v>233475.24552865425</v>
      </c>
      <c r="J10" s="206" t="s">
        <v>60</v>
      </c>
      <c r="K10" s="206"/>
      <c r="L10" s="201">
        <v>900</v>
      </c>
      <c r="M10" s="201">
        <v>844</v>
      </c>
      <c r="N10" s="201">
        <v>900</v>
      </c>
      <c r="O10" s="201">
        <v>830</v>
      </c>
      <c r="P10" s="201">
        <v>830</v>
      </c>
      <c r="Q10" s="210"/>
      <c r="R10" s="210"/>
      <c r="S10" s="210"/>
      <c r="U10" s="207"/>
      <c r="V10" s="208"/>
    </row>
    <row r="11" spans="1:22" ht="16.5" hidden="1" customHeight="1" outlineLevel="1" thickBot="1">
      <c r="A11" s="201" t="s">
        <v>50</v>
      </c>
      <c r="B11" s="211">
        <v>1250</v>
      </c>
      <c r="C11" s="211">
        <v>1208</v>
      </c>
      <c r="D11" s="211">
        <v>1250</v>
      </c>
      <c r="E11" s="211">
        <v>1230</v>
      </c>
      <c r="F11" s="211">
        <v>1230</v>
      </c>
      <c r="L11" s="212">
        <v>1250</v>
      </c>
      <c r="M11" s="212">
        <v>1208</v>
      </c>
      <c r="N11" s="212">
        <v>1250</v>
      </c>
      <c r="O11" s="212">
        <v>1230</v>
      </c>
      <c r="P11" s="212">
        <v>1230</v>
      </c>
      <c r="Q11" s="210"/>
      <c r="R11" s="210"/>
      <c r="S11" s="210"/>
      <c r="U11" s="207"/>
      <c r="V11" s="208"/>
    </row>
    <row r="12" spans="1:22" ht="15.75" hidden="1" customHeight="1" outlineLevel="1">
      <c r="A12" s="201" t="s">
        <v>61</v>
      </c>
      <c r="B12" s="209">
        <v>190917.62300914916</v>
      </c>
      <c r="C12" s="209">
        <v>196747.69060997991</v>
      </c>
      <c r="D12" s="209">
        <v>220724.82071420102</v>
      </c>
      <c r="E12" s="209">
        <v>230073.99265537545</v>
      </c>
      <c r="F12" s="209">
        <v>234705.24552865425</v>
      </c>
      <c r="P12" s="213"/>
      <c r="Q12" s="213"/>
      <c r="R12" s="213"/>
      <c r="S12" s="213"/>
      <c r="U12" s="214"/>
      <c r="V12" s="215"/>
    </row>
    <row r="13" spans="1:22" ht="15.75" hidden="1" customHeight="1" outlineLevel="1">
      <c r="A13" s="201"/>
    </row>
    <row r="14" spans="1:22" ht="16.5" hidden="1" customHeight="1" outlineLevel="1" thickBot="1">
      <c r="A14" s="201" t="s">
        <v>62</v>
      </c>
      <c r="B14" s="216">
        <v>81850.149999999994</v>
      </c>
      <c r="C14" s="216">
        <v>81850.149999999994</v>
      </c>
      <c r="D14" s="216">
        <v>83977.855070878519</v>
      </c>
      <c r="E14" s="216">
        <v>86622.63377837553</v>
      </c>
      <c r="F14" s="216">
        <v>87419.219422976035</v>
      </c>
      <c r="U14" s="217"/>
    </row>
    <row r="15" spans="1:22" ht="15.75" hidden="1" customHeight="1" outlineLevel="1">
      <c r="C15" s="218"/>
    </row>
    <row r="16" spans="1:22" ht="15.75" hidden="1" customHeight="1" outlineLevel="1">
      <c r="D16" s="219"/>
      <c r="G16" s="220"/>
      <c r="H16" s="219"/>
      <c r="J16" s="220"/>
      <c r="K16" s="219"/>
      <c r="M16" s="220"/>
      <c r="N16" s="219"/>
    </row>
    <row r="17" spans="1:24" ht="15.75" hidden="1" customHeight="1" outlineLevel="1">
      <c r="G17" s="221"/>
      <c r="J17" s="221"/>
      <c r="M17" s="221"/>
    </row>
    <row r="18" spans="1:24" s="201" customFormat="1" collapsed="1">
      <c r="B18" s="203">
        <v>2019</v>
      </c>
      <c r="C18" s="203">
        <v>2019</v>
      </c>
      <c r="D18" s="203">
        <v>2020</v>
      </c>
      <c r="E18" s="203">
        <v>2021</v>
      </c>
      <c r="F18" s="203">
        <v>2022</v>
      </c>
      <c r="G18" s="203">
        <v>2023</v>
      </c>
      <c r="H18" s="203">
        <v>2024</v>
      </c>
      <c r="I18" s="203">
        <v>2025</v>
      </c>
      <c r="J18" s="203">
        <v>2026</v>
      </c>
      <c r="K18" s="203">
        <v>2027</v>
      </c>
      <c r="L18" s="203">
        <v>2028</v>
      </c>
      <c r="M18" s="203">
        <v>2029</v>
      </c>
      <c r="N18" s="203">
        <v>2030</v>
      </c>
      <c r="O18" s="203">
        <v>2031</v>
      </c>
      <c r="P18" s="203">
        <v>2032</v>
      </c>
      <c r="Q18" s="203">
        <v>2033</v>
      </c>
      <c r="R18" s="203">
        <v>2034</v>
      </c>
      <c r="S18" s="203">
        <v>2035</v>
      </c>
      <c r="T18" s="203">
        <v>2036</v>
      </c>
      <c r="U18" s="203">
        <v>2037</v>
      </c>
      <c r="V18" s="203">
        <v>2038</v>
      </c>
    </row>
    <row r="19" spans="1:24" s="201" customFormat="1">
      <c r="B19" s="205" t="s">
        <v>56</v>
      </c>
      <c r="C19" s="205" t="s">
        <v>63</v>
      </c>
      <c r="D19" s="205" t="s">
        <v>56</v>
      </c>
      <c r="E19" s="205" t="s">
        <v>64</v>
      </c>
      <c r="F19" s="205" t="s">
        <v>64</v>
      </c>
      <c r="G19" s="205" t="s">
        <v>65</v>
      </c>
      <c r="H19" s="205" t="s">
        <v>65</v>
      </c>
      <c r="I19" s="205" t="s">
        <v>65</v>
      </c>
      <c r="J19" s="205" t="s">
        <v>65</v>
      </c>
      <c r="K19" s="205" t="s">
        <v>65</v>
      </c>
      <c r="L19" s="205" t="s">
        <v>65</v>
      </c>
      <c r="M19" s="205" t="s">
        <v>65</v>
      </c>
      <c r="N19" s="205" t="s">
        <v>65</v>
      </c>
      <c r="O19" s="205" t="s">
        <v>65</v>
      </c>
      <c r="P19" s="205" t="s">
        <v>65</v>
      </c>
      <c r="Q19" s="205" t="s">
        <v>65</v>
      </c>
      <c r="R19" s="205" t="s">
        <v>65</v>
      </c>
      <c r="S19" s="205" t="s">
        <v>65</v>
      </c>
      <c r="T19" s="205" t="s">
        <v>65</v>
      </c>
      <c r="U19" s="205" t="s">
        <v>65</v>
      </c>
      <c r="V19" s="205" t="s">
        <v>65</v>
      </c>
    </row>
    <row r="20" spans="1:24" s="201" customFormat="1">
      <c r="A20" s="201" t="s">
        <v>61</v>
      </c>
      <c r="B20" s="209">
        <v>189667.62300914916</v>
      </c>
      <c r="C20" s="209">
        <v>195539.69060997991</v>
      </c>
      <c r="D20" s="209">
        <v>219474.82071420102</v>
      </c>
      <c r="E20" s="209">
        <v>228843.99265537545</v>
      </c>
      <c r="F20" s="209">
        <v>233475.24552865425</v>
      </c>
      <c r="G20" s="209">
        <v>237328.30237702571</v>
      </c>
      <c r="H20" s="209">
        <v>251424.21400260658</v>
      </c>
      <c r="I20" s="209">
        <v>255541.98085477456</v>
      </c>
      <c r="J20" s="209">
        <v>260765.31554419769</v>
      </c>
      <c r="K20" s="209">
        <v>265751.82754447748</v>
      </c>
      <c r="L20" s="209">
        <v>280790.07158561243</v>
      </c>
      <c r="M20" s="209">
        <v>286429.72362095263</v>
      </c>
      <c r="N20" s="209">
        <v>292522.48682673235</v>
      </c>
      <c r="O20" s="209">
        <v>298582.89169156709</v>
      </c>
      <c r="P20" s="209">
        <v>314244.7253225568</v>
      </c>
      <c r="Q20" s="209">
        <v>320264.88162742316</v>
      </c>
      <c r="R20" s="209">
        <v>325974.88188742066</v>
      </c>
      <c r="S20" s="209">
        <v>333143.99322320259</v>
      </c>
      <c r="T20" s="209">
        <v>349992.10551420844</v>
      </c>
      <c r="U20" s="209">
        <v>357294.87367197935</v>
      </c>
      <c r="V20" s="209">
        <v>364781.51068467938</v>
      </c>
      <c r="X20" s="222"/>
    </row>
    <row r="21" spans="1:24">
      <c r="A21" s="201"/>
      <c r="C21" s="223"/>
      <c r="Q21" s="223"/>
      <c r="X21" s="223"/>
    </row>
    <row r="22" spans="1:24" s="201" customFormat="1">
      <c r="A22" s="201" t="s">
        <v>66</v>
      </c>
      <c r="B22" s="224">
        <v>2.3172544339765921</v>
      </c>
      <c r="C22" s="224">
        <v>2.3889961180276384</v>
      </c>
      <c r="D22" s="224">
        <v>2.6134844778895712</v>
      </c>
      <c r="E22" s="224">
        <v>2.6418498569424016</v>
      </c>
      <c r="F22" s="224">
        <v>2.6707541781972366</v>
      </c>
      <c r="G22" s="224">
        <v>2.7002076815559124</v>
      </c>
      <c r="H22" s="224">
        <v>2.8233688923261728</v>
      </c>
      <c r="I22" s="224">
        <v>2.8539522615271919</v>
      </c>
      <c r="J22" s="224">
        <v>2.8851167147430297</v>
      </c>
      <c r="K22" s="224">
        <v>2.9168732925699681</v>
      </c>
      <c r="L22" s="224">
        <v>3.0423813362233885</v>
      </c>
      <c r="M22" s="224">
        <v>3.0753561281323467</v>
      </c>
      <c r="N22" s="224">
        <v>3.1089574410875742</v>
      </c>
      <c r="O22" s="224">
        <v>3.1431971789889519</v>
      </c>
      <c r="P22" s="224">
        <v>3.2712355627582252</v>
      </c>
      <c r="Q22" s="224">
        <v>3.3067887712452371</v>
      </c>
      <c r="R22" s="224">
        <v>3.3430174906935028</v>
      </c>
      <c r="S22" s="224">
        <v>3.3799345558112854</v>
      </c>
      <c r="T22" s="224">
        <v>3.5107011360140747</v>
      </c>
      <c r="U22" s="224">
        <v>3.5490343766668411</v>
      </c>
      <c r="V22" s="224">
        <v>3.5880959488920086</v>
      </c>
      <c r="X22" s="222"/>
    </row>
    <row r="23" spans="1:24">
      <c r="A23" s="201"/>
      <c r="Q23" s="223"/>
      <c r="X23" s="223"/>
    </row>
    <row r="24" spans="1:24" ht="17" thickBot="1">
      <c r="A24" s="201" t="s">
        <v>67</v>
      </c>
      <c r="B24" s="216">
        <v>81850.149999999994</v>
      </c>
      <c r="C24" s="216">
        <v>81850.149999999994</v>
      </c>
      <c r="D24" s="216">
        <v>83977.855070878519</v>
      </c>
      <c r="E24" s="216">
        <v>86622.63377837553</v>
      </c>
      <c r="F24" s="216">
        <v>87419.219422976035</v>
      </c>
      <c r="G24" s="216">
        <v>87892.610630702489</v>
      </c>
      <c r="H24" s="216">
        <v>89051.13840630943</v>
      </c>
      <c r="I24" s="216">
        <v>89539.683021197518</v>
      </c>
      <c r="J24" s="216">
        <v>90382.934670087838</v>
      </c>
      <c r="K24" s="216">
        <v>91108.457889280355</v>
      </c>
      <c r="L24" s="216">
        <v>92292.858966248692</v>
      </c>
      <c r="M24" s="216">
        <v>93137.0910187564</v>
      </c>
      <c r="N24" s="216">
        <v>94090.219107149387</v>
      </c>
      <c r="O24" s="216">
        <v>94993.369708867569</v>
      </c>
      <c r="P24" s="216">
        <v>96063.007170780867</v>
      </c>
      <c r="Q24" s="216">
        <v>96850.722493176072</v>
      </c>
      <c r="R24" s="216">
        <v>97509.176304009641</v>
      </c>
      <c r="S24" s="216">
        <v>98565.220042622415</v>
      </c>
      <c r="T24" s="216">
        <v>99692.936525943369</v>
      </c>
      <c r="U24" s="216">
        <v>100673.82723058919</v>
      </c>
      <c r="V24" s="216">
        <v>101664.36903598484</v>
      </c>
      <c r="X24" s="223"/>
    </row>
    <row r="25" spans="1:24" ht="17" thickTop="1"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Q25" s="226"/>
    </row>
    <row r="26" spans="1:24"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</row>
    <row r="27" spans="1:24"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</row>
    <row r="28" spans="1:24" s="201" customFormat="1" ht="17" thickBot="1">
      <c r="A28" s="229" t="s">
        <v>68</v>
      </c>
      <c r="C28" s="230"/>
      <c r="D28" s="230"/>
      <c r="E28" s="230"/>
      <c r="F28" s="230"/>
      <c r="G28" s="230"/>
    </row>
    <row r="29" spans="1:24" s="201" customFormat="1" ht="17" thickBot="1">
      <c r="A29" s="201" t="s">
        <v>69</v>
      </c>
      <c r="B29" s="231">
        <v>2.5770660844458328</v>
      </c>
      <c r="C29" s="247">
        <f>B29*(4/12)+2.75*(8/12)</f>
        <v>2.692355361481944</v>
      </c>
      <c r="D29" s="232">
        <v>2.75</v>
      </c>
      <c r="E29" s="231">
        <v>2.75</v>
      </c>
      <c r="F29" s="231">
        <v>2.75</v>
      </c>
      <c r="G29" s="231">
        <v>2.75</v>
      </c>
      <c r="H29" s="232">
        <v>3</v>
      </c>
      <c r="I29" s="231">
        <v>3</v>
      </c>
      <c r="J29" s="231">
        <v>3</v>
      </c>
      <c r="K29" s="231">
        <v>3</v>
      </c>
      <c r="L29" s="232">
        <v>3.25</v>
      </c>
      <c r="M29" s="231">
        <v>3.25</v>
      </c>
      <c r="N29" s="231">
        <v>3.25</v>
      </c>
      <c r="O29" s="231">
        <v>3.25</v>
      </c>
      <c r="P29" s="232">
        <v>3.5</v>
      </c>
      <c r="Q29" s="231">
        <v>3.5</v>
      </c>
      <c r="R29" s="231">
        <v>3.5</v>
      </c>
      <c r="S29" s="231">
        <v>3.5</v>
      </c>
      <c r="T29" s="232">
        <v>3.75</v>
      </c>
      <c r="U29" s="231">
        <v>3.75</v>
      </c>
      <c r="V29" s="231">
        <v>3.75</v>
      </c>
    </row>
    <row r="30" spans="1:24" s="201" customFormat="1" ht="17" thickBot="1">
      <c r="A30" s="201" t="s">
        <v>70</v>
      </c>
      <c r="B30" s="231">
        <v>2.130930038707862</v>
      </c>
      <c r="C30" s="233">
        <v>2.1944853044300885</v>
      </c>
      <c r="D30" s="233">
        <v>2.5288581216552601</v>
      </c>
      <c r="E30" s="254">
        <f>'3 - Fares'!E14</f>
        <v>2.6</v>
      </c>
      <c r="F30" s="255">
        <f>'3 - Fares'!F14</f>
        <v>2.6</v>
      </c>
      <c r="G30" s="255">
        <f>'3 - Fares'!G14</f>
        <v>2.6</v>
      </c>
      <c r="H30" s="255">
        <f>'3 - Fares'!H14</f>
        <v>2.8</v>
      </c>
      <c r="I30" s="255">
        <f>'3 - Fares'!I14</f>
        <v>2.8</v>
      </c>
      <c r="J30" s="255">
        <f>'3 - Fares'!J14</f>
        <v>2.8</v>
      </c>
      <c r="K30" s="255">
        <f>'3 - Fares'!K14</f>
        <v>2.8</v>
      </c>
      <c r="L30" s="255">
        <f>'3 - Fares'!L14</f>
        <v>3</v>
      </c>
      <c r="M30" s="255">
        <f>'3 - Fares'!M14</f>
        <v>3</v>
      </c>
      <c r="N30" s="255">
        <f>'3 - Fares'!N14</f>
        <v>3</v>
      </c>
      <c r="O30" s="255">
        <f>'3 - Fares'!O14</f>
        <v>3</v>
      </c>
      <c r="P30" s="255">
        <f>'3 - Fares'!P14</f>
        <v>3.2</v>
      </c>
      <c r="Q30" s="255">
        <f>'3 - Fares'!Q14</f>
        <v>3.2</v>
      </c>
      <c r="R30" s="255">
        <f>'3 - Fares'!R14</f>
        <v>3.2</v>
      </c>
      <c r="S30" s="255">
        <f>'3 - Fares'!S14</f>
        <v>3.2</v>
      </c>
      <c r="T30" s="255">
        <f>'3 - Fares'!T14</f>
        <v>3.4</v>
      </c>
      <c r="U30" s="255">
        <f>'3 - Fares'!U14</f>
        <v>3.4</v>
      </c>
      <c r="V30" s="256">
        <f>'3 - Fares'!V14</f>
        <v>3.4</v>
      </c>
    </row>
    <row r="31" spans="1:24" s="201" customFormat="1">
      <c r="A31" s="201" t="s">
        <v>71</v>
      </c>
      <c r="B31" s="231">
        <v>2.7422495717453472</v>
      </c>
      <c r="C31" s="231">
        <v>2.7422495717453472</v>
      </c>
      <c r="D31" s="248">
        <f>($C$31/2.75)*D29</f>
        <v>2.7422495717453472</v>
      </c>
      <c r="E31" s="249">
        <f t="shared" ref="E31:V31" si="0">($C$31/2.75)*E29</f>
        <v>2.7422495717453472</v>
      </c>
      <c r="F31" s="249">
        <f t="shared" si="0"/>
        <v>2.7422495717453472</v>
      </c>
      <c r="G31" s="249">
        <f t="shared" si="0"/>
        <v>2.7422495717453472</v>
      </c>
      <c r="H31" s="267">
        <f t="shared" si="0"/>
        <v>2.9915449873585604</v>
      </c>
      <c r="I31" s="249">
        <f t="shared" si="0"/>
        <v>2.9915449873585604</v>
      </c>
      <c r="J31" s="249">
        <f t="shared" si="0"/>
        <v>2.9915449873585604</v>
      </c>
      <c r="K31" s="249">
        <f t="shared" si="0"/>
        <v>2.9915449873585604</v>
      </c>
      <c r="L31" s="267">
        <f t="shared" si="0"/>
        <v>3.2408404029717741</v>
      </c>
      <c r="M31" s="249">
        <f t="shared" si="0"/>
        <v>3.2408404029717741</v>
      </c>
      <c r="N31" s="249">
        <f t="shared" si="0"/>
        <v>3.2408404029717741</v>
      </c>
      <c r="O31" s="249">
        <f t="shared" si="0"/>
        <v>3.2408404029717741</v>
      </c>
      <c r="P31" s="267">
        <f t="shared" si="0"/>
        <v>3.4901358185849873</v>
      </c>
      <c r="Q31" s="249">
        <f t="shared" si="0"/>
        <v>3.4901358185849873</v>
      </c>
      <c r="R31" s="249">
        <f t="shared" si="0"/>
        <v>3.4901358185849873</v>
      </c>
      <c r="S31" s="249">
        <f t="shared" si="0"/>
        <v>3.4901358185849873</v>
      </c>
      <c r="T31" s="267">
        <f t="shared" si="0"/>
        <v>3.739431234198201</v>
      </c>
      <c r="U31" s="249">
        <f t="shared" si="0"/>
        <v>3.739431234198201</v>
      </c>
      <c r="V31" s="250">
        <f t="shared" si="0"/>
        <v>3.739431234198201</v>
      </c>
    </row>
    <row r="32" spans="1:24" s="201" customFormat="1" ht="17" thickBot="1">
      <c r="A32" s="201" t="s">
        <v>72</v>
      </c>
      <c r="B32" s="231">
        <v>2.75</v>
      </c>
      <c r="C32" s="231">
        <v>2.75</v>
      </c>
      <c r="D32" s="251">
        <f>D29</f>
        <v>2.75</v>
      </c>
      <c r="E32" s="252">
        <f t="shared" ref="E32:V32" si="1">E29</f>
        <v>2.75</v>
      </c>
      <c r="F32" s="252">
        <f t="shared" si="1"/>
        <v>2.75</v>
      </c>
      <c r="G32" s="252">
        <f t="shared" si="1"/>
        <v>2.75</v>
      </c>
      <c r="H32" s="268">
        <f t="shared" si="1"/>
        <v>3</v>
      </c>
      <c r="I32" s="252">
        <f t="shared" si="1"/>
        <v>3</v>
      </c>
      <c r="J32" s="252">
        <f t="shared" si="1"/>
        <v>3</v>
      </c>
      <c r="K32" s="252">
        <f t="shared" si="1"/>
        <v>3</v>
      </c>
      <c r="L32" s="268">
        <f t="shared" si="1"/>
        <v>3.25</v>
      </c>
      <c r="M32" s="252">
        <f t="shared" si="1"/>
        <v>3.25</v>
      </c>
      <c r="N32" s="252">
        <f t="shared" si="1"/>
        <v>3.25</v>
      </c>
      <c r="O32" s="252">
        <f t="shared" si="1"/>
        <v>3.25</v>
      </c>
      <c r="P32" s="268">
        <f t="shared" si="1"/>
        <v>3.5</v>
      </c>
      <c r="Q32" s="252">
        <f t="shared" si="1"/>
        <v>3.5</v>
      </c>
      <c r="R32" s="252">
        <f t="shared" si="1"/>
        <v>3.5</v>
      </c>
      <c r="S32" s="252">
        <f t="shared" si="1"/>
        <v>3.5</v>
      </c>
      <c r="T32" s="268">
        <f t="shared" si="1"/>
        <v>3.75</v>
      </c>
      <c r="U32" s="252">
        <f t="shared" si="1"/>
        <v>3.75</v>
      </c>
      <c r="V32" s="253">
        <f t="shared" si="1"/>
        <v>3.75</v>
      </c>
    </row>
    <row r="33" spans="1:22">
      <c r="D33" s="221"/>
      <c r="E33" s="221"/>
      <c r="F33" s="221"/>
      <c r="G33" s="221"/>
    </row>
    <row r="34" spans="1:22" s="201" customFormat="1">
      <c r="A34" s="229" t="s">
        <v>73</v>
      </c>
      <c r="D34" s="230"/>
      <c r="E34" s="230"/>
      <c r="F34" s="230"/>
      <c r="G34" s="230"/>
    </row>
    <row r="35" spans="1:22" s="201" customFormat="1">
      <c r="A35" s="201" t="s">
        <v>69</v>
      </c>
      <c r="B35" s="234">
        <v>0.36406253183562626</v>
      </c>
      <c r="C35" s="234">
        <v>0.36406253183562626</v>
      </c>
      <c r="D35" s="234">
        <v>0.3725923633910791</v>
      </c>
      <c r="E35" s="234">
        <v>0.3725923633910791</v>
      </c>
      <c r="F35" s="234">
        <v>0.3725923633910791</v>
      </c>
      <c r="G35" s="234">
        <v>0.3725923633910791</v>
      </c>
      <c r="H35" s="234">
        <v>0.3725923633910791</v>
      </c>
      <c r="I35" s="234">
        <v>0.3725923633910791</v>
      </c>
      <c r="J35" s="234">
        <v>0.3725923633910791</v>
      </c>
      <c r="K35" s="234">
        <v>0.3725923633910791</v>
      </c>
      <c r="L35" s="234">
        <v>0.3725923633910791</v>
      </c>
      <c r="M35" s="234">
        <v>0.3725923633910791</v>
      </c>
      <c r="N35" s="234">
        <v>0.3725923633910791</v>
      </c>
      <c r="O35" s="234">
        <v>0.3725923633910791</v>
      </c>
      <c r="P35" s="234">
        <v>0.3725923633910791</v>
      </c>
      <c r="Q35" s="234">
        <v>0.3725923633910791</v>
      </c>
      <c r="R35" s="234">
        <v>0.3725923633910791</v>
      </c>
      <c r="S35" s="234">
        <v>0.3725923633910791</v>
      </c>
      <c r="T35" s="234">
        <v>0.3725923633910791</v>
      </c>
      <c r="U35" s="234">
        <v>0.3725923633910791</v>
      </c>
      <c r="V35" s="234">
        <v>0.3725923633910791</v>
      </c>
    </row>
    <row r="36" spans="1:22" s="201" customFormat="1">
      <c r="A36" s="201" t="s">
        <v>70</v>
      </c>
      <c r="B36" s="234">
        <v>0.5969689539783597</v>
      </c>
      <c r="C36" s="234">
        <v>0.5969689539783597</v>
      </c>
      <c r="D36" s="234">
        <v>0.59035130290895832</v>
      </c>
      <c r="E36" s="234">
        <v>0.59035130290895832</v>
      </c>
      <c r="F36" s="234">
        <v>0.59035130290895832</v>
      </c>
      <c r="G36" s="234">
        <v>0.59035130290895832</v>
      </c>
      <c r="H36" s="234">
        <v>0.59035130290895832</v>
      </c>
      <c r="I36" s="234">
        <v>0.59035130290895832</v>
      </c>
      <c r="J36" s="234">
        <v>0.59035130290895832</v>
      </c>
      <c r="K36" s="234">
        <v>0.59035130290895832</v>
      </c>
      <c r="L36" s="234">
        <v>0.59035130290895832</v>
      </c>
      <c r="M36" s="234">
        <v>0.59035130290895832</v>
      </c>
      <c r="N36" s="234">
        <v>0.59035130290895832</v>
      </c>
      <c r="O36" s="234">
        <v>0.59035130290895832</v>
      </c>
      <c r="P36" s="234">
        <v>0.59035130290895832</v>
      </c>
      <c r="Q36" s="234">
        <v>0.59035130290895832</v>
      </c>
      <c r="R36" s="234">
        <v>0.59035130290895832</v>
      </c>
      <c r="S36" s="234">
        <v>0.59035130290895832</v>
      </c>
      <c r="T36" s="234">
        <v>0.59035130290895832</v>
      </c>
      <c r="U36" s="234">
        <v>0.59035130290895832</v>
      </c>
      <c r="V36" s="234">
        <v>0.59035130290895832</v>
      </c>
    </row>
    <row r="37" spans="1:22" s="201" customFormat="1">
      <c r="A37" s="201" t="s">
        <v>71</v>
      </c>
      <c r="B37" s="234">
        <v>2.8548055313567022E-2</v>
      </c>
      <c r="C37" s="234">
        <v>2.8548055313567022E-2</v>
      </c>
      <c r="D37" s="234">
        <v>2.7785137221154201E-2</v>
      </c>
      <c r="E37" s="234">
        <v>2.7785137221154201E-2</v>
      </c>
      <c r="F37" s="234">
        <v>2.7785137221154201E-2</v>
      </c>
      <c r="G37" s="234">
        <v>2.7785137221154201E-2</v>
      </c>
      <c r="H37" s="234">
        <v>2.7785137221154201E-2</v>
      </c>
      <c r="I37" s="234">
        <v>2.7785137221154201E-2</v>
      </c>
      <c r="J37" s="234">
        <v>2.7785137221154201E-2</v>
      </c>
      <c r="K37" s="234">
        <v>2.7785137221154201E-2</v>
      </c>
      <c r="L37" s="234">
        <v>2.7785137221154201E-2</v>
      </c>
      <c r="M37" s="234">
        <v>2.7785137221154201E-2</v>
      </c>
      <c r="N37" s="234">
        <v>2.7785137221154201E-2</v>
      </c>
      <c r="O37" s="234">
        <v>2.7785137221154201E-2</v>
      </c>
      <c r="P37" s="234">
        <v>2.7785137221154201E-2</v>
      </c>
      <c r="Q37" s="234">
        <v>2.7785137221154201E-2</v>
      </c>
      <c r="R37" s="234">
        <v>2.7785137221154201E-2</v>
      </c>
      <c r="S37" s="234">
        <v>2.7785137221154201E-2</v>
      </c>
      <c r="T37" s="234">
        <v>2.7785137221154201E-2</v>
      </c>
      <c r="U37" s="234">
        <v>2.7785137221154201E-2</v>
      </c>
      <c r="V37" s="234">
        <v>2.7785137221154201E-2</v>
      </c>
    </row>
    <row r="38" spans="1:22" s="201" customFormat="1">
      <c r="A38" s="201" t="s">
        <v>72</v>
      </c>
      <c r="B38" s="234">
        <v>1.0420458872447032E-2</v>
      </c>
      <c r="C38" s="234">
        <v>1.0420458872447032E-2</v>
      </c>
      <c r="D38" s="234">
        <v>9.2711964788083634E-3</v>
      </c>
      <c r="E38" s="234">
        <v>9.2711964788083634E-3</v>
      </c>
      <c r="F38" s="234">
        <v>9.2711964788083634E-3</v>
      </c>
      <c r="G38" s="234">
        <v>9.2711964788083634E-3</v>
      </c>
      <c r="H38" s="234">
        <v>9.2711964788083634E-3</v>
      </c>
      <c r="I38" s="234">
        <v>9.2711964788083634E-3</v>
      </c>
      <c r="J38" s="234">
        <v>9.2711964788083634E-3</v>
      </c>
      <c r="K38" s="234">
        <v>9.2711964788083634E-3</v>
      </c>
      <c r="L38" s="234">
        <v>9.2711964788083634E-3</v>
      </c>
      <c r="M38" s="234">
        <v>9.2711964788083634E-3</v>
      </c>
      <c r="N38" s="234">
        <v>9.2711964788083634E-3</v>
      </c>
      <c r="O38" s="234">
        <v>9.2711964788083634E-3</v>
      </c>
      <c r="P38" s="234">
        <v>9.2711964788083634E-3</v>
      </c>
      <c r="Q38" s="234">
        <v>9.2711964788083634E-3</v>
      </c>
      <c r="R38" s="234">
        <v>9.2711964788083634E-3</v>
      </c>
      <c r="S38" s="234">
        <v>9.2711964788083634E-3</v>
      </c>
      <c r="T38" s="234">
        <v>9.2711964788083634E-3</v>
      </c>
      <c r="U38" s="234">
        <v>9.2711964788083634E-3</v>
      </c>
      <c r="V38" s="234">
        <v>9.2711964788083634E-3</v>
      </c>
    </row>
    <row r="39" spans="1:22" s="201" customFormat="1"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H39" s="235">
        <v>1</v>
      </c>
      <c r="I39" s="235">
        <v>1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  <c r="P39" s="235">
        <v>1</v>
      </c>
      <c r="Q39" s="235">
        <v>1</v>
      </c>
      <c r="R39" s="235">
        <v>1</v>
      </c>
      <c r="S39" s="235">
        <v>1</v>
      </c>
      <c r="T39" s="235">
        <v>1</v>
      </c>
      <c r="U39" s="235">
        <v>1</v>
      </c>
      <c r="V39" s="235">
        <v>1</v>
      </c>
    </row>
    <row r="40" spans="1:22">
      <c r="V40" s="215"/>
    </row>
    <row r="41" spans="1:22" s="201" customFormat="1">
      <c r="A41" s="201" t="s">
        <v>74</v>
      </c>
      <c r="B41" s="266">
        <f>B29*B35*B$24</f>
        <v>76792.891431176889</v>
      </c>
      <c r="C41" s="266">
        <f t="shared" ref="C41:V41" si="2">C29*C35*C$24</f>
        <v>80228.347350622891</v>
      </c>
      <c r="D41" s="266">
        <f t="shared" si="2"/>
        <v>86046.145606773396</v>
      </c>
      <c r="E41" s="266">
        <f t="shared" si="2"/>
        <v>88756.062567273373</v>
      </c>
      <c r="F41" s="266">
        <f t="shared" si="2"/>
        <v>89572.267319177408</v>
      </c>
      <c r="G41" s="266">
        <f t="shared" si="2"/>
        <v>90057.317678639651</v>
      </c>
      <c r="H41" s="266">
        <f t="shared" si="2"/>
        <v>99539.322364418782</v>
      </c>
      <c r="I41" s="266">
        <f t="shared" si="2"/>
        <v>100085.40634246818</v>
      </c>
      <c r="J41" s="266">
        <f t="shared" si="2"/>
        <v>101027.97371684859</v>
      </c>
      <c r="K41" s="266">
        <f t="shared" si="2"/>
        <v>101838.94694965072</v>
      </c>
      <c r="L41" s="266">
        <f t="shared" si="2"/>
        <v>111759.74695065098</v>
      </c>
      <c r="M41" s="266">
        <f t="shared" si="2"/>
        <v>112782.04880165761</v>
      </c>
      <c r="N41" s="266">
        <f t="shared" si="2"/>
        <v>113936.2156046311</v>
      </c>
      <c r="O41" s="266">
        <f t="shared" si="2"/>
        <v>115029.86341050592</v>
      </c>
      <c r="P41" s="266">
        <f t="shared" si="2"/>
        <v>125273.20006675398</v>
      </c>
      <c r="Q41" s="266">
        <f t="shared" si="2"/>
        <v>126300.43856453107</v>
      </c>
      <c r="R41" s="266">
        <f t="shared" si="2"/>
        <v>127159.11057999927</v>
      </c>
      <c r="S41" s="266">
        <f t="shared" si="2"/>
        <v>128536.26899344855</v>
      </c>
      <c r="T41" s="266">
        <f t="shared" si="2"/>
        <v>139293.10062599278</v>
      </c>
      <c r="U41" s="266">
        <f t="shared" si="2"/>
        <v>140663.622073014</v>
      </c>
      <c r="V41" s="266">
        <f t="shared" si="2"/>
        <v>142047.62824417662</v>
      </c>
    </row>
    <row r="42" spans="1:22" s="201" customFormat="1">
      <c r="A42" s="201" t="s">
        <v>75</v>
      </c>
      <c r="B42" s="266">
        <f>B30*B36*B$24</f>
        <v>104121.50020252696</v>
      </c>
      <c r="C42" s="266">
        <f t="shared" ref="C42:V42" si="3">C30*C36*C$24</f>
        <v>107226.93749636752</v>
      </c>
      <c r="D42" s="266">
        <f t="shared" si="3"/>
        <v>125371.77321732321</v>
      </c>
      <c r="E42" s="266">
        <f t="shared" si="3"/>
        <v>132958.2402524208</v>
      </c>
      <c r="F42" s="266">
        <f t="shared" si="3"/>
        <v>134180.93022265885</v>
      </c>
      <c r="G42" s="266">
        <f t="shared" si="3"/>
        <v>134907.54472495292</v>
      </c>
      <c r="H42" s="266">
        <f t="shared" si="3"/>
        <v>147200.07563433409</v>
      </c>
      <c r="I42" s="266">
        <f t="shared" si="3"/>
        <v>148007.63189413343</v>
      </c>
      <c r="J42" s="266">
        <f t="shared" si="3"/>
        <v>149401.51308102053</v>
      </c>
      <c r="K42" s="266">
        <f t="shared" si="3"/>
        <v>150600.79109869534</v>
      </c>
      <c r="L42" s="266">
        <f t="shared" si="3"/>
        <v>163455.62861975294</v>
      </c>
      <c r="M42" s="266">
        <f t="shared" si="3"/>
        <v>164950.80909621922</v>
      </c>
      <c r="N42" s="266">
        <f t="shared" si="3"/>
        <v>166638.850322685</v>
      </c>
      <c r="O42" s="266">
        <f t="shared" si="3"/>
        <v>168238.37872602703</v>
      </c>
      <c r="P42" s="266">
        <f t="shared" si="3"/>
        <v>181474.94862279389</v>
      </c>
      <c r="Q42" s="266">
        <f t="shared" si="3"/>
        <v>182963.04067686544</v>
      </c>
      <c r="R42" s="266">
        <f t="shared" si="3"/>
        <v>184206.94168528455</v>
      </c>
      <c r="S42" s="266">
        <f t="shared" si="3"/>
        <v>186201.93943574501</v>
      </c>
      <c r="T42" s="266">
        <f t="shared" si="3"/>
        <v>200103.10689429651</v>
      </c>
      <c r="U42" s="266">
        <f t="shared" si="3"/>
        <v>202071.94525299294</v>
      </c>
      <c r="V42" s="266">
        <f t="shared" si="3"/>
        <v>204060.15524735671</v>
      </c>
    </row>
    <row r="43" spans="1:22" s="201" customFormat="1">
      <c r="A43" s="201" t="s">
        <v>76</v>
      </c>
      <c r="B43" s="266">
        <f>B31*B37*B$24</f>
        <v>6407.7120405541145</v>
      </c>
      <c r="C43" s="266">
        <f t="shared" ref="C43:V43" si="4">C31*C37*C$24</f>
        <v>6407.7120405541145</v>
      </c>
      <c r="D43" s="266">
        <f t="shared" si="4"/>
        <v>6398.5902683581544</v>
      </c>
      <c r="E43" s="266">
        <f t="shared" si="4"/>
        <v>6600.1059570533234</v>
      </c>
      <c r="F43" s="266">
        <f t="shared" si="4"/>
        <v>6660.8008289234449</v>
      </c>
      <c r="G43" s="266">
        <f t="shared" si="4"/>
        <v>6696.8702947645088</v>
      </c>
      <c r="H43" s="266">
        <f t="shared" si="4"/>
        <v>7401.9740792410184</v>
      </c>
      <c r="I43" s="266">
        <f t="shared" si="4"/>
        <v>7442.5821460290581</v>
      </c>
      <c r="J43" s="266">
        <f t="shared" si="4"/>
        <v>7512.6736345722429</v>
      </c>
      <c r="K43" s="266">
        <f t="shared" si="4"/>
        <v>7572.9794785901786</v>
      </c>
      <c r="L43" s="266">
        <f t="shared" si="4"/>
        <v>8310.7130969073114</v>
      </c>
      <c r="M43" s="266">
        <f t="shared" si="4"/>
        <v>8386.7338254251117</v>
      </c>
      <c r="N43" s="266">
        <f t="shared" si="4"/>
        <v>8472.5603365545867</v>
      </c>
      <c r="O43" s="266">
        <f t="shared" si="4"/>
        <v>8553.8865151804312</v>
      </c>
      <c r="P43" s="266">
        <f t="shared" si="4"/>
        <v>9315.6047046704407</v>
      </c>
      <c r="Q43" s="266">
        <f t="shared" si="4"/>
        <v>9391.9925336523102</v>
      </c>
      <c r="R43" s="266">
        <f t="shared" si="4"/>
        <v>9455.8453693969223</v>
      </c>
      <c r="S43" s="266">
        <f t="shared" si="4"/>
        <v>9558.2540520885814</v>
      </c>
      <c r="T43" s="266">
        <f t="shared" si="4"/>
        <v>10358.156914872323</v>
      </c>
      <c r="U43" s="266">
        <f t="shared" si="4"/>
        <v>10460.07205740017</v>
      </c>
      <c r="V43" s="266">
        <f t="shared" si="4"/>
        <v>10562.989955182818</v>
      </c>
    </row>
    <row r="44" spans="1:22" s="201" customFormat="1">
      <c r="A44" s="201" t="s">
        <v>77</v>
      </c>
      <c r="B44" s="266">
        <f>B32*B38*B$24</f>
        <v>2345.5193348912062</v>
      </c>
      <c r="C44" s="266">
        <f t="shared" ref="C44:V44" si="5">C32*C38*C$24</f>
        <v>2345.5193348912062</v>
      </c>
      <c r="D44" s="266">
        <f t="shared" si="5"/>
        <v>2141.0817841352718</v>
      </c>
      <c r="E44" s="266">
        <f t="shared" si="5"/>
        <v>2208.5125074957496</v>
      </c>
      <c r="F44" s="266">
        <f t="shared" si="5"/>
        <v>2228.8220880597955</v>
      </c>
      <c r="G44" s="266">
        <f t="shared" si="5"/>
        <v>2240.8915710297697</v>
      </c>
      <c r="H44" s="266">
        <f t="shared" si="5"/>
        <v>2476.8318024793566</v>
      </c>
      <c r="I44" s="266">
        <f t="shared" si="5"/>
        <v>2490.4199818192301</v>
      </c>
      <c r="J44" s="266">
        <f t="shared" si="5"/>
        <v>2513.873836973054</v>
      </c>
      <c r="K44" s="266">
        <f t="shared" si="5"/>
        <v>2534.0532419182682</v>
      </c>
      <c r="L44" s="266">
        <f t="shared" si="5"/>
        <v>2780.9119944678855</v>
      </c>
      <c r="M44" s="266">
        <f t="shared" si="5"/>
        <v>2806.349878473532</v>
      </c>
      <c r="N44" s="266">
        <f t="shared" si="5"/>
        <v>2835.0689512486601</v>
      </c>
      <c r="O44" s="266">
        <f t="shared" si="5"/>
        <v>2862.2821329537305</v>
      </c>
      <c r="P44" s="266">
        <f t="shared" si="5"/>
        <v>3117.1665483892016</v>
      </c>
      <c r="Q44" s="266">
        <f t="shared" si="5"/>
        <v>3142.7272707207298</v>
      </c>
      <c r="R44" s="266">
        <f t="shared" si="5"/>
        <v>3164.0935620043333</v>
      </c>
      <c r="S44" s="266">
        <f t="shared" si="5"/>
        <v>3198.3613234724635</v>
      </c>
      <c r="T44" s="266">
        <f t="shared" si="5"/>
        <v>3466.0230078052195</v>
      </c>
      <c r="U44" s="266">
        <f t="shared" si="5"/>
        <v>3500.1256219815</v>
      </c>
      <c r="V44" s="266">
        <f t="shared" si="5"/>
        <v>3534.5637758501125</v>
      </c>
    </row>
    <row r="45" spans="1:22" s="201" customFormat="1">
      <c r="A45" s="201" t="s">
        <v>78</v>
      </c>
      <c r="B45" s="266">
        <v>350</v>
      </c>
      <c r="C45" s="266">
        <v>364</v>
      </c>
      <c r="D45" s="266">
        <v>350</v>
      </c>
      <c r="E45" s="266">
        <v>400</v>
      </c>
      <c r="F45" s="266">
        <v>400</v>
      </c>
      <c r="G45" s="266">
        <v>400</v>
      </c>
      <c r="H45" s="266">
        <v>400</v>
      </c>
      <c r="I45" s="266">
        <v>400</v>
      </c>
      <c r="J45" s="266">
        <v>400</v>
      </c>
      <c r="K45" s="266">
        <v>400</v>
      </c>
      <c r="L45" s="266">
        <v>400</v>
      </c>
      <c r="M45" s="266">
        <v>400</v>
      </c>
      <c r="N45" s="266">
        <v>400</v>
      </c>
      <c r="O45" s="266">
        <v>400</v>
      </c>
      <c r="P45" s="266">
        <v>400</v>
      </c>
      <c r="Q45" s="266">
        <v>400</v>
      </c>
      <c r="R45" s="266">
        <v>400</v>
      </c>
      <c r="S45" s="266">
        <v>400</v>
      </c>
      <c r="T45" s="266">
        <v>400</v>
      </c>
      <c r="U45" s="266">
        <v>400</v>
      </c>
      <c r="V45" s="266">
        <v>400</v>
      </c>
    </row>
    <row r="46" spans="1:22" s="201" customFormat="1">
      <c r="A46" s="201" t="s">
        <v>79</v>
      </c>
      <c r="B46" s="266">
        <v>900</v>
      </c>
      <c r="C46" s="266">
        <v>844</v>
      </c>
      <c r="D46" s="266">
        <v>900</v>
      </c>
      <c r="E46" s="266">
        <v>830</v>
      </c>
      <c r="F46" s="266">
        <v>830</v>
      </c>
      <c r="G46" s="266">
        <v>830</v>
      </c>
      <c r="H46" s="266">
        <v>830</v>
      </c>
      <c r="I46" s="266">
        <v>830</v>
      </c>
      <c r="J46" s="266">
        <v>830</v>
      </c>
      <c r="K46" s="266">
        <v>830</v>
      </c>
      <c r="L46" s="266">
        <v>830</v>
      </c>
      <c r="M46" s="266">
        <v>830</v>
      </c>
      <c r="N46" s="266">
        <v>830</v>
      </c>
      <c r="O46" s="266">
        <v>830</v>
      </c>
      <c r="P46" s="266">
        <v>830</v>
      </c>
      <c r="Q46" s="266">
        <v>830</v>
      </c>
      <c r="R46" s="266">
        <v>830</v>
      </c>
      <c r="S46" s="266">
        <v>830</v>
      </c>
      <c r="T46" s="266">
        <v>830</v>
      </c>
      <c r="U46" s="266">
        <v>830</v>
      </c>
      <c r="V46" s="266">
        <v>830</v>
      </c>
    </row>
    <row r="47" spans="1:22" s="201" customFormat="1"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</row>
    <row r="48" spans="1:22" s="198" customFormat="1" ht="17" thickBot="1">
      <c r="A48" s="237" t="s">
        <v>80</v>
      </c>
      <c r="B48" s="212">
        <f>SUM(B41:B46)</f>
        <v>190917.62300914916</v>
      </c>
      <c r="C48" s="212">
        <f t="shared" ref="C48:V48" si="6">SUM(C41:C46)</f>
        <v>197416.51622243575</v>
      </c>
      <c r="D48" s="212">
        <f t="shared" si="6"/>
        <v>221207.59087659005</v>
      </c>
      <c r="E48" s="212">
        <f t="shared" si="6"/>
        <v>231752.92128424323</v>
      </c>
      <c r="F48" s="212">
        <f t="shared" si="6"/>
        <v>233872.82045881948</v>
      </c>
      <c r="G48" s="212">
        <f t="shared" si="6"/>
        <v>235132.62426938684</v>
      </c>
      <c r="H48" s="212">
        <f t="shared" si="6"/>
        <v>257848.20388047327</v>
      </c>
      <c r="I48" s="212">
        <f t="shared" si="6"/>
        <v>259256.0403644499</v>
      </c>
      <c r="J48" s="212">
        <f t="shared" si="6"/>
        <v>261686.03426941441</v>
      </c>
      <c r="K48" s="212">
        <f t="shared" si="6"/>
        <v>263776.77076885453</v>
      </c>
      <c r="L48" s="212">
        <f t="shared" si="6"/>
        <v>287537.00066177914</v>
      </c>
      <c r="M48" s="212">
        <f t="shared" si="6"/>
        <v>290155.94160177547</v>
      </c>
      <c r="N48" s="212">
        <f t="shared" si="6"/>
        <v>293112.69521511934</v>
      </c>
      <c r="O48" s="212">
        <f t="shared" si="6"/>
        <v>295914.41078466712</v>
      </c>
      <c r="P48" s="212">
        <f t="shared" si="6"/>
        <v>320410.91994260752</v>
      </c>
      <c r="Q48" s="212">
        <f t="shared" si="6"/>
        <v>323028.19904576952</v>
      </c>
      <c r="R48" s="212">
        <f t="shared" si="6"/>
        <v>325215.99119668506</v>
      </c>
      <c r="S48" s="212">
        <f t="shared" si="6"/>
        <v>328724.82380475465</v>
      </c>
      <c r="T48" s="212">
        <f t="shared" si="6"/>
        <v>354450.38744296686</v>
      </c>
      <c r="U48" s="212">
        <f t="shared" si="6"/>
        <v>357925.76500538865</v>
      </c>
      <c r="V48" s="212">
        <f t="shared" si="6"/>
        <v>361435.3372225663</v>
      </c>
    </row>
    <row r="49" spans="3:3" ht="17" thickTop="1">
      <c r="C49" s="220"/>
    </row>
  </sheetData>
  <mergeCells count="1">
    <mergeCell ref="B7:F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768D-8F1F-4F37-877B-25A0898D4A0D}">
  <dimension ref="C1:AX46"/>
  <sheetViews>
    <sheetView tabSelected="1" workbookViewId="0">
      <selection activeCell="I44" sqref="I44"/>
    </sheetView>
  </sheetViews>
  <sheetFormatPr baseColWidth="10" defaultColWidth="9.1640625" defaultRowHeight="15"/>
  <cols>
    <col min="1" max="2" width="2.5" style="1" customWidth="1"/>
    <col min="3" max="3" width="7.6640625" style="1" customWidth="1"/>
    <col min="4" max="4" width="12.5" style="1" customWidth="1"/>
    <col min="5" max="5" width="12.5" style="1" hidden="1" customWidth="1"/>
    <col min="6" max="6" width="7.1640625" style="1" hidden="1" customWidth="1"/>
    <col min="7" max="7" width="12.5" style="1" hidden="1" customWidth="1"/>
    <col min="8" max="8" width="7.1640625" style="1" hidden="1" customWidth="1"/>
    <col min="9" max="9" width="16" style="1" customWidth="1"/>
    <col min="10" max="10" width="10.5" style="1" customWidth="1"/>
    <col min="11" max="11" width="15.83203125" style="1" customWidth="1"/>
    <col min="12" max="12" width="8.5" style="1" customWidth="1"/>
    <col min="13" max="13" width="13" style="1" customWidth="1"/>
    <col min="14" max="14" width="9.33203125" style="1" customWidth="1"/>
    <col min="15" max="15" width="12.33203125" style="1" customWidth="1"/>
    <col min="16" max="16" width="9.33203125" style="1" customWidth="1"/>
    <col min="17" max="17" width="13.33203125" style="1" hidden="1" customWidth="1"/>
    <col min="18" max="18" width="6.5" style="1" hidden="1" customWidth="1"/>
    <col min="19" max="19" width="14.5" style="1" hidden="1" customWidth="1"/>
    <col min="20" max="20" width="7.1640625" style="1" hidden="1" customWidth="1"/>
    <col min="21" max="21" width="12.83203125" style="1" hidden="1" customWidth="1"/>
    <col min="22" max="22" width="8" style="1" hidden="1" customWidth="1"/>
    <col min="23" max="23" width="11.83203125" style="3" hidden="1" customWidth="1"/>
    <col min="24" max="24" width="6.83203125" style="1" hidden="1" customWidth="1"/>
    <col min="25" max="25" width="12.6640625" style="1" hidden="1" customWidth="1"/>
    <col min="26" max="26" width="6" style="1" hidden="1" customWidth="1"/>
    <col min="27" max="27" width="13.33203125" style="3" hidden="1" customWidth="1"/>
    <col min="28" max="28" width="6.83203125" style="1" hidden="1" customWidth="1"/>
    <col min="29" max="29" width="12.5" style="1" hidden="1" customWidth="1"/>
    <col min="30" max="30" width="6.83203125" style="1" hidden="1" customWidth="1"/>
    <col min="31" max="31" width="12.83203125" style="1" hidden="1" customWidth="1"/>
    <col min="32" max="32" width="6.83203125" style="1" hidden="1" customWidth="1"/>
    <col min="33" max="33" width="12.5" style="1" hidden="1" customWidth="1"/>
    <col min="34" max="34" width="6.83203125" style="1" hidden="1" customWidth="1"/>
    <col min="35" max="35" width="15.33203125" style="1" bestFit="1" customWidth="1"/>
    <col min="36" max="36" width="15.1640625" style="1" bestFit="1" customWidth="1"/>
    <col min="37" max="37" width="9.5" style="1" customWidth="1"/>
    <col min="38" max="38" width="3.5" style="1" customWidth="1"/>
    <col min="39" max="39" width="12.83203125" style="1" bestFit="1" customWidth="1"/>
    <col min="40" max="40" width="9.1640625" style="1"/>
    <col min="41" max="41" width="4.6640625" style="1" customWidth="1"/>
    <col min="42" max="42" width="13.83203125" style="1" customWidth="1"/>
    <col min="43" max="43" width="11.5" style="1" customWidth="1"/>
    <col min="44" max="44" width="15.33203125" style="1" bestFit="1" customWidth="1"/>
    <col min="45" max="45" width="16.5" style="1" bestFit="1" customWidth="1"/>
    <col min="46" max="46" width="9.1640625" style="1"/>
    <col min="47" max="47" width="5.83203125" style="1" customWidth="1"/>
    <col min="48" max="48" width="9.1640625" style="1"/>
    <col min="49" max="49" width="15.5" style="1" customWidth="1"/>
    <col min="50" max="50" width="19.1640625" style="1" bestFit="1" customWidth="1"/>
    <col min="51" max="16384" width="9.1640625" style="1"/>
  </cols>
  <sheetData>
    <row r="1" spans="3:50" ht="16" thickBot="1">
      <c r="E1" s="307" t="s">
        <v>0</v>
      </c>
      <c r="F1" s="307"/>
      <c r="G1" s="307"/>
      <c r="H1" s="307"/>
      <c r="I1" s="2"/>
      <c r="J1" s="2"/>
      <c r="K1" s="2"/>
      <c r="L1" s="2"/>
      <c r="M1" s="2"/>
      <c r="N1" s="2"/>
      <c r="O1" s="2"/>
      <c r="P1" s="2"/>
    </row>
    <row r="2" spans="3:50" ht="15" customHeight="1">
      <c r="C2" s="308" t="s">
        <v>1</v>
      </c>
      <c r="D2" s="311" t="s">
        <v>2</v>
      </c>
      <c r="E2" s="314" t="s">
        <v>3</v>
      </c>
      <c r="F2" s="315"/>
      <c r="G2" s="315"/>
      <c r="H2" s="316"/>
      <c r="I2" s="317" t="s">
        <v>3</v>
      </c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9"/>
      <c r="U2" s="4"/>
      <c r="V2" s="5"/>
      <c r="W2" s="328" t="s">
        <v>4</v>
      </c>
      <c r="X2" s="329"/>
      <c r="Y2" s="329"/>
      <c r="Z2" s="329"/>
      <c r="AA2" s="329"/>
      <c r="AB2" s="330"/>
      <c r="AC2" s="6"/>
      <c r="AD2" s="6"/>
      <c r="AE2" s="6"/>
      <c r="AF2" s="6"/>
      <c r="AG2" s="6"/>
      <c r="AH2" s="6"/>
      <c r="AI2" s="7" t="s">
        <v>5</v>
      </c>
      <c r="AJ2" s="320" t="s">
        <v>6</v>
      </c>
      <c r="AK2" s="319"/>
      <c r="AM2" s="321" t="s">
        <v>7</v>
      </c>
      <c r="AN2" s="322"/>
      <c r="AP2" s="323" t="s">
        <v>8</v>
      </c>
      <c r="AQ2" s="324"/>
      <c r="AR2" s="8" t="s">
        <v>5</v>
      </c>
      <c r="AS2" s="320" t="s">
        <v>9</v>
      </c>
      <c r="AT2" s="319"/>
    </row>
    <row r="3" spans="3:50">
      <c r="C3" s="309"/>
      <c r="D3" s="312"/>
      <c r="E3" s="9" t="s">
        <v>10</v>
      </c>
      <c r="F3" s="10"/>
      <c r="G3" s="10"/>
      <c r="H3" s="10"/>
      <c r="I3" s="325" t="s">
        <v>11</v>
      </c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7"/>
      <c r="U3" s="11"/>
      <c r="V3" s="12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5"/>
      <c r="AJ3" s="16"/>
      <c r="AK3" s="15"/>
      <c r="AM3" s="17"/>
      <c r="AN3" s="18"/>
      <c r="AP3" s="19" t="s">
        <v>12</v>
      </c>
      <c r="AQ3" s="20"/>
      <c r="AR3" s="21"/>
      <c r="AS3" s="22"/>
      <c r="AT3" s="23"/>
    </row>
    <row r="4" spans="3:50" ht="16" thickBot="1">
      <c r="C4" s="309"/>
      <c r="D4" s="312"/>
      <c r="E4" s="24"/>
      <c r="F4" s="25"/>
      <c r="G4" s="25"/>
      <c r="H4" s="25"/>
      <c r="I4" s="26" t="s">
        <v>13</v>
      </c>
      <c r="J4" s="27"/>
      <c r="K4" s="27"/>
      <c r="L4" s="27"/>
      <c r="M4" s="28" t="s">
        <v>14</v>
      </c>
      <c r="N4" s="27"/>
      <c r="O4" s="29" t="s">
        <v>15</v>
      </c>
      <c r="P4" s="27"/>
      <c r="Q4" s="27"/>
      <c r="R4" s="27"/>
      <c r="S4" s="27"/>
      <c r="T4" s="30"/>
      <c r="U4" s="31"/>
      <c r="V4" s="32"/>
      <c r="W4" s="33"/>
      <c r="X4" s="33"/>
      <c r="Y4" s="33"/>
      <c r="Z4" s="33"/>
      <c r="AA4" s="33"/>
      <c r="AB4" s="33"/>
      <c r="AC4" s="34"/>
      <c r="AD4" s="34"/>
      <c r="AE4" s="34"/>
      <c r="AF4" s="34"/>
      <c r="AG4" s="34"/>
      <c r="AH4" s="34"/>
      <c r="AI4" s="35"/>
      <c r="AJ4" s="36"/>
      <c r="AK4" s="35"/>
      <c r="AM4" s="37"/>
      <c r="AN4" s="38"/>
      <c r="AP4" s="39"/>
      <c r="AQ4" s="40"/>
      <c r="AR4" s="41"/>
      <c r="AS4" s="42"/>
      <c r="AT4" s="43"/>
    </row>
    <row r="5" spans="3:50" ht="16" thickBot="1">
      <c r="C5" s="310"/>
      <c r="D5" s="313"/>
      <c r="E5" s="44" t="s">
        <v>16</v>
      </c>
      <c r="F5" s="45"/>
      <c r="G5" s="45" t="s">
        <v>17</v>
      </c>
      <c r="H5" s="45"/>
      <c r="I5" s="46" t="s">
        <v>18</v>
      </c>
      <c r="J5" s="45"/>
      <c r="K5" s="45"/>
      <c r="L5" s="45"/>
      <c r="M5" s="47" t="s">
        <v>19</v>
      </c>
      <c r="N5" s="45"/>
      <c r="O5" s="45"/>
      <c r="P5" s="45"/>
      <c r="Q5" s="45" t="s">
        <v>20</v>
      </c>
      <c r="R5" s="48"/>
      <c r="S5" s="49" t="s">
        <v>21</v>
      </c>
      <c r="T5" s="50"/>
      <c r="U5" s="51" t="s">
        <v>17</v>
      </c>
      <c r="V5" s="52"/>
      <c r="W5" s="53" t="s">
        <v>16</v>
      </c>
      <c r="X5" s="52"/>
      <c r="Y5" s="52" t="s">
        <v>17</v>
      </c>
      <c r="Z5" s="52"/>
      <c r="AA5" s="53" t="s">
        <v>22</v>
      </c>
      <c r="AB5" s="52"/>
      <c r="AC5" s="52" t="s">
        <v>23</v>
      </c>
      <c r="AD5" s="52"/>
      <c r="AE5" s="52" t="s">
        <v>24</v>
      </c>
      <c r="AF5" s="52"/>
      <c r="AG5" s="52" t="s">
        <v>25</v>
      </c>
      <c r="AH5" s="52"/>
      <c r="AI5" s="54"/>
      <c r="AJ5" s="55"/>
      <c r="AK5" s="54"/>
      <c r="AM5" s="56"/>
      <c r="AN5" s="57"/>
      <c r="AP5" s="58"/>
      <c r="AQ5" s="50"/>
      <c r="AR5" s="59"/>
      <c r="AS5" s="51"/>
      <c r="AT5" s="50"/>
      <c r="AV5" s="60" t="s">
        <v>1</v>
      </c>
      <c r="AW5" s="61" t="s">
        <v>26</v>
      </c>
      <c r="AX5" s="61" t="s">
        <v>27</v>
      </c>
    </row>
    <row r="6" spans="3:50" ht="17" thickBot="1">
      <c r="C6" s="62">
        <v>2002</v>
      </c>
      <c r="D6" s="63">
        <v>51756855</v>
      </c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6"/>
      <c r="R6" s="66"/>
      <c r="S6" s="66"/>
      <c r="T6" s="67"/>
      <c r="U6" s="68"/>
      <c r="V6" s="66"/>
      <c r="W6" s="69"/>
      <c r="X6" s="70"/>
      <c r="Y6" s="70"/>
      <c r="Z6" s="70"/>
      <c r="AA6" s="69"/>
      <c r="AB6" s="70"/>
      <c r="AC6" s="66"/>
      <c r="AD6" s="70"/>
      <c r="AE6" s="66"/>
      <c r="AF6" s="70"/>
      <c r="AG6" s="66"/>
      <c r="AH6" s="70"/>
      <c r="AI6" s="71"/>
      <c r="AJ6" s="72"/>
      <c r="AK6" s="71"/>
      <c r="AM6" s="73"/>
      <c r="AN6" s="71"/>
      <c r="AP6" s="73"/>
      <c r="AQ6" s="71"/>
      <c r="AR6" s="74"/>
      <c r="AS6" s="72"/>
      <c r="AT6" s="71"/>
      <c r="AV6" s="75">
        <v>2002</v>
      </c>
      <c r="AW6" s="76">
        <v>51921634</v>
      </c>
      <c r="AX6" s="76">
        <v>51920735</v>
      </c>
    </row>
    <row r="7" spans="3:50" ht="17" thickBot="1">
      <c r="C7" s="77">
        <v>2003</v>
      </c>
      <c r="D7" s="78">
        <v>47913881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  <c r="R7" s="81"/>
      <c r="S7" s="81"/>
      <c r="T7" s="82"/>
      <c r="U7" s="83"/>
      <c r="V7" s="81"/>
      <c r="W7" s="84"/>
      <c r="X7" s="14"/>
      <c r="Y7" s="14"/>
      <c r="Z7" s="14"/>
      <c r="AA7" s="84"/>
      <c r="AB7" s="14"/>
      <c r="AC7" s="81"/>
      <c r="AD7" s="14"/>
      <c r="AE7" s="81"/>
      <c r="AF7" s="14"/>
      <c r="AG7" s="81"/>
      <c r="AH7" s="14"/>
      <c r="AI7" s="15"/>
      <c r="AJ7" s="16"/>
      <c r="AK7" s="15"/>
      <c r="AM7" s="85"/>
      <c r="AN7" s="15"/>
      <c r="AP7" s="85"/>
      <c r="AQ7" s="15"/>
      <c r="AR7" s="86"/>
      <c r="AS7" s="16"/>
      <c r="AT7" s="15"/>
      <c r="AV7" s="75">
        <v>2003</v>
      </c>
      <c r="AW7" s="76">
        <v>47920145</v>
      </c>
      <c r="AX7" s="76">
        <v>47913881</v>
      </c>
    </row>
    <row r="8" spans="3:50" ht="17" thickBot="1">
      <c r="C8" s="77">
        <v>2004</v>
      </c>
      <c r="D8" s="78">
        <v>57699388</v>
      </c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  <c r="R8" s="81"/>
      <c r="S8" s="81"/>
      <c r="T8" s="82"/>
      <c r="U8" s="83"/>
      <c r="V8" s="81"/>
      <c r="W8" s="84"/>
      <c r="X8" s="14"/>
      <c r="Y8" s="14"/>
      <c r="Z8" s="14"/>
      <c r="AA8" s="84"/>
      <c r="AB8" s="14"/>
      <c r="AC8" s="81"/>
      <c r="AD8" s="14"/>
      <c r="AE8" s="81"/>
      <c r="AF8" s="14"/>
      <c r="AG8" s="81"/>
      <c r="AH8" s="14"/>
      <c r="AI8" s="15"/>
      <c r="AJ8" s="16"/>
      <c r="AK8" s="15"/>
      <c r="AM8" s="85"/>
      <c r="AN8" s="15"/>
      <c r="AP8" s="85"/>
      <c r="AQ8" s="15"/>
      <c r="AR8" s="86"/>
      <c r="AS8" s="16"/>
      <c r="AT8" s="15"/>
      <c r="AV8" s="75">
        <v>2004</v>
      </c>
      <c r="AW8" s="76">
        <v>57724426</v>
      </c>
      <c r="AX8" s="76">
        <v>57699388</v>
      </c>
    </row>
    <row r="9" spans="3:50" ht="17" thickBot="1">
      <c r="C9" s="77">
        <v>2005</v>
      </c>
      <c r="D9" s="78">
        <v>60711890</v>
      </c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81"/>
      <c r="S9" s="81"/>
      <c r="T9" s="82"/>
      <c r="U9" s="83"/>
      <c r="V9" s="81"/>
      <c r="W9" s="84"/>
      <c r="X9" s="14"/>
      <c r="Y9" s="14"/>
      <c r="Z9" s="14"/>
      <c r="AA9" s="84"/>
      <c r="AB9" s="14"/>
      <c r="AC9" s="81"/>
      <c r="AD9" s="14"/>
      <c r="AE9" s="81"/>
      <c r="AF9" s="14"/>
      <c r="AG9" s="81"/>
      <c r="AH9" s="14"/>
      <c r="AI9" s="15"/>
      <c r="AJ9" s="16"/>
      <c r="AK9" s="15"/>
      <c r="AM9" s="85"/>
      <c r="AN9" s="15"/>
      <c r="AP9" s="85"/>
      <c r="AQ9" s="15"/>
      <c r="AR9" s="86"/>
      <c r="AS9" s="16"/>
      <c r="AT9" s="15"/>
      <c r="AV9" s="75">
        <v>2005</v>
      </c>
      <c r="AW9" s="76">
        <v>60786546</v>
      </c>
      <c r="AX9" s="76">
        <v>60711890</v>
      </c>
    </row>
    <row r="10" spans="3:50" ht="17" thickBot="1">
      <c r="C10" s="77">
        <v>2006</v>
      </c>
      <c r="D10" s="78">
        <v>66830318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7"/>
      <c r="R10" s="81"/>
      <c r="S10" s="81"/>
      <c r="T10" s="82"/>
      <c r="U10" s="83"/>
      <c r="V10" s="81"/>
      <c r="W10" s="84"/>
      <c r="X10" s="14"/>
      <c r="Y10" s="14"/>
      <c r="Z10" s="14"/>
      <c r="AA10" s="84"/>
      <c r="AB10" s="14"/>
      <c r="AC10" s="81"/>
      <c r="AD10" s="14"/>
      <c r="AE10" s="81"/>
      <c r="AF10" s="14"/>
      <c r="AG10" s="81"/>
      <c r="AH10" s="14"/>
      <c r="AI10" s="15"/>
      <c r="AJ10" s="16"/>
      <c r="AK10" s="15"/>
      <c r="AM10" s="85"/>
      <c r="AN10" s="15"/>
      <c r="AP10" s="85"/>
      <c r="AQ10" s="15"/>
      <c r="AR10" s="86"/>
      <c r="AS10" s="16"/>
      <c r="AT10" s="15"/>
      <c r="AV10" s="75">
        <v>2006</v>
      </c>
      <c r="AW10" s="76">
        <v>66966440</v>
      </c>
      <c r="AX10" s="76">
        <v>66830318</v>
      </c>
    </row>
    <row r="11" spans="3:50" ht="17" thickBot="1">
      <c r="C11" s="77">
        <v>2007</v>
      </c>
      <c r="D11" s="78">
        <v>71554741</v>
      </c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81"/>
      <c r="S11" s="81"/>
      <c r="T11" s="82"/>
      <c r="U11" s="83"/>
      <c r="V11" s="81"/>
      <c r="W11" s="84"/>
      <c r="X11" s="14"/>
      <c r="Y11" s="14"/>
      <c r="Z11" s="14"/>
      <c r="AA11" s="84"/>
      <c r="AB11" s="14"/>
      <c r="AC11" s="81"/>
      <c r="AD11" s="14"/>
      <c r="AE11" s="81"/>
      <c r="AF11" s="14"/>
      <c r="AG11" s="81"/>
      <c r="AH11" s="14"/>
      <c r="AI11" s="15"/>
      <c r="AJ11" s="16"/>
      <c r="AK11" s="15"/>
      <c r="AM11" s="85"/>
      <c r="AN11" s="15"/>
      <c r="AP11" s="85"/>
      <c r="AQ11" s="15"/>
      <c r="AR11" s="86"/>
      <c r="AS11" s="16"/>
      <c r="AT11" s="15"/>
      <c r="AV11" s="75">
        <v>2007</v>
      </c>
      <c r="AW11" s="76">
        <v>71593826</v>
      </c>
      <c r="AX11" s="76">
        <v>71554741</v>
      </c>
    </row>
    <row r="12" spans="3:50" ht="17" thickBot="1">
      <c r="C12" s="77">
        <v>2008</v>
      </c>
      <c r="D12" s="78">
        <v>74933113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  <c r="R12" s="81"/>
      <c r="S12" s="81"/>
      <c r="T12" s="82"/>
      <c r="U12" s="83"/>
      <c r="V12" s="81"/>
      <c r="W12" s="84"/>
      <c r="X12" s="14"/>
      <c r="Y12" s="14"/>
      <c r="Z12" s="14"/>
      <c r="AA12" s="84"/>
      <c r="AB12" s="14"/>
      <c r="AC12" s="81"/>
      <c r="AD12" s="14"/>
      <c r="AE12" s="81"/>
      <c r="AF12" s="14"/>
      <c r="AG12" s="81"/>
      <c r="AH12" s="14"/>
      <c r="AI12" s="15"/>
      <c r="AJ12" s="16"/>
      <c r="AK12" s="15"/>
      <c r="AM12" s="85"/>
      <c r="AN12" s="15"/>
      <c r="AP12" s="85"/>
      <c r="AQ12" s="88"/>
      <c r="AR12" s="89"/>
      <c r="AS12" s="90"/>
      <c r="AT12" s="15"/>
      <c r="AU12" s="91"/>
      <c r="AV12" s="75">
        <v>2008</v>
      </c>
      <c r="AW12" s="76">
        <v>74955660</v>
      </c>
      <c r="AX12" s="76">
        <v>74933113</v>
      </c>
    </row>
    <row r="13" spans="3:50" ht="17" thickBot="1">
      <c r="C13" s="77">
        <v>2009</v>
      </c>
      <c r="D13" s="78">
        <v>72279443</v>
      </c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81"/>
      <c r="S13" s="81"/>
      <c r="T13" s="82"/>
      <c r="U13" s="83"/>
      <c r="V13" s="81"/>
      <c r="W13" s="84"/>
      <c r="X13" s="14"/>
      <c r="Y13" s="14"/>
      <c r="Z13" s="14"/>
      <c r="AA13" s="84"/>
      <c r="AB13" s="14"/>
      <c r="AC13" s="81"/>
      <c r="AD13" s="14"/>
      <c r="AE13" s="81"/>
      <c r="AF13" s="14"/>
      <c r="AG13" s="81"/>
      <c r="AH13" s="14"/>
      <c r="AI13" s="15"/>
      <c r="AJ13" s="16"/>
      <c r="AK13" s="15"/>
      <c r="AM13" s="85"/>
      <c r="AN13" s="15"/>
      <c r="AP13" s="85"/>
      <c r="AQ13" s="88"/>
      <c r="AR13" s="89"/>
      <c r="AS13" s="90"/>
      <c r="AT13" s="15"/>
      <c r="AU13" s="91"/>
      <c r="AV13" s="75">
        <v>2009</v>
      </c>
      <c r="AW13" s="76">
        <v>72281310</v>
      </c>
      <c r="AX13" s="76">
        <v>72279443</v>
      </c>
    </row>
    <row r="14" spans="3:50" ht="17" thickBot="1">
      <c r="C14" s="77">
        <v>2010</v>
      </c>
      <c r="D14" s="78">
        <v>73797524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81"/>
      <c r="S14" s="81"/>
      <c r="T14" s="82"/>
      <c r="U14" s="83"/>
      <c r="V14" s="81"/>
      <c r="W14" s="84"/>
      <c r="X14" s="14"/>
      <c r="Y14" s="14"/>
      <c r="Z14" s="14"/>
      <c r="AA14" s="84"/>
      <c r="AB14" s="14"/>
      <c r="AC14" s="81"/>
      <c r="AD14" s="14"/>
      <c r="AE14" s="81"/>
      <c r="AF14" s="14"/>
      <c r="AG14" s="81"/>
      <c r="AH14" s="14"/>
      <c r="AI14" s="15"/>
      <c r="AJ14" s="16"/>
      <c r="AK14" s="15"/>
      <c r="AM14" s="85"/>
      <c r="AN14" s="15"/>
      <c r="AP14" s="85"/>
      <c r="AQ14" s="88"/>
      <c r="AR14" s="89"/>
      <c r="AS14" s="90"/>
      <c r="AT14" s="15"/>
      <c r="AU14" s="91"/>
      <c r="AV14" s="75">
        <v>2010</v>
      </c>
      <c r="AW14" s="76">
        <v>73889746</v>
      </c>
      <c r="AX14" s="76">
        <v>73797524</v>
      </c>
    </row>
    <row r="15" spans="3:50" ht="17" thickBot="1">
      <c r="C15" s="77">
        <v>2011</v>
      </c>
      <c r="D15" s="78">
        <v>76318219</v>
      </c>
      <c r="E15" s="79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/>
      <c r="R15" s="81"/>
      <c r="S15" s="81"/>
      <c r="T15" s="82"/>
      <c r="U15" s="83"/>
      <c r="V15" s="81"/>
      <c r="W15" s="84"/>
      <c r="X15" s="14"/>
      <c r="Y15" s="14"/>
      <c r="Z15" s="14"/>
      <c r="AA15" s="84"/>
      <c r="AB15" s="14"/>
      <c r="AC15" s="81"/>
      <c r="AD15" s="14"/>
      <c r="AE15" s="81"/>
      <c r="AF15" s="14"/>
      <c r="AG15" s="81"/>
      <c r="AH15" s="14"/>
      <c r="AI15" s="15"/>
      <c r="AJ15" s="16"/>
      <c r="AK15" s="15"/>
      <c r="AM15" s="85"/>
      <c r="AN15" s="15"/>
      <c r="AP15" s="85"/>
      <c r="AQ15" s="15"/>
      <c r="AR15" s="86"/>
      <c r="AS15" s="16"/>
      <c r="AT15" s="15"/>
      <c r="AV15" s="75">
        <v>2011</v>
      </c>
      <c r="AW15" s="76">
        <v>76548025</v>
      </c>
      <c r="AX15" s="76">
        <v>76318219</v>
      </c>
    </row>
    <row r="16" spans="3:50" ht="17" thickBot="1">
      <c r="C16" s="77">
        <v>2012</v>
      </c>
      <c r="D16" s="78">
        <v>72477565</v>
      </c>
      <c r="E16" s="79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  <c r="R16" s="81"/>
      <c r="S16" s="81"/>
      <c r="T16" s="82"/>
      <c r="U16" s="83"/>
      <c r="V16" s="81"/>
      <c r="W16" s="84"/>
      <c r="X16" s="14"/>
      <c r="Y16" s="14"/>
      <c r="Z16" s="14"/>
      <c r="AA16" s="84"/>
      <c r="AB16" s="14"/>
      <c r="AC16" s="81"/>
      <c r="AD16" s="14"/>
      <c r="AE16" s="81"/>
      <c r="AF16" s="14"/>
      <c r="AG16" s="81"/>
      <c r="AH16" s="14"/>
      <c r="AI16" s="15"/>
      <c r="AJ16" s="16"/>
      <c r="AK16" s="15"/>
      <c r="AM16" s="85"/>
      <c r="AN16" s="15"/>
      <c r="AP16" s="85"/>
      <c r="AQ16" s="15"/>
      <c r="AR16" s="86"/>
      <c r="AS16" s="16"/>
      <c r="AT16" s="15"/>
      <c r="AV16" s="75">
        <v>2012</v>
      </c>
      <c r="AW16" s="76">
        <v>72563292</v>
      </c>
      <c r="AX16" s="76">
        <v>72477565</v>
      </c>
    </row>
    <row r="17" spans="3:50" ht="17" thickBot="1">
      <c r="C17" s="77">
        <v>2013</v>
      </c>
      <c r="D17" s="78">
        <v>72751921</v>
      </c>
      <c r="E17" s="79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  <c r="R17" s="81"/>
      <c r="S17" s="81"/>
      <c r="T17" s="82"/>
      <c r="U17" s="83"/>
      <c r="V17" s="81"/>
      <c r="W17" s="84"/>
      <c r="X17" s="14"/>
      <c r="Y17" s="14"/>
      <c r="Z17" s="14"/>
      <c r="AA17" s="84"/>
      <c r="AB17" s="14"/>
      <c r="AC17" s="81"/>
      <c r="AD17" s="14"/>
      <c r="AE17" s="81"/>
      <c r="AF17" s="14"/>
      <c r="AG17" s="81"/>
      <c r="AH17" s="14"/>
      <c r="AI17" s="15"/>
      <c r="AJ17" s="16"/>
      <c r="AK17" s="15"/>
      <c r="AM17" s="85"/>
      <c r="AN17" s="15"/>
      <c r="AP17" s="85"/>
      <c r="AQ17" s="15"/>
      <c r="AR17" s="86"/>
      <c r="AS17" s="16"/>
      <c r="AT17" s="15"/>
      <c r="AV17" s="75">
        <v>2013</v>
      </c>
      <c r="AW17" s="76">
        <v>72803289</v>
      </c>
      <c r="AX17" s="76">
        <v>72751921</v>
      </c>
    </row>
    <row r="18" spans="3:50" ht="17" thickBot="1">
      <c r="C18" s="77">
        <v>2014</v>
      </c>
      <c r="D18" s="78">
        <v>73609147</v>
      </c>
      <c r="E18" s="79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1"/>
      <c r="R18" s="81"/>
      <c r="S18" s="81"/>
      <c r="T18" s="82"/>
      <c r="U18" s="83"/>
      <c r="V18" s="81"/>
      <c r="W18" s="84"/>
      <c r="X18" s="14"/>
      <c r="Y18" s="14"/>
      <c r="Z18" s="14"/>
      <c r="AA18" s="84"/>
      <c r="AB18" s="14"/>
      <c r="AC18" s="81"/>
      <c r="AD18" s="14"/>
      <c r="AE18" s="81"/>
      <c r="AF18" s="14"/>
      <c r="AG18" s="81"/>
      <c r="AH18" s="14"/>
      <c r="AI18" s="15"/>
      <c r="AJ18" s="16"/>
      <c r="AK18" s="15"/>
      <c r="AM18" s="85"/>
      <c r="AN18" s="15"/>
      <c r="AP18" s="85"/>
      <c r="AQ18" s="88"/>
      <c r="AR18" s="89"/>
      <c r="AS18" s="90"/>
      <c r="AT18" s="15"/>
      <c r="AU18" s="91"/>
      <c r="AV18" s="75">
        <v>2014</v>
      </c>
      <c r="AW18" s="76">
        <v>73697120</v>
      </c>
      <c r="AX18" s="76">
        <v>73609147</v>
      </c>
    </row>
    <row r="19" spans="3:50" ht="17" thickBot="1">
      <c r="C19" s="77">
        <v>2015</v>
      </c>
      <c r="D19" s="78">
        <v>76463422</v>
      </c>
      <c r="E19" s="92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  <c r="R19" s="81"/>
      <c r="S19" s="81"/>
      <c r="T19" s="82"/>
      <c r="U19" s="83"/>
      <c r="V19" s="81"/>
      <c r="W19" s="84"/>
      <c r="X19" s="14"/>
      <c r="Y19" s="81"/>
      <c r="Z19" s="14"/>
      <c r="AA19" s="84"/>
      <c r="AB19" s="14"/>
      <c r="AC19" s="81"/>
      <c r="AD19" s="14"/>
      <c r="AE19" s="81"/>
      <c r="AF19" s="14"/>
      <c r="AG19" s="81"/>
      <c r="AH19" s="14"/>
      <c r="AI19" s="15"/>
      <c r="AJ19" s="298">
        <f>AJ24-AI24</f>
        <v>86677855.070878521</v>
      </c>
      <c r="AK19" s="15"/>
      <c r="AM19" s="85"/>
      <c r="AN19" s="15"/>
      <c r="AP19" s="85"/>
      <c r="AQ19" s="15"/>
      <c r="AR19" s="86"/>
      <c r="AS19" s="16"/>
      <c r="AT19" s="15"/>
      <c r="AV19" s="75">
        <v>2015</v>
      </c>
      <c r="AW19" s="76">
        <v>76541460</v>
      </c>
      <c r="AX19" s="76">
        <v>76463422</v>
      </c>
    </row>
    <row r="20" spans="3:50" ht="17" thickBot="1">
      <c r="C20" s="77">
        <v>2016</v>
      </c>
      <c r="D20" s="78">
        <v>78517133</v>
      </c>
      <c r="E20" s="79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  <c r="R20" s="81"/>
      <c r="S20" s="81"/>
      <c r="T20" s="82"/>
      <c r="U20" s="83"/>
      <c r="V20" s="81"/>
      <c r="W20" s="84"/>
      <c r="X20" s="14"/>
      <c r="Y20" s="14"/>
      <c r="Z20" s="14"/>
      <c r="AA20" s="84"/>
      <c r="AB20" s="14"/>
      <c r="AC20" s="81"/>
      <c r="AD20" s="14"/>
      <c r="AE20" s="81"/>
      <c r="AF20" s="14"/>
      <c r="AG20" s="81"/>
      <c r="AH20" s="14"/>
      <c r="AI20" s="15"/>
      <c r="AJ20" s="16"/>
      <c r="AK20" s="15"/>
      <c r="AM20" s="85"/>
      <c r="AN20" s="15"/>
      <c r="AP20" s="85"/>
      <c r="AQ20" s="15"/>
      <c r="AR20" s="86"/>
      <c r="AS20" s="16"/>
      <c r="AT20" s="15"/>
      <c r="AV20" s="75">
        <v>2016</v>
      </c>
      <c r="AW20" s="76">
        <v>78553573</v>
      </c>
      <c r="AX20" s="76">
        <v>78517133</v>
      </c>
    </row>
    <row r="21" spans="3:50" ht="17" thickBot="1">
      <c r="C21" s="77">
        <v>2017</v>
      </c>
      <c r="D21" s="78">
        <v>81601062</v>
      </c>
      <c r="E21" s="79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  <c r="R21" s="81"/>
      <c r="S21" s="81"/>
      <c r="T21" s="82"/>
      <c r="U21" s="83"/>
      <c r="V21" s="93"/>
      <c r="W21" s="84"/>
      <c r="X21" s="14"/>
      <c r="Y21" s="14"/>
      <c r="Z21" s="14"/>
      <c r="AA21" s="84"/>
      <c r="AB21" s="14"/>
      <c r="AC21" s="81"/>
      <c r="AD21" s="14"/>
      <c r="AE21" s="81"/>
      <c r="AF21" s="14"/>
      <c r="AG21" s="81"/>
      <c r="AH21" s="14"/>
      <c r="AI21" s="15"/>
      <c r="AJ21" s="16"/>
      <c r="AK21" s="15"/>
      <c r="AM21" s="85"/>
      <c r="AN21" s="15"/>
      <c r="AP21" s="85"/>
      <c r="AQ21" s="15"/>
      <c r="AR21" s="86"/>
      <c r="AS21" s="16"/>
      <c r="AT21" s="15"/>
      <c r="AV21" s="75">
        <v>2017</v>
      </c>
      <c r="AW21" s="76">
        <v>82812915</v>
      </c>
      <c r="AX21" s="76">
        <v>81601062</v>
      </c>
    </row>
    <row r="22" spans="3:50" ht="17" thickBot="1">
      <c r="C22" s="77">
        <v>2018</v>
      </c>
      <c r="D22" s="78">
        <v>81569178</v>
      </c>
      <c r="E22" s="79">
        <v>82087448.454286203</v>
      </c>
      <c r="F22" s="80"/>
      <c r="G22" s="80">
        <v>82087448.454286203</v>
      </c>
      <c r="H22" s="80"/>
      <c r="I22" s="84">
        <v>81569178</v>
      </c>
      <c r="J22" s="80"/>
      <c r="K22" s="295">
        <v>81569178</v>
      </c>
      <c r="L22" s="80"/>
      <c r="M22" s="94">
        <v>81569178</v>
      </c>
      <c r="N22" s="80"/>
      <c r="O22" s="95">
        <v>81569178</v>
      </c>
      <c r="P22" s="80"/>
      <c r="Q22" s="84">
        <v>82087448.454286203</v>
      </c>
      <c r="R22" s="81"/>
      <c r="S22" s="81">
        <v>82087448.454286203</v>
      </c>
      <c r="T22" s="82"/>
      <c r="U22" s="83"/>
      <c r="V22" s="93"/>
      <c r="W22" s="84">
        <v>82087448.454286203</v>
      </c>
      <c r="X22" s="14"/>
      <c r="Y22" s="84">
        <v>82087448.454286203</v>
      </c>
      <c r="Z22" s="96"/>
      <c r="AA22" s="84">
        <v>82087448.454286203</v>
      </c>
      <c r="AB22" s="14"/>
      <c r="AC22" s="81">
        <v>82087448.454286203</v>
      </c>
      <c r="AD22" s="14"/>
      <c r="AE22" s="81">
        <v>82087448.454286203</v>
      </c>
      <c r="AF22" s="14"/>
      <c r="AG22" s="81">
        <v>82087448.454286203</v>
      </c>
      <c r="AH22" s="14"/>
      <c r="AI22" s="15"/>
      <c r="AJ22" s="97">
        <v>81569178</v>
      </c>
      <c r="AK22" s="15"/>
      <c r="AM22" s="85"/>
      <c r="AN22" s="15"/>
      <c r="AP22" s="98">
        <v>81569178</v>
      </c>
      <c r="AQ22" s="15"/>
      <c r="AR22" s="86"/>
      <c r="AS22" s="99">
        <v>81569178</v>
      </c>
      <c r="AT22" s="15"/>
      <c r="AV22" s="75">
        <v>2018</v>
      </c>
      <c r="AW22" s="76">
        <v>81733402</v>
      </c>
      <c r="AX22" s="76">
        <v>81569178</v>
      </c>
    </row>
    <row r="23" spans="3:50" s="124" customFormat="1">
      <c r="C23" s="100">
        <v>2019</v>
      </c>
      <c r="D23" s="101"/>
      <c r="E23" s="79">
        <v>81569178</v>
      </c>
      <c r="F23" s="102">
        <v>-6.3136382485420185E-3</v>
      </c>
      <c r="G23" s="80">
        <v>81569178</v>
      </c>
      <c r="H23" s="102">
        <v>-6.3136382485420185E-3</v>
      </c>
      <c r="I23" s="103">
        <v>84406744.52528441</v>
      </c>
      <c r="J23" s="104">
        <v>3.4787239431104844E-2</v>
      </c>
      <c r="K23" s="296">
        <v>83268655</v>
      </c>
      <c r="L23" s="293">
        <v>2.1000000000000001E-2</v>
      </c>
      <c r="M23" s="105">
        <v>84634777.572942257</v>
      </c>
      <c r="N23" s="106">
        <v>3.7582818021560264E-2</v>
      </c>
      <c r="O23" s="107">
        <v>85424527.513243929</v>
      </c>
      <c r="P23" s="108">
        <v>4.7264783191071615E-2</v>
      </c>
      <c r="Q23" s="80">
        <v>83660057.509906799</v>
      </c>
      <c r="R23" s="109">
        <v>1.9157728559395633E-2</v>
      </c>
      <c r="S23" s="110">
        <v>82087448.454286203</v>
      </c>
      <c r="T23" s="111"/>
      <c r="U23" s="112">
        <v>82229025.083714902</v>
      </c>
      <c r="V23" s="102">
        <v>8.0894168593301681E-3</v>
      </c>
      <c r="W23" s="113">
        <v>83610127</v>
      </c>
      <c r="X23" s="114">
        <v>2.812499605135238E-2</v>
      </c>
      <c r="Y23" s="113">
        <v>83487588.151773497</v>
      </c>
      <c r="Z23" s="114">
        <v>1.7056684351286915E-2</v>
      </c>
      <c r="AA23" s="113">
        <v>84329327.722396001</v>
      </c>
      <c r="AB23" s="114">
        <v>2.812499605135238E-2</v>
      </c>
      <c r="AC23" s="115">
        <v>84396157.617928594</v>
      </c>
      <c r="AD23" s="116">
        <v>2.812499605135238E-2</v>
      </c>
      <c r="AE23" s="115">
        <v>84439738</v>
      </c>
      <c r="AF23" s="116">
        <v>2.8655897947952019E-2</v>
      </c>
      <c r="AG23" s="115">
        <v>84732695.929560795</v>
      </c>
      <c r="AH23" s="116">
        <v>3.2224749643031091E-2</v>
      </c>
      <c r="AI23" s="117">
        <v>-2556594.5252844095</v>
      </c>
      <c r="AJ23" s="118">
        <v>81850150</v>
      </c>
      <c r="AK23" s="119">
        <v>3.4445854045507237E-3</v>
      </c>
      <c r="AL23" s="120"/>
      <c r="AM23" s="121">
        <v>84548450.236928597</v>
      </c>
      <c r="AN23" s="15"/>
      <c r="AO23" s="120"/>
      <c r="AP23" s="121">
        <v>84548450.236928597</v>
      </c>
      <c r="AQ23" s="122">
        <v>3.6524485228091881E-2</v>
      </c>
      <c r="AR23" s="123">
        <v>-2698300</v>
      </c>
      <c r="AS23" s="118">
        <v>81850150.236928597</v>
      </c>
      <c r="AT23" s="122">
        <v>3.444588309184593E-3</v>
      </c>
    </row>
    <row r="24" spans="3:50">
      <c r="C24" s="77">
        <v>2020</v>
      </c>
      <c r="D24" s="101"/>
      <c r="E24" s="79">
        <v>83628216.652176172</v>
      </c>
      <c r="F24" s="102">
        <v>2.5242851560624672E-2</v>
      </c>
      <c r="G24" s="80">
        <v>82990909.909839496</v>
      </c>
      <c r="H24" s="102">
        <v>1.7429768752107517E-2</v>
      </c>
      <c r="I24" s="103">
        <v>86677855.070878521</v>
      </c>
      <c r="J24" s="104">
        <v>2.6906742563845593E-2</v>
      </c>
      <c r="K24" s="296">
        <v>86454707</v>
      </c>
      <c r="L24" s="293">
        <v>3.7999999999999999E-2</v>
      </c>
      <c r="M24" s="105">
        <v>86978202.094621986</v>
      </c>
      <c r="N24" s="106">
        <v>2.7688671121750809E-2</v>
      </c>
      <c r="O24" s="107">
        <v>87565010.564171031</v>
      </c>
      <c r="P24" s="108">
        <v>2.5057007784974279E-2</v>
      </c>
      <c r="Q24" s="80">
        <v>85771875.923182696</v>
      </c>
      <c r="R24" s="125">
        <v>2.5242851560624634E-2</v>
      </c>
      <c r="S24" s="126">
        <v>86677855.070878521</v>
      </c>
      <c r="T24" s="127">
        <v>5.5920931921141101E-2</v>
      </c>
      <c r="U24" s="83">
        <v>83662257.97563529</v>
      </c>
      <c r="V24" s="102">
        <v>1.7429768752107437E-2</v>
      </c>
      <c r="W24" s="84">
        <v>85808433</v>
      </c>
      <c r="X24" s="93">
        <v>2.1949842499797447E-2</v>
      </c>
      <c r="Y24" s="84">
        <v>84667832.122679695</v>
      </c>
      <c r="Z24" s="93">
        <v>1.4136759691280249E-2</v>
      </c>
      <c r="AA24" s="84">
        <v>87053920.888328597</v>
      </c>
      <c r="AB24" s="93">
        <v>2.1949842499797447E-2</v>
      </c>
      <c r="AC24" s="81">
        <v>86248639.985230207</v>
      </c>
      <c r="AD24" s="128">
        <v>2.1949842499797447E-2</v>
      </c>
      <c r="AE24" s="81">
        <v>85352938</v>
      </c>
      <c r="AF24" s="128">
        <v>1.0814813281396017E-2</v>
      </c>
      <c r="AG24" s="81">
        <v>85925638.5627729</v>
      </c>
      <c r="AH24" s="128">
        <v>1.4078893868829696E-2</v>
      </c>
      <c r="AI24" s="117">
        <v>-2700000</v>
      </c>
      <c r="AJ24" s="118">
        <v>83977855.070878521</v>
      </c>
      <c r="AK24" s="119">
        <v>2.5995127325710712E-2</v>
      </c>
      <c r="AL24" s="91"/>
      <c r="AM24" s="121">
        <v>85748813.356783897</v>
      </c>
      <c r="AN24" s="119">
        <v>1.4197340300047413E-2</v>
      </c>
      <c r="AO24" s="91"/>
      <c r="AP24" s="121">
        <v>86823373.621625751</v>
      </c>
      <c r="AQ24" s="122">
        <v>2.6906742563845669E-2</v>
      </c>
      <c r="AR24" s="123">
        <v>-2698300</v>
      </c>
      <c r="AS24" s="118">
        <v>84125073.621625751</v>
      </c>
      <c r="AT24" s="122">
        <v>2.7793759426366572E-2</v>
      </c>
    </row>
    <row r="25" spans="3:50">
      <c r="C25" s="77">
        <v>2021</v>
      </c>
      <c r="D25" s="101"/>
      <c r="E25" s="79">
        <v>83548034.440496653</v>
      </c>
      <c r="F25" s="102">
        <v>-9.5879375274746722E-4</v>
      </c>
      <c r="G25" s="80">
        <v>82223560.638392851</v>
      </c>
      <c r="H25" s="102">
        <v>-9.2461845794953434E-3</v>
      </c>
      <c r="I25" s="103">
        <v>86622633.778375536</v>
      </c>
      <c r="J25" s="104">
        <v>-6.3708651371020494E-4</v>
      </c>
      <c r="K25" s="296">
        <v>86413647</v>
      </c>
      <c r="L25" s="293">
        <v>0</v>
      </c>
      <c r="M25" s="105">
        <v>86984783.945908368</v>
      </c>
      <c r="N25" s="106">
        <v>7.5672422835565257E-5</v>
      </c>
      <c r="O25" s="107">
        <v>87565185.644344747</v>
      </c>
      <c r="P25" s="108">
        <v>1.9994307382358336E-6</v>
      </c>
      <c r="Q25" s="80">
        <v>85689638.384386107</v>
      </c>
      <c r="R25" s="125">
        <v>-9.5879375274758745E-4</v>
      </c>
      <c r="S25" s="126">
        <v>86622633.778375536</v>
      </c>
      <c r="T25" s="127">
        <v>-6.3708651371020494E-4</v>
      </c>
      <c r="U25" s="83">
        <v>82257030.188930959</v>
      </c>
      <c r="V25" s="102">
        <v>-1.6796436298833504E-2</v>
      </c>
      <c r="W25" s="84">
        <v>85704086</v>
      </c>
      <c r="X25" s="93">
        <v>-4.4514857934320571E-4</v>
      </c>
      <c r="Y25" s="84">
        <v>83289203.497183204</v>
      </c>
      <c r="Z25" s="93">
        <v>-1.6282791125429123E-2</v>
      </c>
      <c r="AA25" s="84">
        <v>86969508.034813598</v>
      </c>
      <c r="AB25" s="93">
        <v>-4.4514857934320571E-4</v>
      </c>
      <c r="AC25" s="81">
        <v>86210246.525670499</v>
      </c>
      <c r="AD25" s="128">
        <v>-4.4514857934320571E-4</v>
      </c>
      <c r="AE25" s="81">
        <v>85427550</v>
      </c>
      <c r="AF25" s="128">
        <v>8.7415854390390172E-4</v>
      </c>
      <c r="AG25" s="81">
        <v>85643953.6515425</v>
      </c>
      <c r="AH25" s="128">
        <v>-3.2782405338147766E-3</v>
      </c>
      <c r="AI25" s="88"/>
      <c r="AJ25" s="118">
        <v>86622633.778375536</v>
      </c>
      <c r="AK25" s="119">
        <v>3.1493763507829349E-2</v>
      </c>
      <c r="AL25" s="91"/>
      <c r="AM25" s="121">
        <v>85966899.369041696</v>
      </c>
      <c r="AN25" s="119">
        <v>2.5433123062634888E-3</v>
      </c>
      <c r="AO25" s="91"/>
      <c r="AP25" s="121">
        <v>86768059.621216595</v>
      </c>
      <c r="AQ25" s="122">
        <v>-6.3708651371015843E-4</v>
      </c>
      <c r="AR25" s="86"/>
      <c r="AS25" s="118">
        <v>86768059.621216595</v>
      </c>
      <c r="AT25" s="122">
        <v>3.1417339513762049E-2</v>
      </c>
    </row>
    <row r="26" spans="3:50">
      <c r="C26" s="77">
        <v>2022</v>
      </c>
      <c r="D26" s="101"/>
      <c r="E26" s="79">
        <v>84373801.527864084</v>
      </c>
      <c r="F26" s="102">
        <v>9.8837404482034347E-3</v>
      </c>
      <c r="G26" s="80">
        <v>83567740.546696618</v>
      </c>
      <c r="H26" s="102">
        <v>1.6347867908752738E-2</v>
      </c>
      <c r="I26" s="103">
        <v>87419219.422976032</v>
      </c>
      <c r="J26" s="104">
        <v>9.1960450733761367E-3</v>
      </c>
      <c r="K26" s="296">
        <v>87204473</v>
      </c>
      <c r="L26" s="293">
        <v>8.9999999999999993E-3</v>
      </c>
      <c r="M26" s="105">
        <v>87921820.118888274</v>
      </c>
      <c r="N26" s="106">
        <v>1.0772414788804944E-2</v>
      </c>
      <c r="O26" s="107">
        <v>88513729.739572212</v>
      </c>
      <c r="P26" s="108">
        <v>1.0832434011846638E-2</v>
      </c>
      <c r="Q26" s="80">
        <v>86536572.529277802</v>
      </c>
      <c r="R26" s="125">
        <v>9.88374044820357E-3</v>
      </c>
      <c r="S26" s="126">
        <v>87419219.422976032</v>
      </c>
      <c r="T26" s="127">
        <v>9.1960450733761367E-3</v>
      </c>
      <c r="U26" s="83">
        <v>82276431.791655093</v>
      </c>
      <c r="V26" s="102">
        <v>2.3586558716698694E-4</v>
      </c>
      <c r="W26" s="84">
        <v>86572350</v>
      </c>
      <c r="X26" s="93">
        <v>1.1120488107801998E-2</v>
      </c>
      <c r="Y26" s="84">
        <v>83411856.281565696</v>
      </c>
      <c r="Z26" s="93">
        <v>1.472613246765415E-3</v>
      </c>
      <c r="AA26" s="84">
        <v>87818389.707505703</v>
      </c>
      <c r="AB26" s="93">
        <v>1.1120488107801998E-2</v>
      </c>
      <c r="AC26" s="81">
        <v>87168946.546929896</v>
      </c>
      <c r="AD26" s="128">
        <v>1.1120488107801998E-2</v>
      </c>
      <c r="AE26" s="81">
        <v>86331328</v>
      </c>
      <c r="AF26" s="128">
        <v>1.0579467630758461E-2</v>
      </c>
      <c r="AG26" s="81">
        <v>86323613.160433099</v>
      </c>
      <c r="AH26" s="128">
        <v>7.9358726438052279E-3</v>
      </c>
      <c r="AI26" s="88"/>
      <c r="AJ26" s="118">
        <v>87419219.422976032</v>
      </c>
      <c r="AK26" s="119">
        <v>9.1960450733761367E-3</v>
      </c>
      <c r="AL26" s="91"/>
      <c r="AM26" s="121">
        <v>87076722.170514405</v>
      </c>
      <c r="AN26" s="119">
        <v>1.2909885195561407E-2</v>
      </c>
      <c r="AO26" s="91"/>
      <c r="AP26" s="121">
        <v>87565982.608422697</v>
      </c>
      <c r="AQ26" s="122">
        <v>9.1960450733762026E-3</v>
      </c>
      <c r="AR26" s="86"/>
      <c r="AS26" s="118">
        <v>87565982.608422697</v>
      </c>
      <c r="AT26" s="122">
        <v>9.1960450733762026E-3</v>
      </c>
    </row>
    <row r="27" spans="3:50">
      <c r="C27" s="77">
        <v>2023</v>
      </c>
      <c r="D27" s="101"/>
      <c r="E27" s="79">
        <v>84792952.92755051</v>
      </c>
      <c r="F27" s="102">
        <v>4.9677908556485153E-3</v>
      </c>
      <c r="G27" s="80">
        <v>84170824.053886145</v>
      </c>
      <c r="H27" s="102">
        <v>7.2167023213046133E-3</v>
      </c>
      <c r="I27" s="103">
        <v>87892610.630702496</v>
      </c>
      <c r="J27" s="104">
        <v>5.4151845652609916E-3</v>
      </c>
      <c r="K27" s="296">
        <v>87677937</v>
      </c>
      <c r="L27" s="293">
        <v>5.0000000000000001E-3</v>
      </c>
      <c r="M27" s="105">
        <v>88474747.26453048</v>
      </c>
      <c r="N27" s="106">
        <v>6.2888500817491668E-3</v>
      </c>
      <c r="O27" s="107">
        <v>89081462.26490435</v>
      </c>
      <c r="P27" s="108">
        <v>6.4140617167815417E-3</v>
      </c>
      <c r="Q27" s="80">
        <v>86966468.122967899</v>
      </c>
      <c r="R27" s="125">
        <v>4.96779085564836E-3</v>
      </c>
      <c r="S27" s="126">
        <v>87892610.630702496</v>
      </c>
      <c r="T27" s="127">
        <v>5.4151845652609916E-3</v>
      </c>
      <c r="U27" s="83">
        <v>82078499.945624992</v>
      </c>
      <c r="V27" s="102">
        <v>-2.4056931215894048E-3</v>
      </c>
      <c r="W27" s="84">
        <v>87048930</v>
      </c>
      <c r="X27" s="93">
        <v>6.7885680840162532E-3</v>
      </c>
      <c r="Y27" s="84">
        <v>83363067.3611435</v>
      </c>
      <c r="Z27" s="93">
        <v>-5.8491589322151203E-4</v>
      </c>
      <c r="AA27" s="84">
        <v>88322260.018779501</v>
      </c>
      <c r="AB27" s="93">
        <v>6.7885680840162532E-3</v>
      </c>
      <c r="AC27" s="81">
        <v>87760698.875375703</v>
      </c>
      <c r="AD27" s="128">
        <v>6.7885680840162532E-3</v>
      </c>
      <c r="AE27" s="81">
        <v>86984042</v>
      </c>
      <c r="AF27" s="128">
        <v>7.5605694377827715E-3</v>
      </c>
      <c r="AG27" s="81">
        <v>86685577.238135397</v>
      </c>
      <c r="AH27" s="128">
        <v>4.1931062017710697E-3</v>
      </c>
      <c r="AI27" s="88"/>
      <c r="AJ27" s="118">
        <v>87892610.630702496</v>
      </c>
      <c r="AK27" s="119">
        <v>5.4151845652609916E-3</v>
      </c>
      <c r="AL27" s="91"/>
      <c r="AM27" s="121">
        <v>87922921.370785698</v>
      </c>
      <c r="AN27" s="119">
        <v>9.7178577601285763E-3</v>
      </c>
      <c r="AO27" s="91"/>
      <c r="AP27" s="121">
        <v>88040168.565885738</v>
      </c>
      <c r="AQ27" s="122">
        <v>5.4151845652609682E-3</v>
      </c>
      <c r="AR27" s="86"/>
      <c r="AS27" s="118">
        <v>88040168.565885738</v>
      </c>
      <c r="AT27" s="122">
        <v>5.4151845652609682E-3</v>
      </c>
    </row>
    <row r="28" spans="3:50">
      <c r="C28" s="77">
        <v>2024</v>
      </c>
      <c r="D28" s="101"/>
      <c r="E28" s="79">
        <v>85907081.178920209</v>
      </c>
      <c r="F28" s="102">
        <v>1.3139396764748157E-2</v>
      </c>
      <c r="G28" s="80">
        <v>85322997.549491554</v>
      </c>
      <c r="H28" s="102">
        <v>1.3688513906764033E-2</v>
      </c>
      <c r="I28" s="103">
        <v>89051138.406309426</v>
      </c>
      <c r="J28" s="104">
        <v>1.3181173790305364E-2</v>
      </c>
      <c r="K28" s="296">
        <v>88831039</v>
      </c>
      <c r="L28" s="293">
        <v>1.2999999999999999E-2</v>
      </c>
      <c r="M28" s="105">
        <v>89683988.798483253</v>
      </c>
      <c r="N28" s="106">
        <v>1.3667646094961579E-2</v>
      </c>
      <c r="O28" s="107">
        <v>90316159.633608893</v>
      </c>
      <c r="P28" s="108">
        <v>1.3860317705976627E-2</v>
      </c>
      <c r="Q28" s="80">
        <v>88109155.052864403</v>
      </c>
      <c r="R28" s="125">
        <v>1.3139396764748221E-2</v>
      </c>
      <c r="S28" s="126">
        <v>89051138.406309426</v>
      </c>
      <c r="T28" s="127">
        <v>1.3181173790305364E-2</v>
      </c>
      <c r="U28" s="83">
        <v>82591576.397984639</v>
      </c>
      <c r="V28" s="102">
        <v>6.2510456782171771E-3</v>
      </c>
      <c r="W28" s="84">
        <v>88189026</v>
      </c>
      <c r="X28" s="93">
        <v>1.4195350667254608E-2</v>
      </c>
      <c r="Y28" s="84">
        <v>83972201.259399205</v>
      </c>
      <c r="Z28" s="93">
        <v>7.3069995807235645E-3</v>
      </c>
      <c r="AA28" s="84">
        <v>89460408.592008397</v>
      </c>
      <c r="AB28" s="93">
        <v>1.4195350667254608E-2</v>
      </c>
      <c r="AC28" s="81">
        <v>89006492.770714998</v>
      </c>
      <c r="AD28" s="128">
        <v>1.4195350667254608E-2</v>
      </c>
      <c r="AE28" s="81">
        <v>88420382</v>
      </c>
      <c r="AF28" s="128">
        <v>1.6512684016224494E-2</v>
      </c>
      <c r="AG28" s="81">
        <v>87698538.6566232</v>
      </c>
      <c r="AH28" s="128">
        <v>1.1685466611188144E-2</v>
      </c>
      <c r="AI28" s="88"/>
      <c r="AJ28" s="118">
        <v>89051138.406309426</v>
      </c>
      <c r="AK28" s="119">
        <v>1.3181173790305364E-2</v>
      </c>
      <c r="AL28" s="91"/>
      <c r="AM28" s="121">
        <v>89544740.840185896</v>
      </c>
      <c r="AN28" s="119">
        <v>1.8445923362358636E-2</v>
      </c>
      <c r="AO28" s="91"/>
      <c r="AP28" s="121">
        <v>89200641.328280464</v>
      </c>
      <c r="AQ28" s="122">
        <v>1.3181173790305444E-2</v>
      </c>
      <c r="AR28" s="86"/>
      <c r="AS28" s="118">
        <v>89200641.328280464</v>
      </c>
      <c r="AT28" s="122">
        <v>1.3181173790305444E-2</v>
      </c>
    </row>
    <row r="29" spans="3:50">
      <c r="C29" s="77">
        <v>2025</v>
      </c>
      <c r="D29" s="101"/>
      <c r="E29" s="79">
        <v>86367519.067356393</v>
      </c>
      <c r="F29" s="102">
        <v>5.3597198521647023E-3</v>
      </c>
      <c r="G29" s="80">
        <v>86047153.692741483</v>
      </c>
      <c r="H29" s="102">
        <v>8.4872327982837524E-3</v>
      </c>
      <c r="I29" s="103">
        <v>89539683.021197513</v>
      </c>
      <c r="J29" s="104">
        <v>5.4861130765002401E-3</v>
      </c>
      <c r="K29" s="296">
        <v>89314552</v>
      </c>
      <c r="L29" s="293">
        <v>5.0000000000000001E-3</v>
      </c>
      <c r="M29" s="105">
        <v>90276888.697987571</v>
      </c>
      <c r="N29" s="106">
        <v>6.610989402317329E-3</v>
      </c>
      <c r="O29" s="107">
        <v>90930182.960515112</v>
      </c>
      <c r="P29" s="108">
        <v>6.7985987158573312E-3</v>
      </c>
      <c r="Q29" s="80">
        <v>88581395.440358698</v>
      </c>
      <c r="R29" s="125">
        <v>5.3597198521647092E-3</v>
      </c>
      <c r="S29" s="126">
        <v>89539683.021197513</v>
      </c>
      <c r="T29" s="127">
        <v>5.4861130765002401E-3</v>
      </c>
      <c r="U29" s="83">
        <v>82726242.941973403</v>
      </c>
      <c r="V29" s="102">
        <v>1.6305118495358608E-3</v>
      </c>
      <c r="W29" s="84">
        <v>88721349</v>
      </c>
      <c r="X29" s="93">
        <v>7.2539572067515431E-3</v>
      </c>
      <c r="Y29" s="84">
        <v>84268182.208956704</v>
      </c>
      <c r="Z29" s="93">
        <v>3.5247492041226946E-3</v>
      </c>
      <c r="AA29" s="84">
        <v>89996859.3931254</v>
      </c>
      <c r="AB29" s="93">
        <v>7.2539572067515431E-3</v>
      </c>
      <c r="AC29" s="81">
        <v>89652142.060396805</v>
      </c>
      <c r="AD29" s="128">
        <v>7.2539572067515431E-3</v>
      </c>
      <c r="AE29" s="81">
        <v>89150330</v>
      </c>
      <c r="AF29" s="128">
        <v>8.25542689919616E-3</v>
      </c>
      <c r="AG29" s="81">
        <v>88091716.357854605</v>
      </c>
      <c r="AH29" s="128">
        <v>4.4832868056201231E-3</v>
      </c>
      <c r="AI29" s="88"/>
      <c r="AJ29" s="118">
        <v>89539683.021197513</v>
      </c>
      <c r="AK29" s="119">
        <v>5.4861130765002401E-3</v>
      </c>
      <c r="AL29" s="91"/>
      <c r="AM29" s="121">
        <v>90446169.147773206</v>
      </c>
      <c r="AN29" s="119">
        <v>1.006679229990878E-2</v>
      </c>
      <c r="AO29" s="91"/>
      <c r="AP29" s="121">
        <v>89690006.133103758</v>
      </c>
      <c r="AQ29" s="122">
        <v>5.4861130765003199E-3</v>
      </c>
      <c r="AR29" s="86"/>
      <c r="AS29" s="118">
        <v>89690006.133103758</v>
      </c>
      <c r="AT29" s="122">
        <v>5.4861130765003199E-3</v>
      </c>
    </row>
    <row r="30" spans="3:50">
      <c r="C30" s="77">
        <v>2026</v>
      </c>
      <c r="D30" s="101"/>
      <c r="E30" s="79">
        <v>87177479.992654338</v>
      </c>
      <c r="F30" s="102">
        <v>9.3780733086274316E-3</v>
      </c>
      <c r="G30" s="80">
        <v>86979836.343140304</v>
      </c>
      <c r="H30" s="102">
        <v>1.0839203975639431E-2</v>
      </c>
      <c r="I30" s="103">
        <v>90382934.670087844</v>
      </c>
      <c r="J30" s="104">
        <v>9.4176304900554664E-3</v>
      </c>
      <c r="K30" s="296">
        <v>90145843</v>
      </c>
      <c r="L30" s="293">
        <v>8.9999999999999993E-3</v>
      </c>
      <c r="M30" s="105">
        <v>91218120.2092904</v>
      </c>
      <c r="N30" s="106">
        <v>1.0426051726833719E-2</v>
      </c>
      <c r="O30" s="107">
        <v>91900435.112425581</v>
      </c>
      <c r="P30" s="108">
        <v>1.0670298027793308E-2</v>
      </c>
      <c r="Q30" s="80">
        <v>89412118.260578901</v>
      </c>
      <c r="R30" s="125">
        <v>9.3780733086274611E-3</v>
      </c>
      <c r="S30" s="126">
        <v>90382934.670087844</v>
      </c>
      <c r="T30" s="127">
        <v>9.4176304900554664E-3</v>
      </c>
      <c r="U30" s="83">
        <v>83312744.768829897</v>
      </c>
      <c r="V30" s="102">
        <v>7.0896707743379299E-3</v>
      </c>
      <c r="W30" s="84">
        <v>89591052</v>
      </c>
      <c r="X30" s="93">
        <v>1.0849505431606104E-2</v>
      </c>
      <c r="Y30" s="84">
        <v>84989610.787817404</v>
      </c>
      <c r="Z30" s="93">
        <v>8.5611028973165727E-3</v>
      </c>
      <c r="AA30" s="84">
        <v>90874316.734516695</v>
      </c>
      <c r="AB30" s="93">
        <v>1.0849505431606104E-2</v>
      </c>
      <c r="AC30" s="81">
        <v>90624823.462636203</v>
      </c>
      <c r="AD30" s="128">
        <v>1.0849505431606104E-2</v>
      </c>
      <c r="AE30" s="81">
        <v>90193673</v>
      </c>
      <c r="AF30" s="128">
        <v>1.1703187189548261E-2</v>
      </c>
      <c r="AG30" s="81">
        <v>88825777.122673303</v>
      </c>
      <c r="AH30" s="128">
        <v>8.3329147752863198E-3</v>
      </c>
      <c r="AI30" s="88"/>
      <c r="AJ30" s="118">
        <v>90382934.670087844</v>
      </c>
      <c r="AK30" s="119">
        <v>9.4176304900554664E-3</v>
      </c>
      <c r="AL30" s="91"/>
      <c r="AM30" s="121">
        <v>91656549.758537203</v>
      </c>
      <c r="AN30" s="119">
        <v>1.3382331415125463E-2</v>
      </c>
      <c r="AO30" s="91"/>
      <c r="AP30" s="121">
        <v>90534673.469516143</v>
      </c>
      <c r="AQ30" s="122">
        <v>9.4176304900555272E-3</v>
      </c>
      <c r="AR30" s="86"/>
      <c r="AS30" s="118">
        <v>90534673.469516143</v>
      </c>
      <c r="AT30" s="122">
        <v>9.4176304900555272E-3</v>
      </c>
    </row>
    <row r="31" spans="3:50">
      <c r="C31" s="77">
        <v>2027</v>
      </c>
      <c r="D31" s="101"/>
      <c r="E31" s="79">
        <v>87817070.511242419</v>
      </c>
      <c r="F31" s="102">
        <v>7.3366483940803693E-3</v>
      </c>
      <c r="G31" s="80">
        <v>87648902.011772782</v>
      </c>
      <c r="H31" s="102">
        <v>7.6921927743457252E-3</v>
      </c>
      <c r="I31" s="103">
        <v>91108457.889280349</v>
      </c>
      <c r="J31" s="104">
        <v>8.0272146710081999E-3</v>
      </c>
      <c r="K31" s="296">
        <v>90864389</v>
      </c>
      <c r="L31" s="293">
        <v>8.0000000000000002E-3</v>
      </c>
      <c r="M31" s="105">
        <v>91990737.461272404</v>
      </c>
      <c r="N31" s="106">
        <v>8.469997520331644E-3</v>
      </c>
      <c r="O31" s="107">
        <v>92700212.961332113</v>
      </c>
      <c r="P31" s="108">
        <v>8.7026557374633839E-3</v>
      </c>
      <c r="Q31" s="80">
        <v>90068103.534426704</v>
      </c>
      <c r="R31" s="125">
        <v>7.3366483940804049E-3</v>
      </c>
      <c r="S31" s="126">
        <v>91108457.889280349</v>
      </c>
      <c r="T31" s="127">
        <v>8.0272146710081999E-3</v>
      </c>
      <c r="U31" s="83">
        <v>83763267.797948554</v>
      </c>
      <c r="V31" s="102">
        <v>5.40761236913669E-3</v>
      </c>
      <c r="W31" s="84">
        <v>90278109</v>
      </c>
      <c r="X31" s="93">
        <v>8.6605470257119007E-3</v>
      </c>
      <c r="Y31" s="84">
        <v>85561719.287786603</v>
      </c>
      <c r="Z31" s="93">
        <v>6.7315110007681858E-3</v>
      </c>
      <c r="AA31" s="84">
        <v>91585367.698328301</v>
      </c>
      <c r="AB31" s="93">
        <v>8.6605470257119007E-3</v>
      </c>
      <c r="AC31" s="81">
        <v>91409684.007931203</v>
      </c>
      <c r="AD31" s="128">
        <v>8.6605470257119007E-3</v>
      </c>
      <c r="AE31" s="81">
        <v>91014203</v>
      </c>
      <c r="AF31" s="128">
        <v>9.097423053166933E-3</v>
      </c>
      <c r="AG31" s="81">
        <v>89384985.414259896</v>
      </c>
      <c r="AH31" s="128">
        <v>6.2955631766023869E-3</v>
      </c>
      <c r="AI31" s="88"/>
      <c r="AJ31" s="118">
        <v>91108457.889280349</v>
      </c>
      <c r="AK31" s="119">
        <v>8.0272146710081999E-3</v>
      </c>
      <c r="AL31" s="91"/>
      <c r="AM31" s="121">
        <v>92637906.595068097</v>
      </c>
      <c r="AN31" s="119">
        <v>1.0706892623780955E-2</v>
      </c>
      <c r="AO31" s="91"/>
      <c r="AP31" s="121">
        <v>91261414.728625596</v>
      </c>
      <c r="AQ31" s="122">
        <v>8.0272146710083717E-3</v>
      </c>
      <c r="AR31" s="86"/>
      <c r="AS31" s="118">
        <v>91261414.728625596</v>
      </c>
      <c r="AT31" s="122">
        <v>8.0272146710083717E-3</v>
      </c>
    </row>
    <row r="32" spans="3:50">
      <c r="C32" s="77">
        <v>2028</v>
      </c>
      <c r="D32" s="101"/>
      <c r="E32" s="79">
        <v>89023817.266905159</v>
      </c>
      <c r="F32" s="102">
        <v>1.374159657840386E-2</v>
      </c>
      <c r="G32" s="80">
        <v>88855526.508172065</v>
      </c>
      <c r="H32" s="102">
        <v>1.376656716403832E-2</v>
      </c>
      <c r="I32" s="103">
        <v>92292858.966248691</v>
      </c>
      <c r="J32" s="104">
        <v>1.2999902582125654E-2</v>
      </c>
      <c r="K32" s="296">
        <v>92027248</v>
      </c>
      <c r="L32" s="293">
        <v>1.2999999999999999E-2</v>
      </c>
      <c r="M32" s="105">
        <v>93322078.367718473</v>
      </c>
      <c r="N32" s="106">
        <v>1.447255390257695E-2</v>
      </c>
      <c r="O32" s="107">
        <v>94062230.837216958</v>
      </c>
      <c r="P32" s="108">
        <v>1.469271571633802E-2</v>
      </c>
      <c r="Q32" s="80">
        <v>91305783.077778697</v>
      </c>
      <c r="R32" s="125">
        <v>1.3741596578403754E-2</v>
      </c>
      <c r="S32" s="126">
        <v>92292858.966248691</v>
      </c>
      <c r="T32" s="127">
        <v>1.2999902582125654E-2</v>
      </c>
      <c r="U32" s="83">
        <v>84753786.6943409</v>
      </c>
      <c r="V32" s="102">
        <v>1.1825217931822285E-2</v>
      </c>
      <c r="W32" s="84">
        <v>91537418</v>
      </c>
      <c r="X32" s="93">
        <v>1.5058131290148368E-2</v>
      </c>
      <c r="Y32" s="84">
        <v>86686150.238425002</v>
      </c>
      <c r="Z32" s="93">
        <v>1.3141752643566899E-2</v>
      </c>
      <c r="AA32" s="84">
        <v>92835725.439242706</v>
      </c>
      <c r="AB32" s="93">
        <v>1.5058131290148368E-2</v>
      </c>
      <c r="AC32" s="81">
        <v>92786143.030913606</v>
      </c>
      <c r="AD32" s="128">
        <v>1.5058131290148368E-2</v>
      </c>
      <c r="AE32" s="81">
        <v>92401941</v>
      </c>
      <c r="AF32" s="128">
        <v>1.5247488350801688E-2</v>
      </c>
      <c r="AG32" s="81">
        <v>90483678.102127403</v>
      </c>
      <c r="AH32" s="128">
        <v>1.2291691750863441E-2</v>
      </c>
      <c r="AI32" s="88"/>
      <c r="AJ32" s="118">
        <v>92292858.966248691</v>
      </c>
      <c r="AK32" s="119">
        <v>1.2999902582125654E-2</v>
      </c>
      <c r="AL32" s="91"/>
      <c r="AM32" s="121">
        <v>94172159.027055994</v>
      </c>
      <c r="AN32" s="119">
        <v>1.6561821055545937E-2</v>
      </c>
      <c r="AO32" s="91"/>
      <c r="AP32" s="121">
        <v>92447804.229604706</v>
      </c>
      <c r="AQ32" s="122">
        <v>1.299990258212577E-2</v>
      </c>
      <c r="AR32" s="86"/>
      <c r="AS32" s="118">
        <v>92447804.229604706</v>
      </c>
      <c r="AT32" s="122">
        <v>1.299990258212577E-2</v>
      </c>
    </row>
    <row r="33" spans="3:46">
      <c r="C33" s="77">
        <v>2029</v>
      </c>
      <c r="D33" s="101"/>
      <c r="E33" s="79">
        <v>89772230.570429623</v>
      </c>
      <c r="F33" s="102">
        <v>8.4068884766042157E-3</v>
      </c>
      <c r="G33" s="80">
        <v>89613496.08110109</v>
      </c>
      <c r="H33" s="102">
        <v>8.5303593677914236E-3</v>
      </c>
      <c r="I33" s="103">
        <v>93137091.018756405</v>
      </c>
      <c r="J33" s="104">
        <v>9.147317159353005E-3</v>
      </c>
      <c r="K33" s="296">
        <v>92855243</v>
      </c>
      <c r="L33" s="293">
        <v>8.9999999999999993E-3</v>
      </c>
      <c r="M33" s="105">
        <v>94197352.734872803</v>
      </c>
      <c r="N33" s="106">
        <v>9.3790706600583029E-3</v>
      </c>
      <c r="O33" s="107">
        <v>94977215.066722974</v>
      </c>
      <c r="P33" s="108">
        <v>9.7274349264528624E-3</v>
      </c>
      <c r="Q33" s="80">
        <v>92073380.613382593</v>
      </c>
      <c r="R33" s="125">
        <v>8.406888476604148E-3</v>
      </c>
      <c r="S33" s="126">
        <v>93137091.018756405</v>
      </c>
      <c r="T33" s="127">
        <v>9.147317159353005E-3</v>
      </c>
      <c r="U33" s="83">
        <v>85315181.543167651</v>
      </c>
      <c r="V33" s="102">
        <v>6.6238320519102153E-3</v>
      </c>
      <c r="W33" s="84">
        <v>92375173</v>
      </c>
      <c r="X33" s="93">
        <v>1.0073712664718468E-2</v>
      </c>
      <c r="Y33" s="84">
        <v>87404835.310822904</v>
      </c>
      <c r="Z33" s="93">
        <v>8.2906562400245354E-3</v>
      </c>
      <c r="AA33" s="84">
        <v>93672807.330871001</v>
      </c>
      <c r="AB33" s="93">
        <v>1.0073712664718468E-2</v>
      </c>
      <c r="AC33" s="81">
        <v>93720843.9750745</v>
      </c>
      <c r="AD33" s="128">
        <v>1.0073712664718468E-2</v>
      </c>
      <c r="AE33" s="81">
        <v>93369311</v>
      </c>
      <c r="AF33" s="128">
        <v>1.0469152374190927E-2</v>
      </c>
      <c r="AG33" s="81">
        <v>91219825.827060804</v>
      </c>
      <c r="AH33" s="128">
        <v>8.135696297651861E-3</v>
      </c>
      <c r="AI33" s="88"/>
      <c r="AJ33" s="118">
        <v>93137091.018756405</v>
      </c>
      <c r="AK33" s="119">
        <v>9.147317159353005E-3</v>
      </c>
      <c r="AL33" s="91"/>
      <c r="AM33" s="121">
        <v>95238793.933461994</v>
      </c>
      <c r="AN33" s="119">
        <v>1.1326435726078578E-2</v>
      </c>
      <c r="AO33" s="91"/>
      <c r="AP33" s="121">
        <v>93293453.615578681</v>
      </c>
      <c r="AQ33" s="122">
        <v>9.1473171593530554E-3</v>
      </c>
      <c r="AR33" s="86"/>
      <c r="AS33" s="118">
        <v>93293453.615578681</v>
      </c>
      <c r="AT33" s="122">
        <v>9.1473171593530554E-3</v>
      </c>
    </row>
    <row r="34" spans="3:46">
      <c r="C34" s="77">
        <v>2030</v>
      </c>
      <c r="D34" s="101"/>
      <c r="E34" s="79">
        <v>90669501.997281119</v>
      </c>
      <c r="F34" s="102">
        <v>9.9949775242306541E-3</v>
      </c>
      <c r="G34" s="80">
        <v>90521727.1101823</v>
      </c>
      <c r="H34" s="102">
        <v>1.0134980430394687E-2</v>
      </c>
      <c r="I34" s="103">
        <v>94090219.107149392</v>
      </c>
      <c r="J34" s="104">
        <v>1.023360379809417E-2</v>
      </c>
      <c r="K34" s="296">
        <v>93789843</v>
      </c>
      <c r="L34" s="293">
        <v>0.01</v>
      </c>
      <c r="M34" s="105">
        <v>95231451.514130205</v>
      </c>
      <c r="N34" s="106">
        <v>1.0978002557757317E-2</v>
      </c>
      <c r="O34" s="107">
        <v>96050465.382985532</v>
      </c>
      <c r="P34" s="108">
        <v>1.1300081977646776E-2</v>
      </c>
      <c r="Q34" s="80">
        <v>92993651.983193293</v>
      </c>
      <c r="R34" s="125">
        <v>9.9949775242307304E-3</v>
      </c>
      <c r="S34" s="126">
        <v>94090219.107149392</v>
      </c>
      <c r="T34" s="127">
        <v>1.023360379809417E-2</v>
      </c>
      <c r="U34" s="83">
        <v>86027466.767102346</v>
      </c>
      <c r="V34" s="102">
        <v>8.3488684083065992E-3</v>
      </c>
      <c r="W34" s="84">
        <v>93365600</v>
      </c>
      <c r="X34" s="93">
        <v>1.1432987098264655E-2</v>
      </c>
      <c r="Y34" s="84">
        <v>88260255.769076496</v>
      </c>
      <c r="Z34" s="93">
        <v>9.7868779823405243E-3</v>
      </c>
      <c r="AA34" s="84">
        <v>94666740.284140497</v>
      </c>
      <c r="AB34" s="93">
        <v>1.1432987098264655E-2</v>
      </c>
      <c r="AC34" s="81">
        <v>94792353.175080001</v>
      </c>
      <c r="AD34" s="128">
        <v>1.1432987098264655E-2</v>
      </c>
      <c r="AE34" s="81">
        <v>94531466</v>
      </c>
      <c r="AF34" s="128">
        <v>1.2446862759863356E-2</v>
      </c>
      <c r="AG34" s="81">
        <v>92086241.390206993</v>
      </c>
      <c r="AH34" s="128">
        <v>9.4981058699759383E-3</v>
      </c>
      <c r="AI34" s="88"/>
      <c r="AJ34" s="118">
        <v>94090219.107149392</v>
      </c>
      <c r="AK34" s="119">
        <v>1.023360379809417E-2</v>
      </c>
      <c r="AL34" s="91"/>
      <c r="AM34" s="121">
        <v>96479658.648468807</v>
      </c>
      <c r="AN34" s="119">
        <v>1.3028983923019185E-2</v>
      </c>
      <c r="AO34" s="91"/>
      <c r="AP34" s="121">
        <v>94248181.856836379</v>
      </c>
      <c r="AQ34" s="122">
        <v>1.0233603798094053E-2</v>
      </c>
      <c r="AR34" s="86"/>
      <c r="AS34" s="118">
        <v>94248181.856836379</v>
      </c>
      <c r="AT34" s="122">
        <v>1.0233603798094053E-2</v>
      </c>
    </row>
    <row r="35" spans="3:46">
      <c r="C35" s="77">
        <v>2031</v>
      </c>
      <c r="D35" s="101"/>
      <c r="E35" s="79">
        <v>91665981.325721845</v>
      </c>
      <c r="F35" s="102">
        <v>1.0990237141377561E-2</v>
      </c>
      <c r="G35" s="80">
        <v>91540648.705781609</v>
      </c>
      <c r="H35" s="102">
        <v>1.1256099813021525E-2</v>
      </c>
      <c r="I35" s="103">
        <v>94993369.708867565</v>
      </c>
      <c r="J35" s="104">
        <v>9.5987724365873758E-3</v>
      </c>
      <c r="K35" s="296">
        <v>94669056</v>
      </c>
      <c r="L35" s="293">
        <v>8.9999999999999993E-3</v>
      </c>
      <c r="M35" s="105">
        <v>96326535.700002909</v>
      </c>
      <c r="N35" s="106">
        <v>1.1499186124556948E-2</v>
      </c>
      <c r="O35" s="107">
        <v>97183002.545088544</v>
      </c>
      <c r="P35" s="108">
        <v>1.1791063766190048E-2</v>
      </c>
      <c r="Q35" s="80">
        <v>94015674.271131307</v>
      </c>
      <c r="R35" s="125">
        <v>1.0990237141377385E-2</v>
      </c>
      <c r="S35" s="126">
        <v>94993369.708867565</v>
      </c>
      <c r="T35" s="127">
        <v>9.5987724365873758E-3</v>
      </c>
      <c r="U35" s="83">
        <v>86854013.101470023</v>
      </c>
      <c r="V35" s="102">
        <v>9.6079352958904334E-3</v>
      </c>
      <c r="W35" s="84">
        <v>94428179</v>
      </c>
      <c r="X35" s="93">
        <v>1.2367352512702367E-2</v>
      </c>
      <c r="Y35" s="84">
        <v>89229799.150601193</v>
      </c>
      <c r="Z35" s="93">
        <v>1.0985050667215415E-2</v>
      </c>
      <c r="AA35" s="84">
        <v>95739576.528421</v>
      </c>
      <c r="AB35" s="93">
        <v>1.2367352512702367E-2</v>
      </c>
      <c r="AC35" s="81">
        <v>95964683.622304797</v>
      </c>
      <c r="AD35" s="128">
        <v>1.2367352512702367E-2</v>
      </c>
      <c r="AE35" s="81">
        <v>95874446</v>
      </c>
      <c r="AF35" s="128">
        <v>1.4206698116794253E-2</v>
      </c>
      <c r="AG35" s="81">
        <v>93051840.137510598</v>
      </c>
      <c r="AH35" s="128">
        <v>1.0485809092934622E-2</v>
      </c>
      <c r="AI35" s="88"/>
      <c r="AJ35" s="118">
        <v>94993369.708867565</v>
      </c>
      <c r="AK35" s="119">
        <v>9.5987724365873758E-3</v>
      </c>
      <c r="AL35" s="91"/>
      <c r="AM35" s="121">
        <v>97898078.843620494</v>
      </c>
      <c r="AN35" s="119">
        <v>1.4701753872490488E-2</v>
      </c>
      <c r="AO35" s="91"/>
      <c r="AP35" s="121">
        <v>95152848.707042247</v>
      </c>
      <c r="AQ35" s="122">
        <v>9.5987724365873012E-3</v>
      </c>
      <c r="AR35" s="86"/>
      <c r="AS35" s="118">
        <v>95152848.707042247</v>
      </c>
      <c r="AT35" s="122">
        <v>9.5987724365873012E-3</v>
      </c>
    </row>
    <row r="36" spans="3:46">
      <c r="C36" s="77">
        <v>2032</v>
      </c>
      <c r="D36" s="101"/>
      <c r="E36" s="79">
        <v>92403626.742292807</v>
      </c>
      <c r="F36" s="102">
        <v>8.0471010717688696E-3</v>
      </c>
      <c r="G36" s="80">
        <v>92331759.434105009</v>
      </c>
      <c r="H36" s="102">
        <v>8.642179616468397E-3</v>
      </c>
      <c r="I36" s="103">
        <v>96063007.170780867</v>
      </c>
      <c r="J36" s="104">
        <v>1.1260127577235031E-2</v>
      </c>
      <c r="K36" s="296">
        <v>95715304</v>
      </c>
      <c r="L36" s="293">
        <v>1.0999999999999999E-2</v>
      </c>
      <c r="M36" s="105">
        <v>97158873.305274263</v>
      </c>
      <c r="N36" s="106">
        <v>8.640792479691857E-3</v>
      </c>
      <c r="O36" s="107">
        <v>98067543.318235338</v>
      </c>
      <c r="P36" s="108">
        <v>9.1018053567176634E-3</v>
      </c>
      <c r="Q36" s="80">
        <v>94772227.904321596</v>
      </c>
      <c r="R36" s="125">
        <v>8.047101071768821E-3</v>
      </c>
      <c r="S36" s="126">
        <v>96063007.170780867</v>
      </c>
      <c r="T36" s="127">
        <v>1.1260127577235031E-2</v>
      </c>
      <c r="U36" s="83">
        <v>87484841.460168421</v>
      </c>
      <c r="V36" s="102">
        <v>7.2630882117261462E-3</v>
      </c>
      <c r="W36" s="84">
        <v>95269721</v>
      </c>
      <c r="X36" s="93">
        <v>9.3013801692078159E-3</v>
      </c>
      <c r="Y36" s="84">
        <v>89989802.124889895</v>
      </c>
      <c r="Z36" s="93">
        <v>8.5173673091651411E-3</v>
      </c>
      <c r="AA36" s="84">
        <v>96580019.5157938</v>
      </c>
      <c r="AB36" s="93">
        <v>9.3013801692078159E-3</v>
      </c>
      <c r="AC36" s="81">
        <v>96857287.627493605</v>
      </c>
      <c r="AD36" s="128">
        <v>9.3013801692078159E-3</v>
      </c>
      <c r="AE36" s="81">
        <v>97020095</v>
      </c>
      <c r="AF36" s="128">
        <v>1.1949471916635639E-2</v>
      </c>
      <c r="AG36" s="81">
        <v>93863380.069187701</v>
      </c>
      <c r="AH36" s="128">
        <v>8.721374348726706E-3</v>
      </c>
      <c r="AI36" s="88"/>
      <c r="AJ36" s="118">
        <v>96063007.170780867</v>
      </c>
      <c r="AK36" s="119">
        <v>1.1260127577235031E-2</v>
      </c>
      <c r="AL36" s="91"/>
      <c r="AM36" s="121">
        <v>99102790.262588203</v>
      </c>
      <c r="AN36" s="119">
        <v>1.2305771810824597E-2</v>
      </c>
      <c r="AO36" s="91"/>
      <c r="AP36" s="121">
        <v>96224281.922820881</v>
      </c>
      <c r="AQ36" s="122">
        <v>1.1260127577234977E-2</v>
      </c>
      <c r="AR36" s="86"/>
      <c r="AS36" s="118">
        <v>96224281.922820881</v>
      </c>
      <c r="AT36" s="122">
        <v>1.1260127577234977E-2</v>
      </c>
    </row>
    <row r="37" spans="3:46">
      <c r="C37" s="77">
        <v>2033</v>
      </c>
      <c r="D37" s="101"/>
      <c r="E37" s="79">
        <v>93265202.883472517</v>
      </c>
      <c r="F37" s="102">
        <v>9.324051139059571E-3</v>
      </c>
      <c r="G37" s="80">
        <v>93193353.29149732</v>
      </c>
      <c r="H37" s="102">
        <v>9.3315004790654969E-3</v>
      </c>
      <c r="I37" s="103">
        <v>96850722.493176073</v>
      </c>
      <c r="J37" s="104">
        <v>8.1999860882431552E-3</v>
      </c>
      <c r="K37" s="296">
        <v>96467057</v>
      </c>
      <c r="L37" s="293">
        <v>8.0000000000000002E-3</v>
      </c>
      <c r="M37" s="105">
        <v>98124857.973209947</v>
      </c>
      <c r="N37" s="106">
        <v>9.9423206041155884E-3</v>
      </c>
      <c r="O37" s="107">
        <v>99082306.000537589</v>
      </c>
      <c r="P37" s="108">
        <v>1.0347589507868906E-2</v>
      </c>
      <c r="Q37" s="80">
        <v>95655889.003864095</v>
      </c>
      <c r="R37" s="125">
        <v>9.3240511390595242E-3</v>
      </c>
      <c r="S37" s="126">
        <v>96850722.493176073</v>
      </c>
      <c r="T37" s="127">
        <v>8.1999860882431552E-3</v>
      </c>
      <c r="U37" s="83">
        <v>88232529.666679263</v>
      </c>
      <c r="V37" s="102">
        <v>8.5464886719977262E-3</v>
      </c>
      <c r="W37" s="84">
        <v>96235910</v>
      </c>
      <c r="X37" s="93">
        <v>1.0727238508946904E-2</v>
      </c>
      <c r="Y37" s="84">
        <v>90885171.503105894</v>
      </c>
      <c r="Z37" s="93">
        <v>9.9496760418851058E-3</v>
      </c>
      <c r="AA37" s="84">
        <v>97547259.754035503</v>
      </c>
      <c r="AB37" s="93">
        <v>1.0727238508946904E-2</v>
      </c>
      <c r="AC37" s="81">
        <v>97896298.853203401</v>
      </c>
      <c r="AD37" s="128">
        <v>1.0727238508946904E-2</v>
      </c>
      <c r="AE37" s="81">
        <v>98331829</v>
      </c>
      <c r="AF37" s="128">
        <v>1.3520230010081931E-2</v>
      </c>
      <c r="AG37" s="81">
        <v>94782694.890958503</v>
      </c>
      <c r="AH37" s="128">
        <v>9.7941798078565404E-3</v>
      </c>
      <c r="AI37" s="88"/>
      <c r="AJ37" s="118">
        <v>96850722.493176073</v>
      </c>
      <c r="AK37" s="119">
        <v>8.1999860882431552E-3</v>
      </c>
      <c r="AL37" s="91"/>
      <c r="AM37" s="121">
        <v>100487160.47952899</v>
      </c>
      <c r="AN37" s="119">
        <v>1.3969033699986519E-2</v>
      </c>
      <c r="AO37" s="91"/>
      <c r="AP37" s="121">
        <v>97013319.695939198</v>
      </c>
      <c r="AQ37" s="122">
        <v>8.1999860882431396E-3</v>
      </c>
      <c r="AR37" s="86"/>
      <c r="AS37" s="118">
        <v>97013319.695939198</v>
      </c>
      <c r="AT37" s="122">
        <v>8.1999860882431396E-3</v>
      </c>
    </row>
    <row r="38" spans="3:46">
      <c r="C38" s="77">
        <v>2034</v>
      </c>
      <c r="D38" s="101"/>
      <c r="E38" s="79">
        <v>94225595.77987963</v>
      </c>
      <c r="F38" s="102">
        <v>1.0297440703657155E-2</v>
      </c>
      <c r="G38" s="80">
        <v>94154771.359053493</v>
      </c>
      <c r="H38" s="102">
        <v>1.0316380230991103E-2</v>
      </c>
      <c r="I38" s="103">
        <v>97509176.304009646</v>
      </c>
      <c r="J38" s="104">
        <v>6.7986463485594211E-3</v>
      </c>
      <c r="K38" s="296">
        <v>97100106</v>
      </c>
      <c r="L38" s="293">
        <v>7.0000000000000001E-3</v>
      </c>
      <c r="M38" s="105">
        <v>99164421.780747294</v>
      </c>
      <c r="N38" s="106">
        <v>1.0594296175401027E-2</v>
      </c>
      <c r="O38" s="107">
        <v>100163354.94119409</v>
      </c>
      <c r="P38" s="108">
        <v>1.0910615470037936E-2</v>
      </c>
      <c r="Q38" s="80">
        <v>96640899.848837003</v>
      </c>
      <c r="R38" s="125">
        <v>1.0297440703657233E-2</v>
      </c>
      <c r="S38" s="126">
        <v>97509176.304009646</v>
      </c>
      <c r="T38" s="127">
        <v>6.7986463485594211E-3</v>
      </c>
      <c r="U38" s="83">
        <v>89074096.23690702</v>
      </c>
      <c r="V38" s="102">
        <v>9.538053294028747E-3</v>
      </c>
      <c r="W38" s="84">
        <v>97265915</v>
      </c>
      <c r="X38" s="93">
        <v>1.1393471230728735E-2</v>
      </c>
      <c r="Y38" s="84">
        <v>91851652.034964994</v>
      </c>
      <c r="Z38" s="93">
        <v>1.0634083821100249E-2</v>
      </c>
      <c r="AA38" s="84">
        <v>98584803.968846306</v>
      </c>
      <c r="AB38" s="93">
        <v>1.1393471230728735E-2</v>
      </c>
      <c r="AC38" s="81">
        <v>99011677.517782196</v>
      </c>
      <c r="AD38" s="128">
        <v>1.1393471230728735E-2</v>
      </c>
      <c r="AE38" s="81">
        <v>99760004</v>
      </c>
      <c r="AF38" s="128">
        <v>1.4524035752452036E-2</v>
      </c>
      <c r="AG38" s="81">
        <v>95757950.516385004</v>
      </c>
      <c r="AH38" s="128">
        <v>1.0289384856048574E-2</v>
      </c>
      <c r="AI38" s="88"/>
      <c r="AJ38" s="118">
        <v>97509176.304009646</v>
      </c>
      <c r="AK38" s="119">
        <v>6.7986463485594211E-3</v>
      </c>
      <c r="AL38" s="91"/>
      <c r="AM38" s="121">
        <v>101990838.195907</v>
      </c>
      <c r="AN38" s="119">
        <v>1.496387905880104E-2</v>
      </c>
      <c r="AO38" s="91"/>
      <c r="AP38" s="121">
        <v>97672878.947651625</v>
      </c>
      <c r="AQ38" s="122">
        <v>6.7986463485594393E-3</v>
      </c>
      <c r="AR38" s="86"/>
      <c r="AS38" s="118">
        <v>97672878.947651625</v>
      </c>
      <c r="AT38" s="122">
        <v>6.7986463485594393E-3</v>
      </c>
    </row>
    <row r="39" spans="3:46">
      <c r="C39" s="77">
        <v>2035</v>
      </c>
      <c r="D39" s="101"/>
      <c r="E39" s="79">
        <v>94853368.86090593</v>
      </c>
      <c r="F39" s="102">
        <v>6.6624474574068088E-3</v>
      </c>
      <c r="G39" s="80">
        <v>94806528.568382457</v>
      </c>
      <c r="H39" s="102">
        <v>6.9221899211408828E-3</v>
      </c>
      <c r="I39" s="103">
        <v>98565220.042622417</v>
      </c>
      <c r="J39" s="104">
        <v>1.0830198537625691E-2</v>
      </c>
      <c r="K39" s="296">
        <v>98123621</v>
      </c>
      <c r="L39" s="293">
        <v>1.0999999999999999E-2</v>
      </c>
      <c r="M39" s="105">
        <v>99864493.596713722</v>
      </c>
      <c r="N39" s="106">
        <v>7.0597075381963834E-3</v>
      </c>
      <c r="O39" s="107">
        <v>100914052.48392504</v>
      </c>
      <c r="P39" s="108">
        <v>7.4947324115859724E-3</v>
      </c>
      <c r="Q39" s="80">
        <v>97284764.766316399</v>
      </c>
      <c r="R39" s="125">
        <v>6.6624474574068678E-3</v>
      </c>
      <c r="S39" s="126">
        <v>98565220.042622417</v>
      </c>
      <c r="T39" s="127">
        <v>1.0830198537625691E-2</v>
      </c>
      <c r="U39" s="83">
        <v>89623268.281742483</v>
      </c>
      <c r="V39" s="102">
        <v>6.1653395098709898E-3</v>
      </c>
      <c r="W39" s="84">
        <v>97993031</v>
      </c>
      <c r="X39" s="93">
        <v>7.920748835798198E-3</v>
      </c>
      <c r="Y39" s="84">
        <v>92533525.714666203</v>
      </c>
      <c r="Z39" s="93">
        <v>7.42364088826232E-3</v>
      </c>
      <c r="AA39" s="84">
        <v>99311099.646980405</v>
      </c>
      <c r="AB39" s="93">
        <v>7.920748835798198E-3</v>
      </c>
      <c r="AC39" s="81">
        <v>99795924.147211596</v>
      </c>
      <c r="AD39" s="128">
        <v>7.920748835798198E-3</v>
      </c>
      <c r="AE39" s="81">
        <v>100896857</v>
      </c>
      <c r="AF39" s="128">
        <v>1.1395879655337624E-2</v>
      </c>
      <c r="AG39" s="81">
        <v>96512946.150185302</v>
      </c>
      <c r="AH39" s="128">
        <v>7.8844172178801145E-3</v>
      </c>
      <c r="AI39" s="88"/>
      <c r="AJ39" s="118">
        <v>98565220.042622417</v>
      </c>
      <c r="AK39" s="119">
        <v>1.0830198537625691E-2</v>
      </c>
      <c r="AL39" s="91"/>
      <c r="AM39" s="121">
        <v>103160150.364213</v>
      </c>
      <c r="AN39" s="119">
        <v>1.1464874580792823E-2</v>
      </c>
      <c r="AO39" s="91"/>
      <c r="AP39" s="121">
        <v>98730695.618396178</v>
      </c>
      <c r="AQ39" s="122">
        <v>1.0830198537625747E-2</v>
      </c>
      <c r="AR39" s="86"/>
      <c r="AS39" s="118">
        <v>98730695.618396178</v>
      </c>
      <c r="AT39" s="122">
        <v>1.0830198537625747E-2</v>
      </c>
    </row>
    <row r="40" spans="3:46">
      <c r="C40" s="77">
        <v>2036</v>
      </c>
      <c r="D40" s="101"/>
      <c r="E40" s="79">
        <v>95610933.550610766</v>
      </c>
      <c r="F40" s="102">
        <v>7.9866925002499058E-3</v>
      </c>
      <c r="G40" s="80">
        <v>95384013.515235275</v>
      </c>
      <c r="H40" s="102">
        <v>6.0911938826690333E-3</v>
      </c>
      <c r="I40" s="103">
        <v>99692936.525943369</v>
      </c>
      <c r="J40" s="104">
        <v>1.144132263726794E-2</v>
      </c>
      <c r="K40" s="296">
        <v>99228330</v>
      </c>
      <c r="L40" s="293">
        <v>1.0999999999999999E-2</v>
      </c>
      <c r="M40" s="105">
        <v>100728634.80602928</v>
      </c>
      <c r="N40" s="106">
        <v>8.6531376487547721E-3</v>
      </c>
      <c r="O40" s="107">
        <v>101815654.31772803</v>
      </c>
      <c r="P40" s="108">
        <v>8.9343536565098559E-3</v>
      </c>
      <c r="Q40" s="80">
        <v>98061748.267464101</v>
      </c>
      <c r="R40" s="125">
        <v>7.9866925002497705E-3</v>
      </c>
      <c r="S40" s="126">
        <v>99692936.525943369</v>
      </c>
      <c r="T40" s="127">
        <v>1.144132263726794E-2</v>
      </c>
      <c r="U40" s="83">
        <v>90124653.82859607</v>
      </c>
      <c r="V40" s="102">
        <v>5.5943680303805025E-3</v>
      </c>
      <c r="W40" s="84">
        <v>98821523</v>
      </c>
      <c r="X40" s="93">
        <v>1.0217007425497049E-2</v>
      </c>
      <c r="Y40" s="84">
        <v>93257571.216149896</v>
      </c>
      <c r="Z40" s="93">
        <v>7.8246829556277812E-3</v>
      </c>
      <c r="AA40" s="84">
        <v>100141575.064371</v>
      </c>
      <c r="AB40" s="93">
        <v>1.0217007425497049E-2</v>
      </c>
      <c r="AC40" s="81">
        <v>100815539.845258</v>
      </c>
      <c r="AD40" s="128">
        <v>1.0217007425497049E-2</v>
      </c>
      <c r="AE40" s="81">
        <v>102249109</v>
      </c>
      <c r="AF40" s="128">
        <v>1.3402320351762791E-2</v>
      </c>
      <c r="AG40" s="81">
        <v>97381952.997339398</v>
      </c>
      <c r="AH40" s="128">
        <v>9.0040443465669428E-3</v>
      </c>
      <c r="AI40" s="88"/>
      <c r="AJ40" s="118">
        <v>99692936.525943369</v>
      </c>
      <c r="AK40" s="119">
        <v>1.144132263726794E-2</v>
      </c>
      <c r="AL40" s="91"/>
      <c r="AM40" s="121">
        <v>104389939.061684</v>
      </c>
      <c r="AN40" s="119">
        <v>1.1921160381495675E-2</v>
      </c>
      <c r="AO40" s="91"/>
      <c r="AP40" s="121">
        <v>99860305.361168161</v>
      </c>
      <c r="AQ40" s="122">
        <v>1.1441322637268105E-2</v>
      </c>
      <c r="AR40" s="86"/>
      <c r="AS40" s="118">
        <v>99860305.361168161</v>
      </c>
      <c r="AT40" s="122">
        <v>1.1441322637268105E-2</v>
      </c>
    </row>
    <row r="41" spans="3:46" ht="16" thickBot="1">
      <c r="C41" s="129">
        <v>2037</v>
      </c>
      <c r="D41" s="130"/>
      <c r="E41" s="131">
        <v>96560102.570713297</v>
      </c>
      <c r="F41" s="132">
        <v>9.9274108603917867E-3</v>
      </c>
      <c r="G41" s="133">
        <v>96142326.958589852</v>
      </c>
      <c r="H41" s="132">
        <v>7.9501104578017651E-3</v>
      </c>
      <c r="I41" s="134">
        <v>100673827.23058918</v>
      </c>
      <c r="J41" s="135">
        <v>9.8391193882683206E-3</v>
      </c>
      <c r="K41" s="297">
        <v>100257146</v>
      </c>
      <c r="L41" s="294">
        <v>0.01</v>
      </c>
      <c r="M41" s="105">
        <v>101765424.22704458</v>
      </c>
      <c r="N41" s="136">
        <v>1.0292896583100009E-2</v>
      </c>
      <c r="O41" s="107">
        <v>102872380.62639619</v>
      </c>
      <c r="P41" s="137">
        <v>1.0378819600476411E-2</v>
      </c>
      <c r="Q41" s="133">
        <v>99035247.532203525</v>
      </c>
      <c r="R41" s="138">
        <v>9.9274108603917399E-3</v>
      </c>
      <c r="S41" s="139">
        <v>100774949.7843755</v>
      </c>
      <c r="T41" s="140">
        <v>1.0853459594407269E-2</v>
      </c>
      <c r="U41" s="141">
        <v>90625555.191676706</v>
      </c>
      <c r="V41" s="132">
        <v>5.5578728106215778E-3</v>
      </c>
      <c r="W41" s="53">
        <v>99845367.494176745</v>
      </c>
      <c r="X41" s="142">
        <v>1.1482500529513447E-2</v>
      </c>
      <c r="Y41" s="53">
        <v>93920908.821162358</v>
      </c>
      <c r="Z41" s="142">
        <v>7.1129624797432846E-3</v>
      </c>
      <c r="AA41" s="53">
        <v>101253712.23782293</v>
      </c>
      <c r="AB41" s="142">
        <v>1.1482500529513447E-2</v>
      </c>
      <c r="AC41" s="143">
        <v>101973154.33491436</v>
      </c>
      <c r="AD41" s="144">
        <v>1.1482500529513447E-2</v>
      </c>
      <c r="AE41" s="143">
        <v>103504343.5591649</v>
      </c>
      <c r="AF41" s="144">
        <v>1.2276239582340974E-2</v>
      </c>
      <c r="AG41" s="143">
        <v>98310702.182781279</v>
      </c>
      <c r="AH41" s="144">
        <v>9.5371797017385351E-3</v>
      </c>
      <c r="AI41" s="145"/>
      <c r="AJ41" s="146">
        <v>100673827.23058918</v>
      </c>
      <c r="AK41" s="147">
        <v>9.8391193882683206E-3</v>
      </c>
      <c r="AL41" s="91"/>
      <c r="AM41" s="148">
        <v>105751921.41749577</v>
      </c>
      <c r="AN41" s="147">
        <v>1.3047065340338782E-2</v>
      </c>
      <c r="AO41" s="91"/>
      <c r="AP41" s="148">
        <v>100842842.82776563</v>
      </c>
      <c r="AQ41" s="149">
        <v>9.8391193882683518E-3</v>
      </c>
      <c r="AR41" s="150"/>
      <c r="AS41" s="146">
        <v>100842842.82776563</v>
      </c>
      <c r="AT41" s="149">
        <v>9.8391193882683518E-3</v>
      </c>
    </row>
    <row r="43" spans="3:46">
      <c r="J43" s="299"/>
      <c r="Q43" s="151">
        <v>9.9274108603917277E-3</v>
      </c>
      <c r="S43" s="151">
        <v>1.08534595944072E-2</v>
      </c>
      <c r="T43" s="151"/>
      <c r="U43" s="151"/>
      <c r="V43" s="151"/>
      <c r="W43" s="152">
        <v>1.036054154090249E-2</v>
      </c>
      <c r="X43" s="152"/>
      <c r="Y43" s="152">
        <v>7.1129624797432456E-3</v>
      </c>
      <c r="Z43" s="152"/>
      <c r="AA43" s="152">
        <v>1.1105648904933263E-2</v>
      </c>
      <c r="AB43" s="152"/>
      <c r="AC43" s="151">
        <v>1.1482500529513384E-2</v>
      </c>
      <c r="AD43" s="151"/>
      <c r="AE43" s="151">
        <v>1.2276239582341031E-2</v>
      </c>
      <c r="AF43" s="151"/>
      <c r="AG43" s="151">
        <v>9.5371797017385074E-3</v>
      </c>
    </row>
    <row r="44" spans="3:46">
      <c r="D44" s="300">
        <f>(I23/D13)^(1/COUNT(D14:D23))-1</f>
        <v>1.7383537429585427E-2</v>
      </c>
      <c r="J44" s="300">
        <f>(I41/I22)^(1/COUNT(I23:I41))-1</f>
        <v>1.1137054428210336E-2</v>
      </c>
    </row>
    <row r="46" spans="3:46">
      <c r="AC46" s="1" t="s">
        <v>28</v>
      </c>
    </row>
  </sheetData>
  <mergeCells count="11">
    <mergeCell ref="AJ2:AK2"/>
    <mergeCell ref="AM2:AN2"/>
    <mergeCell ref="AP2:AQ2"/>
    <mergeCell ref="AS2:AT2"/>
    <mergeCell ref="I3:T3"/>
    <mergeCell ref="W2:AB2"/>
    <mergeCell ref="E1:H1"/>
    <mergeCell ref="C2:C5"/>
    <mergeCell ref="D2:D5"/>
    <mergeCell ref="E2:H2"/>
    <mergeCell ref="I2:T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and 2 - PAX Comparison</vt:lpstr>
      <vt:lpstr>3 - Fares</vt:lpstr>
      <vt:lpstr>PATH Submitted Revenue</vt:lpstr>
      <vt:lpstr>Revised Revenue</vt:lpstr>
      <vt:lpstr>PAX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Ross</dc:creator>
  <cp:lastModifiedBy>Eshleman, Christopher</cp:lastModifiedBy>
  <dcterms:created xsi:type="dcterms:W3CDTF">2019-10-07T18:27:33Z</dcterms:created>
  <dcterms:modified xsi:type="dcterms:W3CDTF">2020-07-24T21:55:39Z</dcterms:modified>
</cp:coreProperties>
</file>